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765" windowWidth="9720" windowHeight="6705" tabRatio="764" activeTab="0"/>
  </bookViews>
  <sheets>
    <sheet name="Kostenvergleich " sheetId="1" r:id="rId1"/>
    <sheet name="Tabelle Grafik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'Kostenvergleich '!$A$1:$L$147</definedName>
  </definedNames>
  <calcPr fullCalcOnLoad="1"/>
</workbook>
</file>

<file path=xl/comments1.xml><?xml version="1.0" encoding="utf-8"?>
<comments xmlns="http://schemas.openxmlformats.org/spreadsheetml/2006/main">
  <authors>
    <author>pho</author>
  </authors>
  <commentList>
    <comment ref="A42" authorId="0">
      <text>
        <r>
          <rPr>
            <b/>
            <sz val="8"/>
            <rFont val="Tahoma"/>
            <family val="0"/>
          </rPr>
          <t>Hier können kantonale und kommunale Fördergelder, Steuerabzüge bei der Bundes- und Kantonssteuer sowie allfällige Überwälzungen an die Mieter in  Abzug gebracht werden (siehe Dokumentation für weitere Informationen).</t>
        </r>
      </text>
    </comment>
  </commentList>
</comments>
</file>

<file path=xl/sharedStrings.xml><?xml version="1.0" encoding="utf-8"?>
<sst xmlns="http://schemas.openxmlformats.org/spreadsheetml/2006/main" count="217" uniqueCount="130">
  <si>
    <t xml:space="preserve">Ohne Gewähr </t>
  </si>
  <si>
    <t>Gebäudedaten</t>
  </si>
  <si>
    <t xml:space="preserve">Energiebezugsfläche </t>
  </si>
  <si>
    <t>m2</t>
  </si>
  <si>
    <t>Objekt:</t>
  </si>
  <si>
    <t xml:space="preserve">Neubau: </t>
  </si>
  <si>
    <t>Heizenergiebedarf  Qh =</t>
  </si>
  <si>
    <t>MJ/m2a</t>
  </si>
  <si>
    <t>Energiebedarf für Warmwasser Qww =</t>
  </si>
  <si>
    <t>Energiebedarf Wärme Qw = Qh + Qww</t>
  </si>
  <si>
    <t>kWh/a</t>
  </si>
  <si>
    <t>bzw.</t>
  </si>
  <si>
    <t>Sanierung:</t>
  </si>
  <si>
    <t>Energieträger:</t>
  </si>
  <si>
    <t>Öl</t>
  </si>
  <si>
    <t>Gas</t>
  </si>
  <si>
    <t>WP Sole</t>
  </si>
  <si>
    <t>WP Luft</t>
  </si>
  <si>
    <t>Einheit:</t>
  </si>
  <si>
    <t>[m3]</t>
  </si>
  <si>
    <t>[kWh]</t>
  </si>
  <si>
    <t>Heizenergiebedarf Qw</t>
  </si>
  <si>
    <t>(bisher) =</t>
  </si>
  <si>
    <t xml:space="preserve"> (bisher) =</t>
  </si>
  <si>
    <t>Eingabe: Energiebedarf Wärme Qw für die weitere Berechnung</t>
  </si>
  <si>
    <t xml:space="preserve">kWh/a </t>
  </si>
  <si>
    <t>Energieverbrauch pro System</t>
  </si>
  <si>
    <t>Energieinhalt pro Einheit [Hu]</t>
  </si>
  <si>
    <t>[kWh/...]</t>
  </si>
  <si>
    <t>Nutzungsgrad Wärme</t>
  </si>
  <si>
    <t>ETA/JAZ</t>
  </si>
  <si>
    <t>Elektroverbrauch Motoren,etc.</t>
  </si>
  <si>
    <t>Prozentualer Anteil Solarenergie</t>
  </si>
  <si>
    <t>Investitionen</t>
  </si>
  <si>
    <t>Jahre</t>
  </si>
  <si>
    <t>[Fr.]</t>
  </si>
  <si>
    <t>Tank</t>
  </si>
  <si>
    <t>Kaminanlage</t>
  </si>
  <si>
    <t>Expansion</t>
  </si>
  <si>
    <t>Speicher mit Warmwasser</t>
  </si>
  <si>
    <t>Erdsonde/Quelle</t>
  </si>
  <si>
    <t>Heizverteilung</t>
  </si>
  <si>
    <t>Dämmungen</t>
  </si>
  <si>
    <t>Montage, Honorare, div.</t>
  </si>
  <si>
    <t>Sanitär</t>
  </si>
  <si>
    <t>Elektro</t>
  </si>
  <si>
    <t>Sonnenkollektoranlage</t>
  </si>
  <si>
    <t>Total Investitionen</t>
  </si>
  <si>
    <t>Mittlere Abschreibungsdauer</t>
  </si>
  <si>
    <t>Annuität [%]      bei Realzins</t>
  </si>
  <si>
    <t>%</t>
  </si>
  <si>
    <t>Total Kapitalkosten</t>
  </si>
  <si>
    <t>Fr/a</t>
  </si>
  <si>
    <t>Energiekosten</t>
  </si>
  <si>
    <t>Ölkessel</t>
  </si>
  <si>
    <t>Gaskessel</t>
  </si>
  <si>
    <t>Endenergieverbrauch</t>
  </si>
  <si>
    <t>Heizöl EL</t>
  </si>
  <si>
    <t>Erdgas Grundpreis</t>
  </si>
  <si>
    <t>Fr./a</t>
  </si>
  <si>
    <t>Erdgas</t>
  </si>
  <si>
    <t>Rp/kWh</t>
  </si>
  <si>
    <t>Strom Grundpreis</t>
  </si>
  <si>
    <t>Strom  HT</t>
  </si>
  <si>
    <t>Strom NT</t>
  </si>
  <si>
    <t>Strom Winter WP-Tarif HT</t>
  </si>
  <si>
    <t>Strom Winter WP-Tarif NT</t>
  </si>
  <si>
    <t>Pellets in Silo geblasen</t>
  </si>
  <si>
    <t>Total Energiekosten</t>
  </si>
  <si>
    <t>Übrige Heizkosten</t>
  </si>
  <si>
    <t>Service und Reparatur</t>
  </si>
  <si>
    <t>Rauchgaskontrolle</t>
  </si>
  <si>
    <t>Kaminfeger</t>
  </si>
  <si>
    <t>Tankreinigung</t>
  </si>
  <si>
    <t>Verzinsung Brennstoff</t>
  </si>
  <si>
    <t>Total übrige Heizkosten</t>
  </si>
  <si>
    <t>Total Jahreskosten</t>
  </si>
  <si>
    <t>Kapitalkosten</t>
  </si>
  <si>
    <t>% Veränderung zu Öl</t>
  </si>
  <si>
    <t>Wärmepreis</t>
  </si>
  <si>
    <t>Hinterlegte Zellen können mit eigenen Eingaben bearbeitet werden.</t>
  </si>
  <si>
    <t>Kostenvergleich mit Energieabgaben</t>
  </si>
  <si>
    <t>Jahreskosten ohne Abgaben</t>
  </si>
  <si>
    <t>Externe Kosten: KEPZ</t>
  </si>
  <si>
    <t>Jahreskosten inkl. Abgaben</t>
  </si>
  <si>
    <t>Wärmepreis inkl. Abgaben</t>
  </si>
  <si>
    <t>t/Jahr</t>
  </si>
  <si>
    <t>Externe Kosten kEPZ</t>
  </si>
  <si>
    <t>Fr./to</t>
  </si>
  <si>
    <t>Maurer, Umgebung, Gärtner</t>
  </si>
  <si>
    <t>Umweltbelastung</t>
  </si>
  <si>
    <t>Fr/100 Liter</t>
  </si>
  <si>
    <t>[l]</t>
  </si>
  <si>
    <t>10-Fam-Haus</t>
  </si>
  <si>
    <t>Pellet</t>
  </si>
  <si>
    <t>Öl/Sonne</t>
  </si>
  <si>
    <t>Pellet/Sonne</t>
  </si>
  <si>
    <t>Fossiles CO2 aus Kamin</t>
  </si>
  <si>
    <t>CO2-Aequivalente System</t>
  </si>
  <si>
    <t>EcoIndicator'99-Punkte</t>
  </si>
  <si>
    <t>100 Pt/Jahr</t>
  </si>
  <si>
    <t>CO2 Lenkungsabgabe</t>
  </si>
  <si>
    <t>Vergleich der Jahreskosten von Heizungssystemen (mit Warmwasserversorgung)</t>
  </si>
  <si>
    <t>Vorgehen: 1. EBF einsetzen [Zelle: F9]</t>
  </si>
  <si>
    <t>2a: Anwendung für Neubauten: Heizenergiebedarf QW für Wärme eingeben [Zelle F10]</t>
  </si>
  <si>
    <t>2b: Anwendung für Sanierungen: Energieverbrauch eingeben [Zellen D15-J15]</t>
  </si>
  <si>
    <t>3: Für Vergleichrechnung Heizenergiebedarf: Eingabe in kWh [Zelle F18] und nach Wunsch alle hinterlegten Zellen</t>
  </si>
  <si>
    <t>CO2-Lenkungsabgabe</t>
  </si>
  <si>
    <t>Grundlagen</t>
  </si>
  <si>
    <r>
      <t>Investitionskosten und übrige Heizkosten:</t>
    </r>
    <r>
      <rPr>
        <sz val="10"/>
        <rFont val="Arial"/>
        <family val="0"/>
      </rPr>
      <t xml:space="preserve"> Branchenverbände, Energieplaner, Internet</t>
    </r>
  </si>
  <si>
    <r>
      <t>Energiekosten:</t>
    </r>
    <r>
      <rPr>
        <sz val="10"/>
        <rFont val="Arial"/>
        <family val="0"/>
      </rPr>
      <t xml:space="preserve"> Bundesamt für Statistik und konkrete Presie für Schweiz Herbst 2005</t>
    </r>
  </si>
  <si>
    <r>
      <t>CO2-Emissionen aus Kamin:</t>
    </r>
    <r>
      <rPr>
        <sz val="10"/>
        <rFont val="Arial"/>
        <family val="0"/>
      </rPr>
      <t xml:space="preserve"> berechnet nach BUWAL-Vorgaben</t>
    </r>
  </si>
  <si>
    <r>
      <t>CO2-Aequivalente System:</t>
    </r>
    <r>
      <rPr>
        <sz val="10"/>
        <rFont val="Arial"/>
        <family val="0"/>
      </rPr>
      <t xml:space="preserve"> Beinhaltet sämtliche Treibhausgase die in der Produktion der Heizsysteme und Energieträger und dem Betrieb </t>
    </r>
  </si>
  <si>
    <t>emittiert wurden. Die Gase wurden nach IPCC für den Betrachtungszeitraum 100 Jahre gemäss deren Wirkung addiert. Die Emisisons-</t>
  </si>
  <si>
    <t>daten stammen aus ecoinvent, The Life Cycle Inventory Data Version 1.2, 2005</t>
  </si>
  <si>
    <r>
      <t xml:space="preserve">EcoIndicator'99-Punkte: </t>
    </r>
    <r>
      <rPr>
        <sz val="10"/>
        <rFont val="Arial"/>
        <family val="0"/>
      </rPr>
      <t xml:space="preserve">Erfasst eine breite Palette von Umweltbelastungen die in der Produktion der Heizsysteme und Energieträger und </t>
    </r>
  </si>
  <si>
    <t>dem Betrieb anfallen. Die Belastungen wurden gemäss der Ökobilanzbewertungsmethode EcoIndicator'99 (E,E) bewertet. Die Umwelt-</t>
  </si>
  <si>
    <t>daten und Bewertungsscores stammen aus ecoinvent, The Life Cycle Inventory Data Version 1.2, 2005</t>
  </si>
  <si>
    <t>Fr./t</t>
  </si>
  <si>
    <t>[t]</t>
  </si>
  <si>
    <t>Für Anlagen 30-60kW</t>
  </si>
  <si>
    <t>Kessel, Wärmepumpe</t>
  </si>
  <si>
    <t>Anschlusskosten</t>
  </si>
  <si>
    <r>
      <t>©</t>
    </r>
    <r>
      <rPr>
        <sz val="10"/>
        <rFont val="Arial"/>
        <family val="0"/>
      </rPr>
      <t xml:space="preserve"> WWF Schweiz &amp; AEE (Agentur für Erneuerbare Energien), 2005</t>
    </r>
  </si>
  <si>
    <t>Förderung/Steuerabzug</t>
  </si>
  <si>
    <t>Gas/Sonne</t>
  </si>
  <si>
    <t>[Fr]</t>
  </si>
  <si>
    <r>
      <t xml:space="preserve">Externe Kosten: </t>
    </r>
    <r>
      <rPr>
        <sz val="10"/>
        <rFont val="Arial"/>
        <family val="2"/>
      </rPr>
      <t>kalkulatorische Energiepreiszuschläge gemäss SIA 480</t>
    </r>
  </si>
  <si>
    <t>Rückbau/Entsorgung</t>
  </si>
  <si>
    <r>
      <t xml:space="preserve">ergänzt mit </t>
    </r>
    <r>
      <rPr>
        <i/>
        <sz val="10"/>
        <rFont val="Arial"/>
        <family val="2"/>
      </rPr>
      <t>Rückbau- und Entsorgungskosten</t>
    </r>
    <r>
      <rPr>
        <sz val="10"/>
        <rFont val="Arial"/>
        <family val="2"/>
      </rPr>
      <t>, welche je nach bisherigem und neuen System stark variieren, April 2009</t>
    </r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</si>
</sst>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#,##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@SimSun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12" fillId="33" borderId="16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>
      <alignment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81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1" fontId="1" fillId="33" borderId="23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9" fontId="0" fillId="33" borderId="1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3" fontId="10" fillId="33" borderId="10" xfId="0" applyNumberFormat="1" applyFont="1" applyFill="1" applyBorder="1" applyAlignment="1" applyProtection="1">
      <alignment horizontal="center"/>
      <protection locked="0"/>
    </xf>
    <xf numFmtId="181" fontId="10" fillId="33" borderId="24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181" fontId="0" fillId="33" borderId="10" xfId="0" applyNumberFormat="1" applyFill="1" applyBorder="1" applyAlignment="1" applyProtection="1">
      <alignment horizontal="center"/>
      <protection locked="0"/>
    </xf>
    <xf numFmtId="1" fontId="0" fillId="33" borderId="24" xfId="0" applyNumberForma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center"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8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1" fontId="1" fillId="0" borderId="30" xfId="0" applyNumberFormat="1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right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8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2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right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8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 der Jahreskosten</a:t>
            </a:r>
          </a:p>
        </c:rich>
      </c:tx>
      <c:layout>
        <c:manualLayout>
          <c:xMode val="factor"/>
          <c:yMode val="factor"/>
          <c:x val="0.09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75"/>
          <c:y val="0.13775"/>
          <c:w val="0.82675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'Tabelle Grafik'!$A$3</c:f>
              <c:strCache>
                <c:ptCount val="1"/>
                <c:pt idx="0">
                  <c:v>Kapitalkosten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Grafik'!$B$2:$I$2</c:f>
              <c:strCache>
                <c:ptCount val="8"/>
                <c:pt idx="0">
                  <c:v>Ölkessel</c:v>
                </c:pt>
                <c:pt idx="1">
                  <c:v>Gaskessel</c:v>
                </c:pt>
                <c:pt idx="2">
                  <c:v>WP Sole</c:v>
                </c:pt>
                <c:pt idx="3">
                  <c:v>WP Luft</c:v>
                </c:pt>
                <c:pt idx="4">
                  <c:v>Pellet</c:v>
                </c:pt>
                <c:pt idx="5">
                  <c:v>Pellet/Sonne</c:v>
                </c:pt>
                <c:pt idx="6">
                  <c:v>Öl/Sonne</c:v>
                </c:pt>
                <c:pt idx="7">
                  <c:v>Gas/Sonne</c:v>
                </c:pt>
              </c:strCache>
            </c:strRef>
          </c:cat>
          <c:val>
            <c:numRef>
              <c:f>'Tabelle Grafik'!$B$3:$I$3</c:f>
              <c:numCache>
                <c:ptCount val="8"/>
                <c:pt idx="0">
                  <c:v>3906.9444102402367</c:v>
                </c:pt>
                <c:pt idx="1">
                  <c:v>3480.2044979849975</c:v>
                </c:pt>
                <c:pt idx="2">
                  <c:v>6456.417537911229</c:v>
                </c:pt>
                <c:pt idx="3">
                  <c:v>5022.787509484168</c:v>
                </c:pt>
                <c:pt idx="4">
                  <c:v>4414.275479333096</c:v>
                </c:pt>
                <c:pt idx="5">
                  <c:v>5747.469789246231</c:v>
                </c:pt>
                <c:pt idx="6">
                  <c:v>5104.264840817739</c:v>
                </c:pt>
                <c:pt idx="7">
                  <c:v>4679.750400764329</c:v>
                </c:pt>
              </c:numCache>
            </c:numRef>
          </c:val>
        </c:ser>
        <c:ser>
          <c:idx val="1"/>
          <c:order val="1"/>
          <c:tx>
            <c:strRef>
              <c:f>'Tabelle Grafik'!$A$4</c:f>
              <c:strCache>
                <c:ptCount val="1"/>
                <c:pt idx="0">
                  <c:v>Energiekosten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Grafik'!$B$2:$I$2</c:f>
              <c:strCache>
                <c:ptCount val="8"/>
                <c:pt idx="0">
                  <c:v>Ölkessel</c:v>
                </c:pt>
                <c:pt idx="1">
                  <c:v>Gaskessel</c:v>
                </c:pt>
                <c:pt idx="2">
                  <c:v>WP Sole</c:v>
                </c:pt>
                <c:pt idx="3">
                  <c:v>WP Luft</c:v>
                </c:pt>
                <c:pt idx="4">
                  <c:v>Pellet</c:v>
                </c:pt>
                <c:pt idx="5">
                  <c:v>Pellet/Sonne</c:v>
                </c:pt>
                <c:pt idx="6">
                  <c:v>Öl/Sonne</c:v>
                </c:pt>
                <c:pt idx="7">
                  <c:v>Gas/Sonne</c:v>
                </c:pt>
              </c:strCache>
            </c:strRef>
          </c:cat>
          <c:val>
            <c:numRef>
              <c:f>'Tabelle Grafik'!$B$4:$I$4</c:f>
              <c:numCache>
                <c:ptCount val="8"/>
                <c:pt idx="0">
                  <c:v>7617.9728214285715</c:v>
                </c:pt>
                <c:pt idx="1">
                  <c:v>6861.4495037623765</c:v>
                </c:pt>
                <c:pt idx="2">
                  <c:v>3609.6000000000004</c:v>
                </c:pt>
                <c:pt idx="3">
                  <c:v>4605.200000000001</c:v>
                </c:pt>
                <c:pt idx="4">
                  <c:v>6478.125753393664</c:v>
                </c:pt>
                <c:pt idx="5">
                  <c:v>5861.723178054299</c:v>
                </c:pt>
                <c:pt idx="6">
                  <c:v>6871.880539285714</c:v>
                </c:pt>
                <c:pt idx="7">
                  <c:v>6221.009553386139</c:v>
                </c:pt>
              </c:numCache>
            </c:numRef>
          </c:val>
        </c:ser>
        <c:ser>
          <c:idx val="2"/>
          <c:order val="2"/>
          <c:tx>
            <c:strRef>
              <c:f>'Tabelle Grafik'!$A$5</c:f>
              <c:strCache>
                <c:ptCount val="1"/>
                <c:pt idx="0">
                  <c:v>Übrige Heizkosten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Grafik'!$B$2:$I$2</c:f>
              <c:strCache>
                <c:ptCount val="8"/>
                <c:pt idx="0">
                  <c:v>Ölkessel</c:v>
                </c:pt>
                <c:pt idx="1">
                  <c:v>Gaskessel</c:v>
                </c:pt>
                <c:pt idx="2">
                  <c:v>WP Sole</c:v>
                </c:pt>
                <c:pt idx="3">
                  <c:v>WP Luft</c:v>
                </c:pt>
                <c:pt idx="4">
                  <c:v>Pellet</c:v>
                </c:pt>
                <c:pt idx="5">
                  <c:v>Pellet/Sonne</c:v>
                </c:pt>
                <c:pt idx="6">
                  <c:v>Öl/Sonne</c:v>
                </c:pt>
                <c:pt idx="7">
                  <c:v>Gas/Sonne</c:v>
                </c:pt>
              </c:strCache>
            </c:strRef>
          </c:cat>
          <c:val>
            <c:numRef>
              <c:f>'Tabelle Grafik'!$B$5:$I$5</c:f>
              <c:numCache>
                <c:ptCount val="8"/>
                <c:pt idx="0">
                  <c:v>1182.2857142857142</c:v>
                </c:pt>
                <c:pt idx="1">
                  <c:v>532</c:v>
                </c:pt>
                <c:pt idx="2">
                  <c:v>150</c:v>
                </c:pt>
                <c:pt idx="3">
                  <c:v>350</c:v>
                </c:pt>
                <c:pt idx="4">
                  <c:v>1043.3597285067874</c:v>
                </c:pt>
                <c:pt idx="5">
                  <c:v>1034.0237556561085</c:v>
                </c:pt>
                <c:pt idx="6">
                  <c:v>1171.057142857143</c:v>
                </c:pt>
                <c:pt idx="7">
                  <c:v>532</c:v>
                </c:pt>
              </c:numCache>
            </c:numRef>
          </c:val>
        </c:ser>
        <c:ser>
          <c:idx val="3"/>
          <c:order val="3"/>
          <c:tx>
            <c:strRef>
              <c:f>'Tabelle Grafik'!$A$6</c:f>
              <c:strCache>
                <c:ptCount val="1"/>
                <c:pt idx="0">
                  <c:v>CO2-Lenkungsabgabe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Grafik'!$B$2:$I$2</c:f>
              <c:strCache>
                <c:ptCount val="8"/>
                <c:pt idx="0">
                  <c:v>Ölkessel</c:v>
                </c:pt>
                <c:pt idx="1">
                  <c:v>Gaskessel</c:v>
                </c:pt>
                <c:pt idx="2">
                  <c:v>WP Sole</c:v>
                </c:pt>
                <c:pt idx="3">
                  <c:v>WP Luft</c:v>
                </c:pt>
                <c:pt idx="4">
                  <c:v>Pellet</c:v>
                </c:pt>
                <c:pt idx="5">
                  <c:v>Pellet/Sonne</c:v>
                </c:pt>
                <c:pt idx="6">
                  <c:v>Öl/Sonne</c:v>
                </c:pt>
                <c:pt idx="7">
                  <c:v>Gas/Sonne</c:v>
                </c:pt>
              </c:strCache>
            </c:strRef>
          </c:cat>
          <c:val>
            <c:numRef>
              <c:f>'Tabelle Grafik'!$B$6:$I$6</c:f>
              <c:numCache>
                <c:ptCount val="8"/>
                <c:pt idx="0">
                  <c:v>892.6714285714285</c:v>
                </c:pt>
                <c:pt idx="1">
                  <c:v>653.7029702970297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803.4042857142856</c:v>
                </c:pt>
                <c:pt idx="7">
                  <c:v>588.3326732673269</c:v>
                </c:pt>
              </c:numCache>
            </c:numRef>
          </c:val>
        </c:ser>
        <c:ser>
          <c:idx val="5"/>
          <c:order val="4"/>
          <c:tx>
            <c:strRef>
              <c:f>'Tabelle Grafik'!$A$7</c:f>
              <c:strCache>
                <c:ptCount val="1"/>
                <c:pt idx="0">
                  <c:v>Externe Kosten kEPZ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Grafik'!$B$2:$I$2</c:f>
              <c:strCache>
                <c:ptCount val="8"/>
                <c:pt idx="0">
                  <c:v>Ölkessel</c:v>
                </c:pt>
                <c:pt idx="1">
                  <c:v>Gaskessel</c:v>
                </c:pt>
                <c:pt idx="2">
                  <c:v>WP Sole</c:v>
                </c:pt>
                <c:pt idx="3">
                  <c:v>WP Luft</c:v>
                </c:pt>
                <c:pt idx="4">
                  <c:v>Pellet</c:v>
                </c:pt>
                <c:pt idx="5">
                  <c:v>Pellet/Sonne</c:v>
                </c:pt>
                <c:pt idx="6">
                  <c:v>Öl/Sonne</c:v>
                </c:pt>
                <c:pt idx="7">
                  <c:v>Gas/Sonne</c:v>
                </c:pt>
              </c:strCache>
            </c:strRef>
          </c:cat>
          <c:val>
            <c:numRef>
              <c:f>'Tabelle Grafik'!$B$7:$I$7</c:f>
              <c:numCache>
                <c:ptCount val="8"/>
                <c:pt idx="0">
                  <c:v>4210.714285714285</c:v>
                </c:pt>
                <c:pt idx="1">
                  <c:v>2751</c:v>
                </c:pt>
                <c:pt idx="2">
                  <c:v>1273.611111111111</c:v>
                </c:pt>
                <c:pt idx="3">
                  <c:v>1637.5000000000002</c:v>
                </c:pt>
                <c:pt idx="4">
                  <c:v>1618.235294117647</c:v>
                </c:pt>
                <c:pt idx="5">
                  <c:v>1456.4117647058824</c:v>
                </c:pt>
                <c:pt idx="6">
                  <c:v>3789.642857142857</c:v>
                </c:pt>
                <c:pt idx="7">
                  <c:v>2475.9</c:v>
                </c:pt>
              </c:numCache>
            </c:numRef>
          </c:val>
        </c:ser>
        <c:overlap val="10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 val="autoZero"/>
        <c:auto val="0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At val="1"/>
        <c:crossBetween val="between"/>
        <c:dispUnits/>
      </c:valAx>
      <c:spPr>
        <a:solidFill>
          <a:srgbClr val="E3E3E3"/>
        </a:solidFill>
        <a:ln w="3175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125"/>
          <c:y val="0.32675"/>
          <c:w val="0.14675"/>
          <c:h val="0.3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Umweltbelastung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9925"/>
          <c:w val="0.9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'Kostenvergleich '!$A$109:$C$109</c:f>
              <c:strCache>
                <c:ptCount val="1"/>
                <c:pt idx="0">
                  <c:v>Fossiles CO2 aus Kamin t/Jahr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'Kostenvergleich '!$D$108:$K$108</c:f>
              <c:strCache/>
            </c:strRef>
          </c:cat>
          <c:val>
            <c:numRef>
              <c:f>'Kostenvergleich '!$D$109:$K$109</c:f>
              <c:numCache/>
            </c:numRef>
          </c:val>
        </c:ser>
        <c:ser>
          <c:idx val="1"/>
          <c:order val="1"/>
          <c:tx>
            <c:strRef>
              <c:f>'Kostenvergleich '!$A$110:$C$110</c:f>
              <c:strCache>
                <c:ptCount val="1"/>
                <c:pt idx="0">
                  <c:v>CO2-Aequivalente System t/Jahr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'Kostenvergleich '!$D$108:$K$108</c:f>
              <c:strCache/>
            </c:strRef>
          </c:cat>
          <c:val>
            <c:numRef>
              <c:f>'Kostenvergleich '!$D$110:$K$110</c:f>
              <c:numCache/>
            </c:numRef>
          </c:val>
        </c:ser>
        <c:ser>
          <c:idx val="2"/>
          <c:order val="2"/>
          <c:tx>
            <c:strRef>
              <c:f>'Kostenvergleich '!$A$111:$C$111</c:f>
              <c:strCache>
                <c:ptCount val="1"/>
                <c:pt idx="0">
                  <c:v>EcoIndicator'99-Punkte 100 Pt/Jahr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'Kostenvergleich '!$D$108:$K$108</c:f>
              <c:strCache/>
            </c:strRef>
          </c:cat>
          <c:val>
            <c:numRef>
              <c:f>'Kostenvergleich '!$D$111:$K$111</c:f>
              <c:numCache/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Heizsysteme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0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Ausstoss in Tonnen pro Jahr resp. 100 Punkte pro Jahr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95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9085"/>
          <c:w val="0.839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19050</xdr:rowOff>
    </xdr:from>
    <xdr:to>
      <xdr:col>11</xdr:col>
      <xdr:colOff>0</xdr:colOff>
      <xdr:row>107</xdr:row>
      <xdr:rowOff>47625</xdr:rowOff>
    </xdr:to>
    <xdr:graphicFrame>
      <xdr:nvGraphicFramePr>
        <xdr:cNvPr id="1" name="Chart 6"/>
        <xdr:cNvGraphicFramePr/>
      </xdr:nvGraphicFramePr>
      <xdr:xfrm>
        <a:off x="0" y="14316075"/>
        <a:ext cx="8334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111</xdr:row>
      <xdr:rowOff>95250</xdr:rowOff>
    </xdr:from>
    <xdr:to>
      <xdr:col>11</xdr:col>
      <xdr:colOff>19050</xdr:colOff>
      <xdr:row>133</xdr:row>
      <xdr:rowOff>95250</xdr:rowOff>
    </xdr:to>
    <xdr:graphicFrame>
      <xdr:nvGraphicFramePr>
        <xdr:cNvPr id="2" name="Chart 9"/>
        <xdr:cNvGraphicFramePr/>
      </xdr:nvGraphicFramePr>
      <xdr:xfrm>
        <a:off x="0" y="17992725"/>
        <a:ext cx="83534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9"/>
  <sheetViews>
    <sheetView showZeros="0" tabSelected="1" zoomScalePageLayoutView="0" workbookViewId="0" topLeftCell="A120">
      <selection activeCell="D154" sqref="D154"/>
    </sheetView>
  </sheetViews>
  <sheetFormatPr defaultColWidth="11.421875" defaultRowHeight="12.75"/>
  <cols>
    <col min="1" max="1" width="24.00390625" style="0" customWidth="1"/>
    <col min="2" max="2" width="5.28125" style="0" customWidth="1"/>
    <col min="3" max="3" width="8.8515625" style="0" customWidth="1"/>
    <col min="4" max="11" width="10.8515625" style="0" customWidth="1"/>
    <col min="12" max="12" width="10.8515625" style="9" customWidth="1"/>
    <col min="13" max="13" width="7.57421875" style="0" customWidth="1"/>
  </cols>
  <sheetData>
    <row r="1" spans="1:12" ht="18.75">
      <c r="A1" s="48" t="s">
        <v>102</v>
      </c>
      <c r="B1" s="49"/>
      <c r="C1" s="49"/>
      <c r="D1" s="49"/>
      <c r="E1" s="49"/>
      <c r="F1" s="49"/>
      <c r="G1" s="50"/>
      <c r="H1" s="51"/>
      <c r="I1" s="51"/>
      <c r="J1" s="49"/>
      <c r="K1" s="52"/>
      <c r="L1" s="53"/>
    </row>
    <row r="2" spans="1:12" ht="16.5" customHeight="1">
      <c r="A2" s="54" t="s">
        <v>120</v>
      </c>
      <c r="B2" s="49"/>
      <c r="C2" s="55"/>
      <c r="D2" s="49"/>
      <c r="E2" s="49"/>
      <c r="F2" s="49"/>
      <c r="G2" s="49"/>
      <c r="H2" s="49"/>
      <c r="I2" s="49"/>
      <c r="J2" s="49"/>
      <c r="K2" s="49"/>
      <c r="L2" s="56" t="s">
        <v>0</v>
      </c>
    </row>
    <row r="3" spans="1:12" ht="16.5" customHeight="1">
      <c r="A3" s="54"/>
      <c r="B3" s="49"/>
      <c r="C3" s="55"/>
      <c r="D3" s="49"/>
      <c r="E3" s="49"/>
      <c r="F3" s="49"/>
      <c r="G3" s="49"/>
      <c r="H3" s="49"/>
      <c r="I3" s="49"/>
      <c r="J3" s="49"/>
      <c r="K3" s="49"/>
      <c r="L3" s="56"/>
    </row>
    <row r="4" spans="1:12" s="2" customFormat="1" ht="12.75">
      <c r="A4" s="57" t="s">
        <v>103</v>
      </c>
      <c r="B4" s="57"/>
      <c r="C4" s="57"/>
      <c r="D4" s="58"/>
      <c r="E4" s="58"/>
      <c r="F4" s="58"/>
      <c r="G4" s="59" t="s">
        <v>80</v>
      </c>
      <c r="H4" s="58"/>
      <c r="I4" s="58"/>
      <c r="J4" s="58"/>
      <c r="K4" s="58"/>
      <c r="L4" s="60"/>
    </row>
    <row r="5" spans="1:12" s="2" customFormat="1" ht="12.75">
      <c r="A5" s="61" t="s">
        <v>104</v>
      </c>
      <c r="B5" s="57"/>
      <c r="C5" s="57"/>
      <c r="D5" s="58"/>
      <c r="E5" s="58"/>
      <c r="F5" s="58"/>
      <c r="G5" s="57"/>
      <c r="H5" s="58"/>
      <c r="I5" s="58"/>
      <c r="J5" s="58"/>
      <c r="K5" s="58"/>
      <c r="L5" s="60"/>
    </row>
    <row r="6" spans="1:12" s="2" customFormat="1" ht="12.75">
      <c r="A6" s="61" t="s">
        <v>105</v>
      </c>
      <c r="B6" s="57"/>
      <c r="C6" s="57"/>
      <c r="D6" s="58"/>
      <c r="E6" s="58"/>
      <c r="F6" s="62"/>
      <c r="G6" s="57"/>
      <c r="H6" s="58"/>
      <c r="I6" s="63"/>
      <c r="J6" s="58"/>
      <c r="K6" s="57"/>
      <c r="L6" s="64"/>
    </row>
    <row r="7" spans="1:12" s="2" customFormat="1" ht="12.75">
      <c r="A7" s="61" t="s">
        <v>106</v>
      </c>
      <c r="B7" s="57"/>
      <c r="C7" s="57"/>
      <c r="D7" s="58"/>
      <c r="E7" s="58"/>
      <c r="F7" s="58"/>
      <c r="G7" s="58"/>
      <c r="H7" s="58"/>
      <c r="I7" s="58"/>
      <c r="J7" s="58"/>
      <c r="K7" s="58"/>
      <c r="L7" s="60"/>
    </row>
    <row r="8" spans="1:12" ht="16.5" customHeight="1" thickBot="1">
      <c r="A8" s="65"/>
      <c r="B8" s="49"/>
      <c r="C8" s="55"/>
      <c r="D8" s="49"/>
      <c r="E8" s="49"/>
      <c r="F8" s="49"/>
      <c r="G8" s="49"/>
      <c r="H8" s="49"/>
      <c r="I8" s="49"/>
      <c r="J8" s="49"/>
      <c r="K8" s="49"/>
      <c r="L8" s="56"/>
    </row>
    <row r="9" spans="1:12" ht="16.5" thickBot="1">
      <c r="A9" s="66" t="s">
        <v>1</v>
      </c>
      <c r="B9" s="67"/>
      <c r="C9" s="67"/>
      <c r="D9" s="67" t="s">
        <v>2</v>
      </c>
      <c r="E9" s="67"/>
      <c r="F9" s="23">
        <v>1200</v>
      </c>
      <c r="G9" s="67" t="s">
        <v>3</v>
      </c>
      <c r="H9" s="68" t="s">
        <v>4</v>
      </c>
      <c r="I9" s="24" t="s">
        <v>93</v>
      </c>
      <c r="J9" s="25"/>
      <c r="K9" s="69"/>
      <c r="L9" s="27"/>
    </row>
    <row r="10" spans="1:12" ht="12.75">
      <c r="A10" s="74" t="s">
        <v>5</v>
      </c>
      <c r="B10" s="71"/>
      <c r="C10" s="71"/>
      <c r="D10" s="71" t="s">
        <v>6</v>
      </c>
      <c r="E10" s="71"/>
      <c r="F10" s="26">
        <v>200</v>
      </c>
      <c r="G10" s="71" t="s">
        <v>7</v>
      </c>
      <c r="H10" s="71" t="s">
        <v>8</v>
      </c>
      <c r="I10" s="8"/>
      <c r="J10" s="71"/>
      <c r="K10" s="26">
        <v>75</v>
      </c>
      <c r="L10" s="70" t="s">
        <v>7</v>
      </c>
    </row>
    <row r="11" spans="1:12" ht="13.5" thickBot="1">
      <c r="A11" s="84"/>
      <c r="B11" s="71"/>
      <c r="C11" s="71"/>
      <c r="D11" s="71" t="s">
        <v>9</v>
      </c>
      <c r="E11" s="71"/>
      <c r="F11" s="73"/>
      <c r="G11" s="86">
        <f>ROUND(K11*F9/3.6,-2)</f>
        <v>91700</v>
      </c>
      <c r="H11" s="71" t="s">
        <v>10</v>
      </c>
      <c r="I11" s="72" t="s">
        <v>11</v>
      </c>
      <c r="J11" s="71"/>
      <c r="K11" s="87">
        <f>F10+K10</f>
        <v>275</v>
      </c>
      <c r="L11" s="70" t="s">
        <v>7</v>
      </c>
    </row>
    <row r="12" spans="1:12" ht="2.25" customHeight="1" thickBot="1">
      <c r="A12" s="14"/>
      <c r="B12" s="15"/>
      <c r="C12" s="15"/>
      <c r="D12" s="15"/>
      <c r="E12" s="15"/>
      <c r="F12" s="16"/>
      <c r="G12" s="17"/>
      <c r="H12" s="15"/>
      <c r="I12" s="77"/>
      <c r="J12" s="15"/>
      <c r="K12" s="18"/>
      <c r="L12" s="19"/>
    </row>
    <row r="13" spans="1:12" ht="20.25" customHeight="1">
      <c r="A13" s="74" t="s">
        <v>12</v>
      </c>
      <c r="B13" s="76" t="s">
        <v>13</v>
      </c>
      <c r="C13" s="71"/>
      <c r="D13" s="72" t="s">
        <v>14</v>
      </c>
      <c r="E13" s="72" t="s">
        <v>15</v>
      </c>
      <c r="F13" s="72" t="s">
        <v>16</v>
      </c>
      <c r="G13" s="72" t="s">
        <v>17</v>
      </c>
      <c r="H13" s="72" t="s">
        <v>94</v>
      </c>
      <c r="I13" s="72" t="s">
        <v>96</v>
      </c>
      <c r="J13" s="72" t="s">
        <v>95</v>
      </c>
      <c r="K13" s="72" t="s">
        <v>125</v>
      </c>
      <c r="L13" s="78"/>
    </row>
    <row r="14" spans="1:12" ht="9.75" customHeight="1">
      <c r="A14" s="79"/>
      <c r="B14" s="80" t="s">
        <v>18</v>
      </c>
      <c r="C14" s="81"/>
      <c r="D14" s="81" t="s">
        <v>92</v>
      </c>
      <c r="E14" s="81" t="s">
        <v>19</v>
      </c>
      <c r="F14" s="81" t="s">
        <v>20</v>
      </c>
      <c r="G14" s="81" t="s">
        <v>20</v>
      </c>
      <c r="H14" s="81" t="s">
        <v>119</v>
      </c>
      <c r="I14" s="81" t="s">
        <v>119</v>
      </c>
      <c r="J14" s="81" t="s">
        <v>92</v>
      </c>
      <c r="K14" s="81" t="s">
        <v>19</v>
      </c>
      <c r="L14" s="75"/>
    </row>
    <row r="15" spans="1:12" ht="12.75">
      <c r="A15" s="82"/>
      <c r="B15" s="83"/>
      <c r="C15" s="71"/>
      <c r="D15" s="28">
        <v>9170</v>
      </c>
      <c r="E15" s="28">
        <v>0</v>
      </c>
      <c r="F15" s="28"/>
      <c r="G15" s="28">
        <v>0</v>
      </c>
      <c r="H15" s="29"/>
      <c r="I15" s="29"/>
      <c r="J15" s="29"/>
      <c r="K15" s="30"/>
      <c r="L15" s="31">
        <v>0</v>
      </c>
    </row>
    <row r="16" spans="1:12" ht="13.5" thickBot="1">
      <c r="A16" s="82"/>
      <c r="B16" s="71" t="s">
        <v>21</v>
      </c>
      <c r="C16" s="71"/>
      <c r="D16" s="71"/>
      <c r="E16" s="83" t="s">
        <v>22</v>
      </c>
      <c r="F16" s="85">
        <f>(D15*D20*D21)+(E15*E20*E21)+(F15*F20*F21)+(G15*G20*G21)+(H15*H20*H21)+(I15*I20*I21)+(J15*J20*J21)+(K15*K20*K21)+(L15*H20*H21)</f>
        <v>89866</v>
      </c>
      <c r="G16" s="71" t="s">
        <v>10</v>
      </c>
      <c r="H16" s="71" t="s">
        <v>21</v>
      </c>
      <c r="I16" s="71"/>
      <c r="J16" s="83" t="s">
        <v>23</v>
      </c>
      <c r="K16" s="85">
        <f>F16/F9*3.6</f>
        <v>269.598</v>
      </c>
      <c r="L16" s="88" t="s">
        <v>7</v>
      </c>
    </row>
    <row r="17" spans="1:12" ht="2.25" customHeight="1" thickBot="1">
      <c r="A17" s="21"/>
      <c r="B17" s="15"/>
      <c r="C17" s="15"/>
      <c r="D17" s="15"/>
      <c r="E17" s="15"/>
      <c r="F17" s="16"/>
      <c r="G17" s="15"/>
      <c r="H17" s="15"/>
      <c r="I17" s="15"/>
      <c r="J17" s="22"/>
      <c r="K17" s="16"/>
      <c r="L17" s="19"/>
    </row>
    <row r="18" spans="1:12" ht="13.5" thickBot="1">
      <c r="A18" s="89" t="s">
        <v>24</v>
      </c>
      <c r="B18" s="90"/>
      <c r="C18" s="71"/>
      <c r="D18" s="71"/>
      <c r="E18" s="71"/>
      <c r="F18" s="32">
        <v>91700</v>
      </c>
      <c r="G18" s="71" t="s">
        <v>25</v>
      </c>
      <c r="H18" s="71"/>
      <c r="I18" s="71"/>
      <c r="J18" s="72"/>
      <c r="K18" s="94"/>
      <c r="L18" s="20"/>
    </row>
    <row r="19" spans="1:12" ht="18" customHeight="1">
      <c r="A19" s="82" t="s">
        <v>26</v>
      </c>
      <c r="B19" s="71"/>
      <c r="C19" s="71"/>
      <c r="D19" s="91">
        <f>$F$18/D20/D21*(1-D23)</f>
        <v>9357.142857142857</v>
      </c>
      <c r="E19" s="91">
        <f aca="true" t="shared" si="0" ref="E19:J19">$F$18/E20/E21*(1-E23)</f>
        <v>9079.20792079208</v>
      </c>
      <c r="F19" s="91">
        <f t="shared" si="0"/>
        <v>25472.222222222223</v>
      </c>
      <c r="G19" s="91">
        <f t="shared" si="0"/>
        <v>32750.000000000004</v>
      </c>
      <c r="H19" s="92">
        <f t="shared" si="0"/>
        <v>20.746606334841626</v>
      </c>
      <c r="I19" s="92">
        <f t="shared" si="0"/>
        <v>18.671945701357465</v>
      </c>
      <c r="J19" s="92">
        <f t="shared" si="0"/>
        <v>8421.42857142857</v>
      </c>
      <c r="K19" s="92">
        <f>$F$18/K20/K21*(1-K23)</f>
        <v>8171.287128712872</v>
      </c>
      <c r="L19"/>
    </row>
    <row r="20" spans="1:12" ht="12.75">
      <c r="A20" s="82" t="s">
        <v>27</v>
      </c>
      <c r="B20" s="71"/>
      <c r="C20" s="72" t="s">
        <v>28</v>
      </c>
      <c r="D20" s="72">
        <v>10</v>
      </c>
      <c r="E20" s="72">
        <v>10.1</v>
      </c>
      <c r="F20" s="72">
        <v>1</v>
      </c>
      <c r="G20" s="72">
        <v>1</v>
      </c>
      <c r="H20" s="33">
        <v>5200</v>
      </c>
      <c r="I20" s="33">
        <v>5200</v>
      </c>
      <c r="J20" s="93">
        <v>10</v>
      </c>
      <c r="K20" s="93">
        <v>10.1</v>
      </c>
      <c r="L20"/>
    </row>
    <row r="21" spans="1:12" ht="12.75">
      <c r="A21" s="82" t="s">
        <v>29</v>
      </c>
      <c r="B21" s="71"/>
      <c r="C21" s="72" t="s">
        <v>30</v>
      </c>
      <c r="D21" s="34">
        <v>0.98</v>
      </c>
      <c r="E21" s="34">
        <v>1</v>
      </c>
      <c r="F21" s="34">
        <v>3.6</v>
      </c>
      <c r="G21" s="34">
        <v>2.8</v>
      </c>
      <c r="H21" s="34">
        <v>0.85</v>
      </c>
      <c r="I21" s="34">
        <v>0.85</v>
      </c>
      <c r="J21" s="34">
        <v>0.98</v>
      </c>
      <c r="K21" s="34">
        <v>1</v>
      </c>
      <c r="L21"/>
    </row>
    <row r="22" spans="1:12" ht="12.75">
      <c r="A22" s="82" t="s">
        <v>31</v>
      </c>
      <c r="B22" s="71"/>
      <c r="C22" s="72" t="s">
        <v>10</v>
      </c>
      <c r="D22" s="28">
        <f>0.009*F18/D21</f>
        <v>842.1428571428571</v>
      </c>
      <c r="E22" s="28">
        <f>0.008*F18/E21</f>
        <v>733.6</v>
      </c>
      <c r="F22" s="35"/>
      <c r="G22" s="35"/>
      <c r="H22" s="28">
        <f>0.015*F18/H21</f>
        <v>1618.235294117647</v>
      </c>
      <c r="I22" s="28">
        <f>0.015*F18/I21*(1-I23)+200</f>
        <v>1656.4117647058824</v>
      </c>
      <c r="J22" s="28">
        <f>0.009*F18/J21*(1-J23)+100</f>
        <v>857.9285714285714</v>
      </c>
      <c r="K22" s="28">
        <f>0.008*F18/K21*(1-K23)+100</f>
        <v>760.24</v>
      </c>
      <c r="L22"/>
    </row>
    <row r="23" spans="1:12" ht="12.75">
      <c r="A23" s="82" t="s">
        <v>32</v>
      </c>
      <c r="B23" s="71"/>
      <c r="C23" s="72"/>
      <c r="D23" s="36"/>
      <c r="E23" s="36"/>
      <c r="F23" s="35"/>
      <c r="G23" s="35"/>
      <c r="H23" s="35"/>
      <c r="I23" s="36">
        <v>0.1</v>
      </c>
      <c r="J23" s="36">
        <v>0.1</v>
      </c>
      <c r="K23" s="36">
        <v>0.1</v>
      </c>
      <c r="L23"/>
    </row>
    <row r="24" spans="4:12" ht="6" customHeight="1">
      <c r="D24" s="1"/>
      <c r="E24" s="1"/>
      <c r="F24" s="1"/>
      <c r="G24" s="1"/>
      <c r="H24" s="1"/>
      <c r="I24" s="1"/>
      <c r="J24" s="1"/>
      <c r="K24" s="1"/>
      <c r="L24" s="13"/>
    </row>
    <row r="25" spans="1:12" ht="12.75" customHeight="1">
      <c r="A25" s="95" t="s">
        <v>33</v>
      </c>
      <c r="B25" s="49"/>
      <c r="C25" s="49"/>
      <c r="D25" s="62" t="s">
        <v>14</v>
      </c>
      <c r="E25" s="62" t="s">
        <v>15</v>
      </c>
      <c r="F25" s="62" t="s">
        <v>16</v>
      </c>
      <c r="G25" s="62" t="s">
        <v>17</v>
      </c>
      <c r="H25" s="72" t="s">
        <v>94</v>
      </c>
      <c r="I25" s="72" t="s">
        <v>96</v>
      </c>
      <c r="J25" s="72" t="s">
        <v>95</v>
      </c>
      <c r="K25" s="72" t="s">
        <v>125</v>
      </c>
      <c r="L25"/>
    </row>
    <row r="26" spans="1:12" s="10" customFormat="1" ht="12.75">
      <c r="A26" s="65"/>
      <c r="C26" s="96" t="s">
        <v>34</v>
      </c>
      <c r="D26" s="96" t="s">
        <v>35</v>
      </c>
      <c r="E26" s="96" t="s">
        <v>35</v>
      </c>
      <c r="F26" s="96" t="s">
        <v>35</v>
      </c>
      <c r="G26" s="96" t="s">
        <v>35</v>
      </c>
      <c r="H26" s="96" t="s">
        <v>35</v>
      </c>
      <c r="I26" s="96" t="s">
        <v>35</v>
      </c>
      <c r="J26" s="96" t="s">
        <v>35</v>
      </c>
      <c r="K26" s="81" t="s">
        <v>126</v>
      </c>
      <c r="L26"/>
    </row>
    <row r="27" spans="1:12" s="10" customFormat="1" ht="12.75">
      <c r="A27" s="65" t="s">
        <v>36</v>
      </c>
      <c r="C27" s="37">
        <v>30</v>
      </c>
      <c r="D27" s="38">
        <v>7500</v>
      </c>
      <c r="E27" s="38"/>
      <c r="F27" s="37"/>
      <c r="G27" s="37"/>
      <c r="H27" s="37">
        <v>8000</v>
      </c>
      <c r="I27" s="37">
        <v>8000</v>
      </c>
      <c r="J27" s="37">
        <v>7500</v>
      </c>
      <c r="K27" s="38"/>
      <c r="L27"/>
    </row>
    <row r="28" spans="1:12" s="10" customFormat="1" ht="12.75">
      <c r="A28" s="65" t="s">
        <v>122</v>
      </c>
      <c r="C28" s="37">
        <v>25</v>
      </c>
      <c r="D28" s="37"/>
      <c r="E28" s="37">
        <v>6000</v>
      </c>
      <c r="F28" s="37"/>
      <c r="G28" s="37"/>
      <c r="H28" s="37"/>
      <c r="I28" s="37"/>
      <c r="J28" s="37"/>
      <c r="K28" s="37">
        <v>6000</v>
      </c>
      <c r="L28"/>
    </row>
    <row r="29" spans="1:12" s="10" customFormat="1" ht="12.75">
      <c r="A29" s="65" t="s">
        <v>121</v>
      </c>
      <c r="C29" s="37">
        <v>18</v>
      </c>
      <c r="D29" s="37">
        <v>16000</v>
      </c>
      <c r="E29" s="37">
        <v>10000</v>
      </c>
      <c r="F29" s="37">
        <v>30000</v>
      </c>
      <c r="G29" s="37">
        <v>38000</v>
      </c>
      <c r="H29" s="37">
        <v>22000</v>
      </c>
      <c r="I29" s="37">
        <v>22000</v>
      </c>
      <c r="J29" s="37">
        <v>16000</v>
      </c>
      <c r="K29" s="37">
        <v>10000</v>
      </c>
      <c r="L29"/>
    </row>
    <row r="30" spans="1:12" s="10" customFormat="1" ht="12.75">
      <c r="A30" s="65" t="s">
        <v>37</v>
      </c>
      <c r="C30" s="37">
        <v>30</v>
      </c>
      <c r="D30" s="37">
        <v>6000</v>
      </c>
      <c r="E30" s="37">
        <v>5000</v>
      </c>
      <c r="F30" s="37"/>
      <c r="G30" s="37"/>
      <c r="H30" s="37">
        <v>6000</v>
      </c>
      <c r="I30" s="37">
        <v>6000</v>
      </c>
      <c r="J30" s="37">
        <v>6000</v>
      </c>
      <c r="K30" s="37">
        <v>5000</v>
      </c>
      <c r="L30"/>
    </row>
    <row r="31" spans="1:12" s="10" customFormat="1" ht="12.75">
      <c r="A31" s="65" t="s">
        <v>38</v>
      </c>
      <c r="C31" s="37">
        <v>18</v>
      </c>
      <c r="D31" s="37">
        <v>1500</v>
      </c>
      <c r="E31" s="37">
        <v>1500</v>
      </c>
      <c r="F31" s="37">
        <v>1500</v>
      </c>
      <c r="G31" s="37">
        <v>1500</v>
      </c>
      <c r="H31" s="37">
        <v>1500</v>
      </c>
      <c r="I31" s="37">
        <v>1500</v>
      </c>
      <c r="J31" s="37">
        <v>1500</v>
      </c>
      <c r="K31" s="37">
        <v>1500</v>
      </c>
      <c r="L31"/>
    </row>
    <row r="32" spans="1:12" s="10" customFormat="1" ht="12.75">
      <c r="A32" s="65" t="s">
        <v>39</v>
      </c>
      <c r="C32" s="37">
        <v>20</v>
      </c>
      <c r="D32" s="37">
        <v>7500</v>
      </c>
      <c r="E32" s="37">
        <v>7500</v>
      </c>
      <c r="F32" s="37">
        <v>7500</v>
      </c>
      <c r="G32" s="37">
        <v>7500</v>
      </c>
      <c r="H32" s="37">
        <v>7500</v>
      </c>
      <c r="I32" s="37">
        <v>12000</v>
      </c>
      <c r="J32" s="37">
        <v>10000</v>
      </c>
      <c r="K32" s="37">
        <v>10000</v>
      </c>
      <c r="L32"/>
    </row>
    <row r="33" spans="1:12" s="10" customFormat="1" ht="12.75">
      <c r="A33" s="65" t="s">
        <v>40</v>
      </c>
      <c r="C33" s="37">
        <v>30</v>
      </c>
      <c r="D33" s="37"/>
      <c r="E33" s="37"/>
      <c r="F33" s="37">
        <v>42000</v>
      </c>
      <c r="G33" s="37">
        <v>0</v>
      </c>
      <c r="H33" s="37"/>
      <c r="I33" s="37"/>
      <c r="J33" s="37"/>
      <c r="K33" s="37"/>
      <c r="L33"/>
    </row>
    <row r="34" spans="1:12" s="10" customFormat="1" ht="12.75">
      <c r="A34" s="65" t="s">
        <v>41</v>
      </c>
      <c r="C34" s="37">
        <v>30</v>
      </c>
      <c r="D34" s="37">
        <v>6000</v>
      </c>
      <c r="E34" s="37">
        <v>6000</v>
      </c>
      <c r="F34" s="37">
        <v>6000</v>
      </c>
      <c r="G34" s="37">
        <v>6000</v>
      </c>
      <c r="H34" s="37">
        <v>6000</v>
      </c>
      <c r="I34" s="37">
        <v>6000</v>
      </c>
      <c r="J34" s="37">
        <v>6000</v>
      </c>
      <c r="K34" s="37">
        <v>6000</v>
      </c>
      <c r="L34"/>
    </row>
    <row r="35" spans="1:12" s="10" customFormat="1" ht="12.75">
      <c r="A35" s="65" t="s">
        <v>42</v>
      </c>
      <c r="C35" s="37">
        <v>30</v>
      </c>
      <c r="D35" s="37">
        <v>1500</v>
      </c>
      <c r="E35" s="37">
        <v>1500</v>
      </c>
      <c r="F35" s="37">
        <v>1500</v>
      </c>
      <c r="G35" s="37">
        <v>1500</v>
      </c>
      <c r="H35" s="37">
        <v>1500</v>
      </c>
      <c r="I35" s="37">
        <v>1500</v>
      </c>
      <c r="J35" s="37">
        <v>1500</v>
      </c>
      <c r="K35" s="37">
        <v>1500</v>
      </c>
      <c r="L35"/>
    </row>
    <row r="36" spans="1:12" s="10" customFormat="1" ht="12.75">
      <c r="A36" s="65" t="s">
        <v>43</v>
      </c>
      <c r="C36" s="37">
        <v>20</v>
      </c>
      <c r="D36" s="37">
        <v>5000</v>
      </c>
      <c r="E36" s="37">
        <v>5000</v>
      </c>
      <c r="F36" s="37">
        <v>5500</v>
      </c>
      <c r="G36" s="37">
        <v>6000</v>
      </c>
      <c r="H36" s="37">
        <v>5500</v>
      </c>
      <c r="I36" s="37">
        <v>7500</v>
      </c>
      <c r="J36" s="37">
        <v>7000</v>
      </c>
      <c r="K36" s="37">
        <v>7000</v>
      </c>
      <c r="L36"/>
    </row>
    <row r="37" spans="1:12" s="10" customFormat="1" ht="12.75">
      <c r="A37" s="65" t="s">
        <v>44</v>
      </c>
      <c r="C37" s="37">
        <v>25</v>
      </c>
      <c r="D37" s="37">
        <v>3000</v>
      </c>
      <c r="E37" s="37">
        <v>4000</v>
      </c>
      <c r="F37" s="37">
        <v>3500</v>
      </c>
      <c r="G37" s="37">
        <v>3500</v>
      </c>
      <c r="H37" s="37">
        <v>3500</v>
      </c>
      <c r="I37" s="37">
        <v>4000</v>
      </c>
      <c r="J37" s="37">
        <v>3500</v>
      </c>
      <c r="K37" s="37">
        <v>4500</v>
      </c>
      <c r="L37"/>
    </row>
    <row r="38" spans="1:12" s="10" customFormat="1" ht="12.75">
      <c r="A38" s="65" t="s">
        <v>45</v>
      </c>
      <c r="C38" s="37">
        <v>18</v>
      </c>
      <c r="D38" s="37">
        <v>3000</v>
      </c>
      <c r="E38" s="37">
        <v>3000</v>
      </c>
      <c r="F38" s="37">
        <v>3000</v>
      </c>
      <c r="G38" s="37">
        <v>3000</v>
      </c>
      <c r="H38" s="37">
        <v>3000</v>
      </c>
      <c r="I38" s="37">
        <v>4000</v>
      </c>
      <c r="J38" s="37">
        <v>4000</v>
      </c>
      <c r="K38" s="37">
        <v>4000</v>
      </c>
      <c r="L38"/>
    </row>
    <row r="39" spans="1:12" s="10" customFormat="1" ht="12.75">
      <c r="A39" s="65" t="s">
        <v>89</v>
      </c>
      <c r="C39" s="37">
        <v>20</v>
      </c>
      <c r="D39" s="37">
        <v>2000</v>
      </c>
      <c r="E39" s="37">
        <v>2000</v>
      </c>
      <c r="F39" s="37">
        <v>4000</v>
      </c>
      <c r="G39" s="37">
        <v>3000</v>
      </c>
      <c r="H39" s="37">
        <v>2000</v>
      </c>
      <c r="I39" s="37">
        <v>2000</v>
      </c>
      <c r="J39" s="37">
        <v>2000</v>
      </c>
      <c r="K39" s="37">
        <v>2000</v>
      </c>
      <c r="L39"/>
    </row>
    <row r="40" spans="1:12" s="10" customFormat="1" ht="12.75">
      <c r="A40" s="65" t="s">
        <v>128</v>
      </c>
      <c r="C40" s="37">
        <v>20</v>
      </c>
      <c r="D40" s="37">
        <v>5000</v>
      </c>
      <c r="E40" s="37">
        <v>5000</v>
      </c>
      <c r="F40" s="37">
        <v>5000</v>
      </c>
      <c r="G40" s="37">
        <v>5000</v>
      </c>
      <c r="H40" s="37">
        <v>5000</v>
      </c>
      <c r="I40" s="37">
        <v>5000</v>
      </c>
      <c r="J40" s="37">
        <v>5000</v>
      </c>
      <c r="K40" s="37">
        <v>5000</v>
      </c>
      <c r="L40"/>
    </row>
    <row r="41" spans="1:12" s="10" customFormat="1" ht="12.75">
      <c r="A41" s="65" t="s">
        <v>46</v>
      </c>
      <c r="C41" s="37">
        <v>20</v>
      </c>
      <c r="D41" s="37"/>
      <c r="E41" s="37"/>
      <c r="F41" s="37">
        <v>0</v>
      </c>
      <c r="G41" s="37"/>
      <c r="H41" s="37"/>
      <c r="I41" s="37">
        <v>12000</v>
      </c>
      <c r="J41" s="37">
        <v>12000</v>
      </c>
      <c r="K41" s="37">
        <v>12000</v>
      </c>
      <c r="L41"/>
    </row>
    <row r="42" spans="1:12" s="10" customFormat="1" ht="12.75">
      <c r="A42" s="97" t="s">
        <v>124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/>
    </row>
    <row r="43" spans="1:12" ht="12.75">
      <c r="A43" s="49" t="s">
        <v>47</v>
      </c>
      <c r="B43" s="49"/>
      <c r="C43" s="49"/>
      <c r="D43" s="98">
        <f>SUM(D27:D41)-D42</f>
        <v>64000</v>
      </c>
      <c r="E43" s="98">
        <f aca="true" t="shared" si="1" ref="E43:K43">SUM(E27:E41)-E42</f>
        <v>56500</v>
      </c>
      <c r="F43" s="98">
        <f t="shared" si="1"/>
        <v>109500</v>
      </c>
      <c r="G43" s="98">
        <f t="shared" si="1"/>
        <v>75000</v>
      </c>
      <c r="H43" s="98">
        <f t="shared" si="1"/>
        <v>71500</v>
      </c>
      <c r="I43" s="98">
        <f t="shared" si="1"/>
        <v>91500</v>
      </c>
      <c r="J43" s="98">
        <f t="shared" si="1"/>
        <v>82000</v>
      </c>
      <c r="K43" s="98">
        <f t="shared" si="1"/>
        <v>74500</v>
      </c>
      <c r="L43"/>
    </row>
    <row r="44" spans="1:12" s="10" customFormat="1" ht="12.75">
      <c r="A44" s="65" t="s">
        <v>48</v>
      </c>
      <c r="B44" s="65"/>
      <c r="C44" s="65"/>
      <c r="D44" s="99">
        <f>(D$27*$C$27+D$28*$C$28+D$29*$C$29+D$30*$C$30+D$31*$C$31+D$32*$C$32+D$33*$C$33+D$34*$C$34+D$35*$C$35+D$36*$C$36+D$37*$C$37+D$38*$C$38+D$39*$C$39+D$40*$C$40+D$41*$C$41)/(D$43+D42)</f>
        <v>22.875</v>
      </c>
      <c r="E44" s="99">
        <f aca="true" t="shared" si="2" ref="E44:K44">(E$27*$C$27+E$28*$C$28+E$29*$C$29+E$30*$C$30+E$31*$C$31+E$32*$C$32+E$33*$C$33+E$34*$C$34+E$35*$C$35+E$36*$C$36+E$37*$C$37+E$38*$C$38+E$39*$C$39+E$40*$C$40+E$41*$C$41)/(E$43+E42)</f>
        <v>22.58407079646018</v>
      </c>
      <c r="F44" s="99">
        <f t="shared" si="2"/>
        <v>24.050228310502284</v>
      </c>
      <c r="G44" s="99">
        <f t="shared" si="2"/>
        <v>20.1</v>
      </c>
      <c r="H44" s="99">
        <f t="shared" si="2"/>
        <v>22.51048951048951</v>
      </c>
      <c r="I44" s="99">
        <f t="shared" si="2"/>
        <v>21.9672131147541</v>
      </c>
      <c r="J44" s="99">
        <f t="shared" si="2"/>
        <v>22.25</v>
      </c>
      <c r="K44" s="99">
        <f t="shared" si="2"/>
        <v>21.966442953020135</v>
      </c>
      <c r="L44"/>
    </row>
    <row r="45" spans="1:13" s="10" customFormat="1" ht="12.75">
      <c r="A45" s="65" t="s">
        <v>49</v>
      </c>
      <c r="B45" s="39">
        <v>3</v>
      </c>
      <c r="C45" s="65" t="s">
        <v>50</v>
      </c>
      <c r="D45" s="100">
        <f>$B$45/100*POWER(1+$B$45/100,D44)/(POWER(1+$B$45/100,D44)-1)*100</f>
        <v>6.104600641000371</v>
      </c>
      <c r="E45" s="100">
        <f aca="true" t="shared" si="3" ref="E45:K45">$B$45/100*POWER(1+$B$45/100,E44)/(POWER(1+$B$45/100,E44)-1)*100</f>
        <v>6.159653978734509</v>
      </c>
      <c r="F45" s="100">
        <f t="shared" si="3"/>
        <v>5.896271724119845</v>
      </c>
      <c r="G45" s="100">
        <f t="shared" si="3"/>
        <v>6.697050012645557</v>
      </c>
      <c r="H45" s="100">
        <f t="shared" si="3"/>
        <v>6.173811859207127</v>
      </c>
      <c r="I45" s="100">
        <f t="shared" si="3"/>
        <v>6.281387747810088</v>
      </c>
      <c r="J45" s="100">
        <f t="shared" si="3"/>
        <v>6.224713220509438</v>
      </c>
      <c r="K45" s="100">
        <f t="shared" si="3"/>
        <v>6.281544162099771</v>
      </c>
      <c r="L45"/>
      <c r="M45" s="11"/>
    </row>
    <row r="46" spans="1:13" s="2" customFormat="1" ht="12.75">
      <c r="A46" s="101" t="s">
        <v>51</v>
      </c>
      <c r="B46" s="102"/>
      <c r="C46" s="103" t="s">
        <v>52</v>
      </c>
      <c r="D46" s="104">
        <f>D43*D45/100</f>
        <v>3906.9444102402367</v>
      </c>
      <c r="E46" s="104">
        <f aca="true" t="shared" si="4" ref="E46:K46">E43*E45/100</f>
        <v>3480.2044979849975</v>
      </c>
      <c r="F46" s="104">
        <f t="shared" si="4"/>
        <v>6456.417537911229</v>
      </c>
      <c r="G46" s="104">
        <f t="shared" si="4"/>
        <v>5022.787509484168</v>
      </c>
      <c r="H46" s="104">
        <f t="shared" si="4"/>
        <v>4414.275479333096</v>
      </c>
      <c r="I46" s="104">
        <f t="shared" si="4"/>
        <v>5747.469789246231</v>
      </c>
      <c r="J46" s="104">
        <f t="shared" si="4"/>
        <v>5104.264840817739</v>
      </c>
      <c r="K46" s="104">
        <f t="shared" si="4"/>
        <v>4679.750400764329</v>
      </c>
      <c r="L46"/>
      <c r="M46" s="3"/>
    </row>
    <row r="47" spans="1:12" ht="15.75">
      <c r="A47" s="95" t="s">
        <v>53</v>
      </c>
      <c r="B47" s="49"/>
      <c r="C47" s="49"/>
      <c r="D47" s="62" t="s">
        <v>54</v>
      </c>
      <c r="E47" s="62" t="s">
        <v>55</v>
      </c>
      <c r="F47" s="62" t="s">
        <v>16</v>
      </c>
      <c r="G47" s="62" t="s">
        <v>17</v>
      </c>
      <c r="H47" s="72" t="s">
        <v>94</v>
      </c>
      <c r="I47" s="72" t="s">
        <v>96</v>
      </c>
      <c r="J47" s="72" t="s">
        <v>95</v>
      </c>
      <c r="K47" s="62" t="s">
        <v>125</v>
      </c>
      <c r="L47"/>
    </row>
    <row r="48" spans="1:12" ht="15.75">
      <c r="A48" s="95"/>
      <c r="B48" s="49"/>
      <c r="C48" s="105" t="s">
        <v>30</v>
      </c>
      <c r="D48" s="106">
        <f aca="true" t="shared" si="5" ref="D48:J48">D21</f>
        <v>0.98</v>
      </c>
      <c r="E48" s="106">
        <f t="shared" si="5"/>
        <v>1</v>
      </c>
      <c r="F48" s="106">
        <f t="shared" si="5"/>
        <v>3.6</v>
      </c>
      <c r="G48" s="106">
        <f t="shared" si="5"/>
        <v>2.8</v>
      </c>
      <c r="H48" s="106">
        <f t="shared" si="5"/>
        <v>0.85</v>
      </c>
      <c r="I48" s="106">
        <f t="shared" si="5"/>
        <v>0.85</v>
      </c>
      <c r="J48" s="106">
        <f t="shared" si="5"/>
        <v>0.98</v>
      </c>
      <c r="K48" s="106">
        <v>1.02</v>
      </c>
      <c r="L48"/>
    </row>
    <row r="49" spans="1:12" ht="12.75">
      <c r="A49" s="49" t="s">
        <v>56</v>
      </c>
      <c r="B49" s="49"/>
      <c r="C49" s="105" t="s">
        <v>10</v>
      </c>
      <c r="D49" s="107">
        <f aca="true" t="shared" si="6" ref="D49:K49">D19*D20</f>
        <v>93571.42857142857</v>
      </c>
      <c r="E49" s="107">
        <f t="shared" si="6"/>
        <v>91700</v>
      </c>
      <c r="F49" s="107">
        <f t="shared" si="6"/>
        <v>25472.222222222223</v>
      </c>
      <c r="G49" s="107">
        <f t="shared" si="6"/>
        <v>32750.000000000004</v>
      </c>
      <c r="H49" s="107">
        <f t="shared" si="6"/>
        <v>107882.35294117646</v>
      </c>
      <c r="I49" s="107">
        <f t="shared" si="6"/>
        <v>97094.11764705883</v>
      </c>
      <c r="J49" s="107">
        <f t="shared" si="6"/>
        <v>84214.28571428571</v>
      </c>
      <c r="K49" s="107">
        <f t="shared" si="6"/>
        <v>82530</v>
      </c>
      <c r="L49"/>
    </row>
    <row r="50" spans="1:12" ht="12.75">
      <c r="A50" s="108" t="s">
        <v>53</v>
      </c>
      <c r="B50" s="49"/>
      <c r="C50" s="49"/>
      <c r="D50" s="62"/>
      <c r="E50" s="62"/>
      <c r="F50" s="62"/>
      <c r="G50" s="62"/>
      <c r="H50" s="62"/>
      <c r="I50" s="62"/>
      <c r="J50" s="62"/>
      <c r="K50" s="49"/>
      <c r="L50"/>
    </row>
    <row r="51" spans="1:12" ht="12.75">
      <c r="A51" s="49" t="s">
        <v>57</v>
      </c>
      <c r="B51" s="35">
        <v>80</v>
      </c>
      <c r="C51" s="49" t="s">
        <v>91</v>
      </c>
      <c r="D51" s="107">
        <f>D19*B51/100</f>
        <v>7485.714285714285</v>
      </c>
      <c r="E51" s="107"/>
      <c r="F51" s="107"/>
      <c r="G51" s="107"/>
      <c r="H51" s="107"/>
      <c r="I51" s="107"/>
      <c r="J51" s="107">
        <f>J19*B51/100</f>
        <v>6737.142857142857</v>
      </c>
      <c r="K51" s="107"/>
      <c r="L51"/>
    </row>
    <row r="52" spans="1:12" ht="12.75">
      <c r="A52" s="49" t="s">
        <v>58</v>
      </c>
      <c r="B52" s="35">
        <v>300</v>
      </c>
      <c r="C52" s="49" t="s">
        <v>59</v>
      </c>
      <c r="D52" s="107"/>
      <c r="E52" s="107">
        <f>$B52</f>
        <v>300</v>
      </c>
      <c r="F52" s="107"/>
      <c r="G52" s="107"/>
      <c r="H52" s="107"/>
      <c r="I52" s="107"/>
      <c r="J52" s="107"/>
      <c r="K52" s="107">
        <f>$B52</f>
        <v>300</v>
      </c>
      <c r="L52"/>
    </row>
    <row r="53" spans="1:12" ht="12.75">
      <c r="A53" s="49" t="s">
        <v>60</v>
      </c>
      <c r="B53" s="35">
        <v>7.1</v>
      </c>
      <c r="C53" s="49" t="s">
        <v>61</v>
      </c>
      <c r="D53" s="107"/>
      <c r="E53" s="107">
        <f>E19*$B53/10</f>
        <v>6446.237623762377</v>
      </c>
      <c r="F53" s="107"/>
      <c r="G53" s="107"/>
      <c r="H53" s="107"/>
      <c r="I53" s="107"/>
      <c r="J53" s="107"/>
      <c r="K53" s="107">
        <f>K19*$B53/10</f>
        <v>5801.6138613861385</v>
      </c>
      <c r="L53"/>
    </row>
    <row r="54" spans="1:12" ht="12.75">
      <c r="A54" s="49" t="s">
        <v>62</v>
      </c>
      <c r="B54" s="35">
        <v>125</v>
      </c>
      <c r="C54" s="49" t="s">
        <v>59</v>
      </c>
      <c r="D54" s="107"/>
      <c r="E54" s="107"/>
      <c r="F54" s="107">
        <f>B54</f>
        <v>125</v>
      </c>
      <c r="G54" s="107">
        <f>B54</f>
        <v>125</v>
      </c>
      <c r="H54" s="107"/>
      <c r="I54" s="107"/>
      <c r="J54" s="107"/>
      <c r="K54" s="107"/>
      <c r="L54"/>
    </row>
    <row r="55" spans="1:12" ht="12.75">
      <c r="A55" s="49" t="s">
        <v>63</v>
      </c>
      <c r="B55" s="35">
        <v>19.5</v>
      </c>
      <c r="C55" s="49" t="s">
        <v>61</v>
      </c>
      <c r="D55" s="107">
        <f aca="true" t="shared" si="7" ref="D55:K55">D22*$B55*0.67/100</f>
        <v>110.0259642857143</v>
      </c>
      <c r="E55" s="107">
        <f t="shared" si="7"/>
        <v>95.84484</v>
      </c>
      <c r="F55" s="107">
        <f t="shared" si="7"/>
        <v>0</v>
      </c>
      <c r="G55" s="107">
        <f t="shared" si="7"/>
        <v>0</v>
      </c>
      <c r="H55" s="107">
        <f t="shared" si="7"/>
        <v>211.4224411764706</v>
      </c>
      <c r="I55" s="107">
        <f t="shared" si="7"/>
        <v>216.41019705882354</v>
      </c>
      <c r="J55" s="107">
        <f t="shared" si="7"/>
        <v>112.08836785714287</v>
      </c>
      <c r="K55" s="107">
        <f t="shared" si="7"/>
        <v>99.32535600000001</v>
      </c>
      <c r="L55"/>
    </row>
    <row r="56" spans="1:12" ht="12.75">
      <c r="A56" s="49" t="s">
        <v>64</v>
      </c>
      <c r="B56" s="35">
        <v>8</v>
      </c>
      <c r="C56" s="49" t="s">
        <v>61</v>
      </c>
      <c r="D56" s="107">
        <f aca="true" t="shared" si="8" ref="D56:K56">D22*$B56*0.33/100</f>
        <v>22.23257142857143</v>
      </c>
      <c r="E56" s="107">
        <f t="shared" si="8"/>
        <v>19.367040000000003</v>
      </c>
      <c r="F56" s="107">
        <f t="shared" si="8"/>
        <v>0</v>
      </c>
      <c r="G56" s="107">
        <f t="shared" si="8"/>
        <v>0</v>
      </c>
      <c r="H56" s="107">
        <f t="shared" si="8"/>
        <v>42.721411764705884</v>
      </c>
      <c r="I56" s="107">
        <f t="shared" si="8"/>
        <v>43.729270588235295</v>
      </c>
      <c r="J56" s="107">
        <f t="shared" si="8"/>
        <v>22.649314285714286</v>
      </c>
      <c r="K56" s="107">
        <f t="shared" si="8"/>
        <v>20.070336</v>
      </c>
      <c r="L56"/>
    </row>
    <row r="57" spans="1:12" ht="12.75">
      <c r="A57" s="49" t="s">
        <v>65</v>
      </c>
      <c r="B57" s="35">
        <v>15</v>
      </c>
      <c r="C57" s="49" t="s">
        <v>61</v>
      </c>
      <c r="D57" s="107"/>
      <c r="E57" s="107"/>
      <c r="F57" s="107">
        <f>F19*B57/100*0.67</f>
        <v>2559.9583333333335</v>
      </c>
      <c r="G57" s="107">
        <f>G19*B57*0.67/100</f>
        <v>3291.3750000000005</v>
      </c>
      <c r="H57" s="107"/>
      <c r="I57" s="107"/>
      <c r="J57" s="107"/>
      <c r="K57" s="107"/>
      <c r="L57"/>
    </row>
    <row r="58" spans="1:12" ht="12.75">
      <c r="A58" s="49" t="s">
        <v>66</v>
      </c>
      <c r="B58" s="35">
        <v>11</v>
      </c>
      <c r="C58" s="49" t="s">
        <v>61</v>
      </c>
      <c r="D58" s="107"/>
      <c r="E58" s="107"/>
      <c r="F58" s="107">
        <f>F19*B58*0.33/100</f>
        <v>924.6416666666668</v>
      </c>
      <c r="G58" s="107">
        <f>G19*B58*0.33/100</f>
        <v>1188.8250000000003</v>
      </c>
      <c r="H58" s="107"/>
      <c r="I58" s="107"/>
      <c r="J58" s="107"/>
      <c r="K58" s="107"/>
      <c r="L58"/>
    </row>
    <row r="59" spans="1:12" ht="12.75">
      <c r="A59" s="49" t="s">
        <v>67</v>
      </c>
      <c r="B59" s="40">
        <v>300</v>
      </c>
      <c r="C59" s="49" t="s">
        <v>118</v>
      </c>
      <c r="D59" s="107"/>
      <c r="E59" s="107"/>
      <c r="F59" s="107"/>
      <c r="G59" s="107"/>
      <c r="H59" s="107">
        <f>H19*B59</f>
        <v>6223.981900452488</v>
      </c>
      <c r="I59" s="107">
        <f>I19*B59</f>
        <v>5601.58371040724</v>
      </c>
      <c r="J59" s="107"/>
      <c r="K59" s="107"/>
      <c r="L59"/>
    </row>
    <row r="60" spans="1:12" s="2" customFormat="1" ht="12.75">
      <c r="A60" s="101" t="s">
        <v>68</v>
      </c>
      <c r="B60" s="102"/>
      <c r="C60" s="103" t="s">
        <v>52</v>
      </c>
      <c r="D60" s="104">
        <f aca="true" t="shared" si="9" ref="D60:K60">SUM(D51:D59)</f>
        <v>7617.9728214285715</v>
      </c>
      <c r="E60" s="104">
        <f t="shared" si="9"/>
        <v>6861.4495037623765</v>
      </c>
      <c r="F60" s="104">
        <f t="shared" si="9"/>
        <v>3609.6000000000004</v>
      </c>
      <c r="G60" s="104">
        <f t="shared" si="9"/>
        <v>4605.200000000001</v>
      </c>
      <c r="H60" s="104">
        <f t="shared" si="9"/>
        <v>6478.125753393664</v>
      </c>
      <c r="I60" s="104">
        <f t="shared" si="9"/>
        <v>5861.723178054299</v>
      </c>
      <c r="J60" s="104">
        <f t="shared" si="9"/>
        <v>6871.880539285714</v>
      </c>
      <c r="K60" s="104">
        <f t="shared" si="9"/>
        <v>6221.009553386139</v>
      </c>
      <c r="L60"/>
    </row>
    <row r="61" spans="1:12" ht="6.75" customHeight="1">
      <c r="A61" s="49"/>
      <c r="B61" s="49"/>
      <c r="C61" s="49"/>
      <c r="D61" s="7"/>
      <c r="E61" s="7"/>
      <c r="F61" s="7"/>
      <c r="G61" s="7"/>
      <c r="H61" s="7"/>
      <c r="I61" s="7"/>
      <c r="J61" s="7"/>
      <c r="K61" s="7"/>
      <c r="L61"/>
    </row>
    <row r="62" spans="1:12" ht="15.75">
      <c r="A62" s="95" t="s">
        <v>69</v>
      </c>
      <c r="B62" s="49"/>
      <c r="C62" s="49"/>
      <c r="D62" s="7"/>
      <c r="E62" s="7"/>
      <c r="F62" s="7"/>
      <c r="G62" s="7"/>
      <c r="H62" s="7"/>
      <c r="I62" s="7"/>
      <c r="J62" s="7"/>
      <c r="K62" s="7"/>
      <c r="L62"/>
    </row>
    <row r="63" spans="1:12" ht="12.75">
      <c r="A63" s="49" t="s">
        <v>70</v>
      </c>
      <c r="B63" s="49"/>
      <c r="C63" s="49"/>
      <c r="D63" s="41">
        <v>600</v>
      </c>
      <c r="E63" s="41">
        <v>450</v>
      </c>
      <c r="F63" s="41">
        <v>150</v>
      </c>
      <c r="G63" s="41">
        <v>350</v>
      </c>
      <c r="H63" s="41">
        <v>700</v>
      </c>
      <c r="I63" s="41">
        <v>700</v>
      </c>
      <c r="J63" s="41">
        <v>600</v>
      </c>
      <c r="K63" s="41">
        <v>450</v>
      </c>
      <c r="L63"/>
    </row>
    <row r="64" spans="1:12" ht="12.75">
      <c r="A64" s="49" t="s">
        <v>71</v>
      </c>
      <c r="B64" s="49"/>
      <c r="C64" s="49"/>
      <c r="D64" s="41">
        <v>40</v>
      </c>
      <c r="E64" s="41">
        <v>20</v>
      </c>
      <c r="F64" s="41"/>
      <c r="G64" s="41"/>
      <c r="H64" s="41"/>
      <c r="I64" s="41"/>
      <c r="J64" s="41">
        <v>40</v>
      </c>
      <c r="K64" s="41">
        <v>20</v>
      </c>
      <c r="L64"/>
    </row>
    <row r="65" spans="1:12" ht="12.75">
      <c r="A65" s="49" t="s">
        <v>72</v>
      </c>
      <c r="B65" s="49"/>
      <c r="C65" s="49"/>
      <c r="D65" s="41">
        <v>250</v>
      </c>
      <c r="E65" s="41">
        <v>62</v>
      </c>
      <c r="F65" s="41"/>
      <c r="G65" s="41"/>
      <c r="H65" s="41">
        <v>250</v>
      </c>
      <c r="I65" s="41">
        <v>250</v>
      </c>
      <c r="J65" s="41">
        <v>250</v>
      </c>
      <c r="K65" s="41">
        <v>62</v>
      </c>
      <c r="L65"/>
    </row>
    <row r="66" spans="1:12" ht="12.75">
      <c r="A66" s="49" t="s">
        <v>73</v>
      </c>
      <c r="B66" s="49"/>
      <c r="C66" s="49"/>
      <c r="D66" s="41">
        <v>180</v>
      </c>
      <c r="E66" s="41"/>
      <c r="F66" s="41"/>
      <c r="G66" s="41"/>
      <c r="H66" s="41"/>
      <c r="I66" s="41"/>
      <c r="J66" s="41">
        <v>180</v>
      </c>
      <c r="K66" s="41"/>
      <c r="L66"/>
    </row>
    <row r="67" spans="1:12" ht="12.75">
      <c r="A67" s="49" t="s">
        <v>74</v>
      </c>
      <c r="B67" s="49"/>
      <c r="C67" s="49"/>
      <c r="D67" s="44">
        <f>$B$45*D51/100*0.5</f>
        <v>112.28571428571428</v>
      </c>
      <c r="E67" s="42"/>
      <c r="F67" s="42"/>
      <c r="G67" s="42"/>
      <c r="H67" s="44">
        <f>$B$45*H59/100*0.5</f>
        <v>93.35972850678732</v>
      </c>
      <c r="I67" s="44">
        <f>$B$45*I59/100*0.5</f>
        <v>84.02375565610859</v>
      </c>
      <c r="J67" s="44">
        <f>$B$45*J51/100*0.5</f>
        <v>101.05714285714286</v>
      </c>
      <c r="K67" s="44"/>
      <c r="L67"/>
    </row>
    <row r="68" spans="1:12" s="2" customFormat="1" ht="12.75">
      <c r="A68" s="101" t="s">
        <v>75</v>
      </c>
      <c r="B68" s="102"/>
      <c r="C68" s="103" t="s">
        <v>52</v>
      </c>
      <c r="D68" s="104">
        <f aca="true" t="shared" si="10" ref="D68:K68">SUM(D63:D67)</f>
        <v>1182.2857142857142</v>
      </c>
      <c r="E68" s="104">
        <f t="shared" si="10"/>
        <v>532</v>
      </c>
      <c r="F68" s="104">
        <f t="shared" si="10"/>
        <v>150</v>
      </c>
      <c r="G68" s="104">
        <f t="shared" si="10"/>
        <v>350</v>
      </c>
      <c r="H68" s="104">
        <f t="shared" si="10"/>
        <v>1043.3597285067874</v>
      </c>
      <c r="I68" s="104">
        <f t="shared" si="10"/>
        <v>1034.0237556561085</v>
      </c>
      <c r="J68" s="104">
        <f t="shared" si="10"/>
        <v>1171.057142857143</v>
      </c>
      <c r="K68" s="104">
        <f t="shared" si="10"/>
        <v>532</v>
      </c>
      <c r="L68"/>
    </row>
    <row r="69" spans="1:12" ht="4.5" customHeight="1">
      <c r="A69" s="49"/>
      <c r="B69" s="49"/>
      <c r="C69" s="49"/>
      <c r="D69" s="62"/>
      <c r="E69" s="62"/>
      <c r="F69" s="62"/>
      <c r="G69" s="62"/>
      <c r="H69" s="62"/>
      <c r="I69" s="62"/>
      <c r="J69" s="62"/>
      <c r="K69" s="62"/>
      <c r="L69"/>
    </row>
    <row r="70" spans="1:12" ht="15.75">
      <c r="A70" s="95" t="s">
        <v>76</v>
      </c>
      <c r="B70" s="49"/>
      <c r="C70" s="49"/>
      <c r="D70" s="62" t="s">
        <v>54</v>
      </c>
      <c r="E70" s="62" t="s">
        <v>55</v>
      </c>
      <c r="F70" s="62" t="s">
        <v>16</v>
      </c>
      <c r="G70" s="62" t="s">
        <v>17</v>
      </c>
      <c r="H70" s="72" t="s">
        <v>94</v>
      </c>
      <c r="I70" s="72" t="s">
        <v>96</v>
      </c>
      <c r="J70" s="72" t="s">
        <v>95</v>
      </c>
      <c r="K70" s="62" t="s">
        <v>125</v>
      </c>
      <c r="L70"/>
    </row>
    <row r="71" spans="1:12" ht="12.75">
      <c r="A71" s="49" t="s">
        <v>77</v>
      </c>
      <c r="B71" s="49"/>
      <c r="C71" s="49"/>
      <c r="D71" s="107">
        <f aca="true" t="shared" si="11" ref="D71:J71">D46</f>
        <v>3906.9444102402367</v>
      </c>
      <c r="E71" s="107">
        <f t="shared" si="11"/>
        <v>3480.2044979849975</v>
      </c>
      <c r="F71" s="107">
        <f t="shared" si="11"/>
        <v>6456.417537911229</v>
      </c>
      <c r="G71" s="107">
        <f t="shared" si="11"/>
        <v>5022.787509484168</v>
      </c>
      <c r="H71" s="107">
        <f t="shared" si="11"/>
        <v>4414.275479333096</v>
      </c>
      <c r="I71" s="107">
        <f t="shared" si="11"/>
        <v>5747.469789246231</v>
      </c>
      <c r="J71" s="107">
        <f t="shared" si="11"/>
        <v>5104.264840817739</v>
      </c>
      <c r="K71" s="107">
        <f>K46</f>
        <v>4679.750400764329</v>
      </c>
      <c r="L71" s="8"/>
    </row>
    <row r="72" spans="1:12" ht="12.75">
      <c r="A72" s="49" t="s">
        <v>53</v>
      </c>
      <c r="B72" s="49"/>
      <c r="C72" s="49"/>
      <c r="D72" s="107">
        <f aca="true" t="shared" si="12" ref="D72:J72">D60</f>
        <v>7617.9728214285715</v>
      </c>
      <c r="E72" s="107">
        <f t="shared" si="12"/>
        <v>6861.4495037623765</v>
      </c>
      <c r="F72" s="107">
        <f t="shared" si="12"/>
        <v>3609.6000000000004</v>
      </c>
      <c r="G72" s="107">
        <f t="shared" si="12"/>
        <v>4605.200000000001</v>
      </c>
      <c r="H72" s="107">
        <f t="shared" si="12"/>
        <v>6478.125753393664</v>
      </c>
      <c r="I72" s="107">
        <f t="shared" si="12"/>
        <v>5861.723178054299</v>
      </c>
      <c r="J72" s="107">
        <f t="shared" si="12"/>
        <v>6871.880539285714</v>
      </c>
      <c r="K72" s="107">
        <f>K60</f>
        <v>6221.009553386139</v>
      </c>
      <c r="L72" s="8"/>
    </row>
    <row r="73" spans="1:12" ht="12.75">
      <c r="A73" s="49" t="s">
        <v>69</v>
      </c>
      <c r="B73" s="49"/>
      <c r="C73" s="49"/>
      <c r="D73" s="107">
        <f aca="true" t="shared" si="13" ref="D73:J73">D68</f>
        <v>1182.2857142857142</v>
      </c>
      <c r="E73" s="107">
        <f t="shared" si="13"/>
        <v>532</v>
      </c>
      <c r="F73" s="107">
        <f t="shared" si="13"/>
        <v>150</v>
      </c>
      <c r="G73" s="107">
        <f t="shared" si="13"/>
        <v>350</v>
      </c>
      <c r="H73" s="107">
        <f t="shared" si="13"/>
        <v>1043.3597285067874</v>
      </c>
      <c r="I73" s="107">
        <f t="shared" si="13"/>
        <v>1034.0237556561085</v>
      </c>
      <c r="J73" s="107">
        <f t="shared" si="13"/>
        <v>1171.057142857143</v>
      </c>
      <c r="K73" s="107">
        <f>K68</f>
        <v>532</v>
      </c>
      <c r="L73" s="8"/>
    </row>
    <row r="74" spans="1:12" s="2" customFormat="1" ht="12.75">
      <c r="A74" s="101" t="s">
        <v>76</v>
      </c>
      <c r="B74" s="102"/>
      <c r="C74" s="109" t="s">
        <v>52</v>
      </c>
      <c r="D74" s="104">
        <f>SUM(D71:D73)</f>
        <v>12707.202945954523</v>
      </c>
      <c r="E74" s="104">
        <f aca="true" t="shared" si="14" ref="E74:K74">SUM(E71:E73)</f>
        <v>10873.654001747374</v>
      </c>
      <c r="F74" s="104">
        <f t="shared" si="14"/>
        <v>10216.01753791123</v>
      </c>
      <c r="G74" s="104">
        <f t="shared" si="14"/>
        <v>9977.98750948417</v>
      </c>
      <c r="H74" s="104">
        <f t="shared" si="14"/>
        <v>11935.760961233547</v>
      </c>
      <c r="I74" s="104">
        <f t="shared" si="14"/>
        <v>12643.216722956637</v>
      </c>
      <c r="J74" s="104">
        <f t="shared" si="14"/>
        <v>13147.202522960597</v>
      </c>
      <c r="K74" s="104">
        <f t="shared" si="14"/>
        <v>11432.759954150468</v>
      </c>
      <c r="L74" s="8"/>
    </row>
    <row r="75" spans="1:12" ht="12.75">
      <c r="A75" s="49" t="s">
        <v>78</v>
      </c>
      <c r="B75" s="49"/>
      <c r="C75" s="62" t="s">
        <v>50</v>
      </c>
      <c r="D75" s="62">
        <v>100</v>
      </c>
      <c r="E75" s="107">
        <f aca="true" t="shared" si="15" ref="E75:J75">E74/$D$74*100</f>
        <v>85.57079042488355</v>
      </c>
      <c r="F75" s="107">
        <f t="shared" si="15"/>
        <v>80.39548578362488</v>
      </c>
      <c r="G75" s="107">
        <f t="shared" si="15"/>
        <v>78.52229599166645</v>
      </c>
      <c r="H75" s="107">
        <f t="shared" si="15"/>
        <v>93.92909684371908</v>
      </c>
      <c r="I75" s="107">
        <f t="shared" si="15"/>
        <v>99.49645706242335</v>
      </c>
      <c r="J75" s="107">
        <f t="shared" si="15"/>
        <v>103.46259974659611</v>
      </c>
      <c r="K75" s="107">
        <f>K74/$D$74*100</f>
        <v>89.9707040390837</v>
      </c>
      <c r="L75" s="8"/>
    </row>
    <row r="76" spans="1:12" ht="12.75">
      <c r="A76" s="49"/>
      <c r="B76" s="49"/>
      <c r="C76" s="62"/>
      <c r="D76" s="62"/>
      <c r="E76" s="107"/>
      <c r="F76" s="107"/>
      <c r="G76" s="107"/>
      <c r="H76" s="107"/>
      <c r="I76" s="107"/>
      <c r="J76" s="107"/>
      <c r="K76" s="107"/>
      <c r="L76" s="8"/>
    </row>
    <row r="77" spans="1:12" s="2" customFormat="1" ht="12.75">
      <c r="A77" s="57" t="s">
        <v>79</v>
      </c>
      <c r="B77" s="57"/>
      <c r="C77" s="110" t="s">
        <v>61</v>
      </c>
      <c r="D77" s="111">
        <f>D74/$F$18*100</f>
        <v>13.857364172251389</v>
      </c>
      <c r="E77" s="111">
        <f aca="true" t="shared" si="16" ref="E77:J77">E74/$F$18*100</f>
        <v>11.857856054250137</v>
      </c>
      <c r="F77" s="111">
        <f t="shared" si="16"/>
        <v>11.14069524308749</v>
      </c>
      <c r="G77" s="111">
        <f t="shared" si="16"/>
        <v>10.881120511978375</v>
      </c>
      <c r="H77" s="111">
        <f t="shared" si="16"/>
        <v>13.016097013340836</v>
      </c>
      <c r="I77" s="111">
        <f t="shared" si="16"/>
        <v>13.787586393627738</v>
      </c>
      <c r="J77" s="111">
        <f t="shared" si="16"/>
        <v>14.337189228964665</v>
      </c>
      <c r="K77" s="111">
        <f>K74/$F$18*100</f>
        <v>12.467568107034316</v>
      </c>
      <c r="L77" s="8"/>
    </row>
    <row r="78" spans="1:14" s="2" customFormat="1" ht="5.25" customHeight="1">
      <c r="A78" s="57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45"/>
      <c r="N78" s="4"/>
    </row>
    <row r="79" spans="1:12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8"/>
    </row>
    <row r="80" spans="1:12" ht="15.75">
      <c r="A80" s="95" t="s">
        <v>81</v>
      </c>
      <c r="B80" s="49"/>
      <c r="C80" s="49"/>
      <c r="D80" s="62"/>
      <c r="E80" s="62"/>
      <c r="F80" s="62"/>
      <c r="G80" s="62"/>
      <c r="H80" s="62"/>
      <c r="I80" s="62"/>
      <c r="J80" s="62"/>
      <c r="K80" s="62"/>
      <c r="L80" s="12"/>
    </row>
    <row r="81" spans="1:12" s="2" customFormat="1" ht="12.75">
      <c r="A81" s="57"/>
      <c r="B81" s="57"/>
      <c r="C81" s="57"/>
      <c r="D81" s="62" t="s">
        <v>54</v>
      </c>
      <c r="E81" s="62" t="s">
        <v>55</v>
      </c>
      <c r="F81" s="62" t="s">
        <v>16</v>
      </c>
      <c r="G81" s="62" t="s">
        <v>17</v>
      </c>
      <c r="H81" s="72" t="s">
        <v>94</v>
      </c>
      <c r="I81" s="72" t="s">
        <v>96</v>
      </c>
      <c r="J81" s="72" t="s">
        <v>95</v>
      </c>
      <c r="K81" s="62" t="s">
        <v>125</v>
      </c>
      <c r="L81" s="8"/>
    </row>
    <row r="82" spans="1:12" ht="12.75">
      <c r="A82" s="49" t="s">
        <v>82</v>
      </c>
      <c r="B82" s="49"/>
      <c r="C82" s="112" t="s">
        <v>52</v>
      </c>
      <c r="D82" s="58">
        <f aca="true" t="shared" si="17" ref="D82:J82">D74</f>
        <v>12707.202945954523</v>
      </c>
      <c r="E82" s="58">
        <f t="shared" si="17"/>
        <v>10873.654001747374</v>
      </c>
      <c r="F82" s="58">
        <f t="shared" si="17"/>
        <v>10216.01753791123</v>
      </c>
      <c r="G82" s="58">
        <f t="shared" si="17"/>
        <v>9977.98750948417</v>
      </c>
      <c r="H82" s="58">
        <f t="shared" si="17"/>
        <v>11935.760961233547</v>
      </c>
      <c r="I82" s="58">
        <f t="shared" si="17"/>
        <v>12643.216722956637</v>
      </c>
      <c r="J82" s="58">
        <f t="shared" si="17"/>
        <v>13147.202522960597</v>
      </c>
      <c r="K82" s="58">
        <f>K74</f>
        <v>11432.759954150468</v>
      </c>
      <c r="L82" s="8"/>
    </row>
    <row r="83" spans="1:12" ht="12.75">
      <c r="A83" s="49" t="s">
        <v>101</v>
      </c>
      <c r="B83" s="35">
        <v>36</v>
      </c>
      <c r="C83" s="113" t="s">
        <v>88</v>
      </c>
      <c r="D83" s="107">
        <f aca="true" t="shared" si="18" ref="D83:K83">$B83*D109</f>
        <v>892.6714285714285</v>
      </c>
      <c r="E83" s="107">
        <f t="shared" si="18"/>
        <v>653.7029702970297</v>
      </c>
      <c r="F83" s="107">
        <f t="shared" si="18"/>
        <v>0</v>
      </c>
      <c r="G83" s="107">
        <f t="shared" si="18"/>
        <v>0</v>
      </c>
      <c r="H83" s="107">
        <f t="shared" si="18"/>
        <v>0</v>
      </c>
      <c r="I83" s="107">
        <f t="shared" si="18"/>
        <v>0</v>
      </c>
      <c r="J83" s="107">
        <f t="shared" si="18"/>
        <v>803.4042857142856</v>
      </c>
      <c r="K83" s="107">
        <f t="shared" si="18"/>
        <v>588.3326732673269</v>
      </c>
      <c r="L83" s="8"/>
    </row>
    <row r="84" spans="1:12" ht="12.75">
      <c r="A84" s="49" t="s">
        <v>83</v>
      </c>
      <c r="B84" s="49"/>
      <c r="C84" s="105" t="s">
        <v>61</v>
      </c>
      <c r="D84" s="43">
        <v>4.5</v>
      </c>
      <c r="E84" s="43">
        <v>3</v>
      </c>
      <c r="F84" s="43">
        <v>5</v>
      </c>
      <c r="G84" s="43">
        <v>5</v>
      </c>
      <c r="H84" s="43">
        <v>1.5</v>
      </c>
      <c r="I84" s="43">
        <v>1.5</v>
      </c>
      <c r="J84" s="43">
        <v>4.5</v>
      </c>
      <c r="K84" s="43">
        <v>3</v>
      </c>
      <c r="L84" s="8"/>
    </row>
    <row r="85" spans="1:12" ht="12.75">
      <c r="A85" s="49"/>
      <c r="B85" s="49"/>
      <c r="C85" s="105" t="s">
        <v>52</v>
      </c>
      <c r="D85" s="107">
        <f aca="true" t="shared" si="19" ref="D85:K85">D49*D84/100</f>
        <v>4210.714285714285</v>
      </c>
      <c r="E85" s="107">
        <f t="shared" si="19"/>
        <v>2751</v>
      </c>
      <c r="F85" s="107">
        <f t="shared" si="19"/>
        <v>1273.611111111111</v>
      </c>
      <c r="G85" s="107">
        <f t="shared" si="19"/>
        <v>1637.5000000000002</v>
      </c>
      <c r="H85" s="107">
        <f t="shared" si="19"/>
        <v>1618.235294117647</v>
      </c>
      <c r="I85" s="107">
        <f t="shared" si="19"/>
        <v>1456.4117647058824</v>
      </c>
      <c r="J85" s="107">
        <f t="shared" si="19"/>
        <v>3789.642857142857</v>
      </c>
      <c r="K85" s="107">
        <f t="shared" si="19"/>
        <v>2475.9</v>
      </c>
      <c r="L85" s="8"/>
    </row>
    <row r="86" spans="1:12" ht="5.25" customHeight="1">
      <c r="A86" s="49"/>
      <c r="B86" s="49"/>
      <c r="C86" s="49"/>
      <c r="D86" s="62"/>
      <c r="E86" s="62"/>
      <c r="F86" s="62"/>
      <c r="G86" s="62"/>
      <c r="H86" s="62"/>
      <c r="I86" s="62"/>
      <c r="J86" s="62"/>
      <c r="K86" s="62"/>
      <c r="L86" s="8"/>
    </row>
    <row r="87" spans="1:12" s="5" customFormat="1" ht="12.75">
      <c r="A87" s="114" t="s">
        <v>84</v>
      </c>
      <c r="B87" s="115"/>
      <c r="C87" s="116" t="s">
        <v>52</v>
      </c>
      <c r="D87" s="117">
        <f aca="true" t="shared" si="20" ref="D87:J87">SUM(D82:D83)+D85</f>
        <v>17810.588660240235</v>
      </c>
      <c r="E87" s="117">
        <f t="shared" si="20"/>
        <v>14278.356972044405</v>
      </c>
      <c r="F87" s="117">
        <f t="shared" si="20"/>
        <v>11489.628649022341</v>
      </c>
      <c r="G87" s="117">
        <f t="shared" si="20"/>
        <v>11615.48750948417</v>
      </c>
      <c r="H87" s="117">
        <f t="shared" si="20"/>
        <v>13553.996255351194</v>
      </c>
      <c r="I87" s="117">
        <f t="shared" si="20"/>
        <v>14099.62848766252</v>
      </c>
      <c r="J87" s="117">
        <f t="shared" si="20"/>
        <v>17740.24966581774</v>
      </c>
      <c r="K87" s="117">
        <f>SUM(K82:K83)+K85</f>
        <v>14496.992627417794</v>
      </c>
      <c r="L87" s="8"/>
    </row>
    <row r="88" spans="1:12" ht="12.75">
      <c r="A88" s="49"/>
      <c r="B88" s="49"/>
      <c r="C88" s="105"/>
      <c r="D88" s="107"/>
      <c r="E88" s="107"/>
      <c r="F88" s="107"/>
      <c r="G88" s="107"/>
      <c r="H88" s="107"/>
      <c r="I88" s="107"/>
      <c r="J88" s="107"/>
      <c r="K88" s="107"/>
      <c r="L88" s="8"/>
    </row>
    <row r="89" spans="1:12" s="5" customFormat="1" ht="12.75">
      <c r="A89" s="118" t="s">
        <v>85</v>
      </c>
      <c r="B89" s="118"/>
      <c r="C89" s="112" t="s">
        <v>61</v>
      </c>
      <c r="D89" s="119">
        <f>D87/$F$18*100</f>
        <v>19.422670294700364</v>
      </c>
      <c r="E89" s="119">
        <f aca="true" t="shared" si="21" ref="E89:J89">E87/$F$18*100</f>
        <v>15.570727341378849</v>
      </c>
      <c r="F89" s="119">
        <f t="shared" si="21"/>
        <v>12.529584131976382</v>
      </c>
      <c r="G89" s="119">
        <f t="shared" si="21"/>
        <v>12.666834797692662</v>
      </c>
      <c r="H89" s="119">
        <f t="shared" si="21"/>
        <v>14.780802895693778</v>
      </c>
      <c r="I89" s="119">
        <f t="shared" si="21"/>
        <v>15.375821687745386</v>
      </c>
      <c r="J89" s="119">
        <f t="shared" si="21"/>
        <v>19.345964739168746</v>
      </c>
      <c r="K89" s="120">
        <f>K87/$F$18*100</f>
        <v>15.809152265450157</v>
      </c>
      <c r="L89" s="8"/>
    </row>
    <row r="90" spans="1:12" ht="12.75">
      <c r="A90" s="49"/>
      <c r="B90" s="49"/>
      <c r="C90" s="49"/>
      <c r="D90" s="62"/>
      <c r="E90" s="62"/>
      <c r="F90" s="62"/>
      <c r="G90" s="62"/>
      <c r="H90" s="62"/>
      <c r="I90" s="62"/>
      <c r="J90" s="62"/>
      <c r="K90" s="62"/>
      <c r="L90" s="12"/>
    </row>
    <row r="91" spans="1:12" ht="12.75">
      <c r="A91" s="49"/>
      <c r="B91" s="49"/>
      <c r="C91" s="49"/>
      <c r="D91" s="62"/>
      <c r="E91" s="62"/>
      <c r="F91" s="62"/>
      <c r="G91" s="62"/>
      <c r="H91" s="62"/>
      <c r="I91" s="62"/>
      <c r="J91" s="62"/>
      <c r="K91" s="62"/>
      <c r="L91" s="12"/>
    </row>
    <row r="92" spans="1:12" ht="12.75">
      <c r="A92" s="49"/>
      <c r="B92" s="49"/>
      <c r="C92" s="49"/>
      <c r="D92" s="62"/>
      <c r="E92" s="62"/>
      <c r="F92" s="62"/>
      <c r="G92" s="62"/>
      <c r="H92" s="62"/>
      <c r="I92" s="62"/>
      <c r="J92" s="62"/>
      <c r="K92" s="62"/>
      <c r="L92" s="12"/>
    </row>
    <row r="93" spans="1:12" ht="12.75">
      <c r="A93" s="49"/>
      <c r="B93" s="49"/>
      <c r="C93" s="49"/>
      <c r="D93" s="62"/>
      <c r="E93" s="62"/>
      <c r="F93" s="62"/>
      <c r="G93" s="62"/>
      <c r="H93" s="62"/>
      <c r="I93" s="62"/>
      <c r="J93" s="62"/>
      <c r="K93" s="62"/>
      <c r="L93" s="12"/>
    </row>
    <row r="94" spans="1:12" ht="12.75">
      <c r="A94" s="49"/>
      <c r="B94" s="49"/>
      <c r="C94" s="49"/>
      <c r="D94" s="62"/>
      <c r="E94" s="62"/>
      <c r="F94" s="62"/>
      <c r="G94" s="62"/>
      <c r="H94" s="62"/>
      <c r="I94" s="62"/>
      <c r="J94" s="62"/>
      <c r="K94" s="62"/>
      <c r="L94" s="12"/>
    </row>
    <row r="95" spans="1:12" ht="12.75">
      <c r="A95" s="49"/>
      <c r="B95" s="49"/>
      <c r="C95" s="49"/>
      <c r="D95" s="62"/>
      <c r="E95" s="62"/>
      <c r="F95" s="62"/>
      <c r="G95" s="62"/>
      <c r="H95" s="62"/>
      <c r="I95" s="62"/>
      <c r="J95" s="62"/>
      <c r="K95" s="62"/>
      <c r="L95" s="12"/>
    </row>
    <row r="96" spans="1:12" ht="12.75">
      <c r="A96" s="49"/>
      <c r="B96" s="49"/>
      <c r="C96" s="49"/>
      <c r="D96" s="62"/>
      <c r="E96" s="62"/>
      <c r="F96" s="62"/>
      <c r="G96" s="62"/>
      <c r="H96" s="62"/>
      <c r="I96" s="62"/>
      <c r="J96" s="62"/>
      <c r="K96" s="62"/>
      <c r="L96" s="12"/>
    </row>
    <row r="97" spans="1:12" ht="12.75">
      <c r="A97" s="49"/>
      <c r="B97" s="49"/>
      <c r="C97" s="49"/>
      <c r="D97" s="62"/>
      <c r="E97" s="62"/>
      <c r="F97" s="62"/>
      <c r="G97" s="62"/>
      <c r="H97" s="62"/>
      <c r="I97" s="62"/>
      <c r="J97" s="62"/>
      <c r="K97" s="62"/>
      <c r="L97" s="12"/>
    </row>
    <row r="98" spans="1:12" ht="12.75">
      <c r="A98" s="49"/>
      <c r="B98" s="49"/>
      <c r="C98" s="49"/>
      <c r="D98" s="62"/>
      <c r="E98" s="62"/>
      <c r="F98" s="62"/>
      <c r="G98" s="62"/>
      <c r="H98" s="62"/>
      <c r="I98" s="62"/>
      <c r="J98" s="62"/>
      <c r="K98" s="62"/>
      <c r="L98" s="12"/>
    </row>
    <row r="99" spans="1:12" ht="12.75">
      <c r="A99" s="49"/>
      <c r="B99" s="49"/>
      <c r="C99" s="49"/>
      <c r="D99" s="62"/>
      <c r="E99" s="62"/>
      <c r="F99" s="62"/>
      <c r="G99" s="62"/>
      <c r="H99" s="62"/>
      <c r="I99" s="62"/>
      <c r="J99" s="62"/>
      <c r="K99" s="62"/>
      <c r="L99" s="12"/>
    </row>
    <row r="100" spans="1:12" ht="12.75">
      <c r="A100" s="49"/>
      <c r="B100" s="49"/>
      <c r="C100" s="49"/>
      <c r="D100" s="62"/>
      <c r="E100" s="62"/>
      <c r="F100" s="62"/>
      <c r="G100" s="62"/>
      <c r="H100" s="62"/>
      <c r="I100" s="62"/>
      <c r="J100" s="62"/>
      <c r="K100" s="62"/>
      <c r="L100" s="12"/>
    </row>
    <row r="101" spans="1:12" ht="12.75">
      <c r="A101" s="49"/>
      <c r="B101" s="49"/>
      <c r="C101" s="49"/>
      <c r="D101" s="62"/>
      <c r="E101" s="62"/>
      <c r="F101" s="62"/>
      <c r="G101" s="62"/>
      <c r="H101" s="62"/>
      <c r="I101" s="62"/>
      <c r="J101" s="62"/>
      <c r="K101" s="62"/>
      <c r="L101" s="12"/>
    </row>
    <row r="102" spans="1:12" ht="12.75">
      <c r="A102" s="49"/>
      <c r="B102" s="49"/>
      <c r="C102" s="49"/>
      <c r="D102" s="62"/>
      <c r="E102" s="62"/>
      <c r="F102" s="62"/>
      <c r="G102" s="62"/>
      <c r="H102" s="62"/>
      <c r="I102" s="62"/>
      <c r="J102" s="62"/>
      <c r="K102" s="62"/>
      <c r="L102" s="12"/>
    </row>
    <row r="103" spans="1:12" ht="12.75">
      <c r="A103" s="49"/>
      <c r="B103" s="49"/>
      <c r="C103" s="49"/>
      <c r="D103" s="62"/>
      <c r="E103" s="62"/>
      <c r="F103" s="62"/>
      <c r="G103" s="62"/>
      <c r="H103" s="62"/>
      <c r="I103" s="62"/>
      <c r="J103" s="62"/>
      <c r="K103" s="62"/>
      <c r="L103" s="12"/>
    </row>
    <row r="104" spans="1:12" ht="12.75">
      <c r="A104" s="49"/>
      <c r="B104" s="49"/>
      <c r="C104" s="49"/>
      <c r="D104" s="62"/>
      <c r="E104" s="62"/>
      <c r="F104" s="62"/>
      <c r="G104" s="62"/>
      <c r="H104" s="62"/>
      <c r="I104" s="62"/>
      <c r="J104" s="62"/>
      <c r="K104" s="62"/>
      <c r="L104" s="12"/>
    </row>
    <row r="105" spans="1:12" ht="12.75">
      <c r="A105" s="49"/>
      <c r="B105" s="49"/>
      <c r="C105" s="49"/>
      <c r="D105" s="62"/>
      <c r="E105" s="62"/>
      <c r="F105" s="62"/>
      <c r="G105" s="62"/>
      <c r="H105" s="62"/>
      <c r="I105" s="62"/>
      <c r="J105" s="62"/>
      <c r="K105" s="62"/>
      <c r="L105" s="12"/>
    </row>
    <row r="106" spans="1:12" ht="12.75">
      <c r="A106" s="49"/>
      <c r="B106" s="49"/>
      <c r="C106" s="49"/>
      <c r="D106" s="62"/>
      <c r="E106" s="62"/>
      <c r="F106" s="62"/>
      <c r="G106" s="62"/>
      <c r="H106" s="62"/>
      <c r="I106" s="62"/>
      <c r="J106" s="62"/>
      <c r="K106" s="62"/>
      <c r="L106" s="12"/>
    </row>
    <row r="107" spans="1:12" ht="12.75">
      <c r="A107" s="49"/>
      <c r="B107" s="49"/>
      <c r="C107" s="49"/>
      <c r="D107" s="62"/>
      <c r="E107" s="62"/>
      <c r="F107" s="62"/>
      <c r="G107" s="62"/>
      <c r="H107" s="62"/>
      <c r="I107" s="62"/>
      <c r="J107" s="62"/>
      <c r="K107" s="62"/>
      <c r="L107" s="12"/>
    </row>
    <row r="108" spans="1:12" ht="15.75">
      <c r="A108" s="121" t="s">
        <v>90</v>
      </c>
      <c r="B108" s="71"/>
      <c r="C108" s="71"/>
      <c r="D108" s="62" t="s">
        <v>54</v>
      </c>
      <c r="E108" s="62" t="s">
        <v>55</v>
      </c>
      <c r="F108" s="62" t="s">
        <v>16</v>
      </c>
      <c r="G108" s="62" t="s">
        <v>17</v>
      </c>
      <c r="H108" s="72" t="s">
        <v>94</v>
      </c>
      <c r="I108" s="72" t="s">
        <v>96</v>
      </c>
      <c r="J108" s="72" t="s">
        <v>95</v>
      </c>
      <c r="K108" s="62" t="s">
        <v>125</v>
      </c>
      <c r="L108" s="8"/>
    </row>
    <row r="109" spans="1:12" ht="12.75">
      <c r="A109" s="71" t="s">
        <v>97</v>
      </c>
      <c r="B109" s="71"/>
      <c r="C109" s="71" t="s">
        <v>86</v>
      </c>
      <c r="D109" s="122">
        <f>2.65*D19/1000</f>
        <v>24.796428571428567</v>
      </c>
      <c r="E109" s="122">
        <f>2*E19/1000</f>
        <v>18.15841584158416</v>
      </c>
      <c r="F109" s="122">
        <v>0</v>
      </c>
      <c r="G109" s="122">
        <v>0</v>
      </c>
      <c r="H109" s="122">
        <v>0</v>
      </c>
      <c r="I109" s="122">
        <v>0</v>
      </c>
      <c r="J109" s="122">
        <f>2.65*J19/1000</f>
        <v>22.31678571428571</v>
      </c>
      <c r="K109" s="122">
        <f>2*K19/1000</f>
        <v>16.342574257425746</v>
      </c>
      <c r="L109" s="8"/>
    </row>
    <row r="110" spans="1:12" ht="12.75">
      <c r="A110" s="71" t="s">
        <v>98</v>
      </c>
      <c r="B110" s="71"/>
      <c r="C110" s="71" t="s">
        <v>86</v>
      </c>
      <c r="D110" s="122">
        <f>0.088391*3.6*F18/1000*1/D21</f>
        <v>29.77513971428571</v>
      </c>
      <c r="E110" s="122">
        <f>0.071056*3.6*F18/1000*1.02/E21</f>
        <v>23.9261468544</v>
      </c>
      <c r="F110" s="122">
        <f>0.043526*3.6*F18/1000*3.9/F48</f>
        <v>15.566203380000003</v>
      </c>
      <c r="G110" s="122">
        <f>0.060496*3.6*F18/1000*2.8/G21</f>
        <v>19.970939519999998</v>
      </c>
      <c r="H110" s="122">
        <f>0.016877*3.6*F18/1000*0.85/H21</f>
        <v>5.57143524</v>
      </c>
      <c r="I110" s="122">
        <f>0.016877*3.6*F18/1000*(1-I23)*0.85/I21+0.002815*3.6*F18/1000*(I23)</f>
        <v>5.107220496</v>
      </c>
      <c r="J110" s="122">
        <f>0.088391*3.6*F18/1000*(1-J23)*1/J21+0.002815*3.6*F18/1000*(J23)</f>
        <v>26.89055452285714</v>
      </c>
      <c r="K110" s="122">
        <f>0.071056*3.6*F18/1000*(1-K23)*1/K21+0.009707*3.6*F18/1000*(K23)</f>
        <v>21.431753532</v>
      </c>
      <c r="L110" s="8"/>
    </row>
    <row r="111" spans="1:12" ht="12.75">
      <c r="A111" s="71" t="s">
        <v>99</v>
      </c>
      <c r="B111" s="71"/>
      <c r="C111" s="71" t="s">
        <v>100</v>
      </c>
      <c r="D111" s="122">
        <f>0.004281*3.6*F18/100*1/D21</f>
        <v>14.420854285714288</v>
      </c>
      <c r="E111" s="122">
        <f>3.6*0.003699*F18/100*1.02/E21</f>
        <v>12.455361576000001</v>
      </c>
      <c r="F111" s="122">
        <f>0.002111*3.6*F18/100*3.9/F21</f>
        <v>7.5495693</v>
      </c>
      <c r="G111" s="122">
        <f>0.002862*3.6*F18/100*2.8/G21</f>
        <v>9.448034400000001</v>
      </c>
      <c r="H111" s="122">
        <f>0.002162*3.6*F18/100*0.85/H21</f>
        <v>7.137194399999999</v>
      </c>
      <c r="I111" s="122">
        <f>(0.002162*3.6*F18*(1-I23)*0.85/I21+0.000434*3.6*F18*(I23))/100</f>
        <v>6.56674704</v>
      </c>
      <c r="J111" s="122">
        <f>(0.004281*3.6*F18*(1-J23)*1/J21+0.000434*3.6*F18*(J23))/100</f>
        <v>13.122040937142858</v>
      </c>
      <c r="K111" s="122">
        <f>(0.003699*3.6*F18*(1-K23)*1/K21+0.001326*3.6*F18*(K23))/100</f>
        <v>11.427764040000001</v>
      </c>
      <c r="L111" s="8"/>
    </row>
    <row r="112" spans="1:12" ht="12.75">
      <c r="A112" s="49"/>
      <c r="B112" s="49"/>
      <c r="C112" s="49"/>
      <c r="D112" s="62"/>
      <c r="E112" s="62"/>
      <c r="F112" s="62"/>
      <c r="G112" s="62"/>
      <c r="H112" s="62"/>
      <c r="I112" s="62"/>
      <c r="J112" s="62"/>
      <c r="K112" s="49"/>
      <c r="L112" s="8"/>
    </row>
    <row r="113" spans="1:12" ht="12.75">
      <c r="A113" s="49"/>
      <c r="B113" s="49"/>
      <c r="C113" s="49"/>
      <c r="D113" s="62"/>
      <c r="E113" s="62"/>
      <c r="F113" s="62"/>
      <c r="G113" s="62"/>
      <c r="H113" s="62"/>
      <c r="I113" s="62"/>
      <c r="J113" s="62"/>
      <c r="K113" s="62"/>
      <c r="L113" s="12"/>
    </row>
    <row r="114" spans="1: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8"/>
    </row>
    <row r="115" spans="1: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8"/>
    </row>
    <row r="116" spans="1: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8"/>
    </row>
    <row r="117" spans="1: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8"/>
    </row>
    <row r="118" spans="1: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8"/>
    </row>
    <row r="119" spans="1: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8"/>
    </row>
    <row r="120" spans="1: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8"/>
    </row>
    <row r="121" spans="1: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8"/>
    </row>
    <row r="122" spans="1: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8"/>
    </row>
    <row r="123" spans="1: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8"/>
    </row>
    <row r="124" spans="1: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8"/>
    </row>
    <row r="125" spans="1: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8"/>
    </row>
    <row r="126" spans="1: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8"/>
    </row>
    <row r="127" spans="1: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8"/>
    </row>
    <row r="128" spans="1: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8"/>
    </row>
    <row r="129" spans="1: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8"/>
    </row>
    <row r="130" spans="1:12" ht="18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8"/>
    </row>
    <row r="131" spans="1: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8"/>
    </row>
    <row r="132" spans="1: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8"/>
    </row>
    <row r="133" spans="1: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8"/>
    </row>
    <row r="134" spans="1: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8"/>
    </row>
    <row r="135" spans="1:12" ht="12.75">
      <c r="A135" s="57" t="s">
        <v>108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8"/>
    </row>
    <row r="136" spans="1:12" ht="12.75">
      <c r="A136" s="123" t="s">
        <v>109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8"/>
    </row>
    <row r="137" spans="1:12" ht="12.75">
      <c r="A137" s="123" t="s">
        <v>110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8"/>
    </row>
    <row r="138" spans="1:12" ht="12.75">
      <c r="A138" s="123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8"/>
    </row>
    <row r="139" spans="1:12" ht="12.75">
      <c r="A139" s="123" t="s">
        <v>111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8"/>
    </row>
    <row r="140" spans="1:12" ht="12.75">
      <c r="A140" s="123" t="s">
        <v>112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8"/>
    </row>
    <row r="141" spans="1:12" ht="12.75">
      <c r="A141" s="49" t="s">
        <v>113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8"/>
    </row>
    <row r="142" spans="1:12" ht="12.75">
      <c r="A142" s="49" t="s">
        <v>114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8"/>
    </row>
    <row r="143" spans="1:12" ht="12.75">
      <c r="A143" s="123" t="s">
        <v>115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8"/>
    </row>
    <row r="144" spans="1:12" ht="12.75">
      <c r="A144" s="49" t="s">
        <v>116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8"/>
    </row>
    <row r="145" spans="1:12" ht="12.75">
      <c r="A145" s="49" t="s">
        <v>117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8"/>
    </row>
    <row r="146" spans="1:12" ht="12.75">
      <c r="A146" s="61" t="s">
        <v>129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8"/>
    </row>
    <row r="147" spans="2:12" ht="12.75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8"/>
    </row>
    <row r="148" spans="1:12" ht="15">
      <c r="A148" s="124" t="s">
        <v>123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8"/>
    </row>
    <row r="149" spans="1: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8"/>
    </row>
    <row r="150" spans="1: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8"/>
    </row>
    <row r="151" spans="1: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8"/>
    </row>
    <row r="152" spans="1: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8"/>
    </row>
    <row r="153" spans="1: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8"/>
    </row>
    <row r="154" spans="1: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8"/>
    </row>
    <row r="155" spans="1: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8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8"/>
    </row>
    <row r="157" spans="1: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8"/>
    </row>
    <row r="158" spans="1: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8"/>
    </row>
    <row r="159" spans="1: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8"/>
    </row>
    <row r="160" spans="1: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8"/>
    </row>
    <row r="161" spans="1: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8"/>
    </row>
    <row r="162" spans="1: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8"/>
    </row>
    <row r="163" spans="1: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8"/>
    </row>
    <row r="164" spans="1: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8"/>
    </row>
    <row r="165" spans="1: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8"/>
    </row>
    <row r="166" spans="1: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8"/>
    </row>
    <row r="167" spans="1: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8"/>
    </row>
    <row r="168" spans="1: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8"/>
    </row>
    <row r="169" spans="1: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8"/>
    </row>
    <row r="170" spans="1: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8"/>
    </row>
    <row r="171" spans="1: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8"/>
    </row>
    <row r="172" spans="1: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8"/>
    </row>
    <row r="173" spans="1: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8"/>
    </row>
    <row r="174" spans="1: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8"/>
    </row>
    <row r="175" spans="1: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8"/>
    </row>
    <row r="176" spans="1: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8"/>
    </row>
    <row r="177" spans="1: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8"/>
    </row>
    <row r="178" spans="1: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8"/>
    </row>
    <row r="179" spans="1: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8"/>
    </row>
    <row r="180" spans="1: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8"/>
    </row>
    <row r="181" spans="1: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8"/>
    </row>
    <row r="182" spans="1: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8"/>
    </row>
    <row r="183" spans="1: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8"/>
    </row>
    <row r="184" spans="1: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8"/>
    </row>
    <row r="185" spans="1: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8"/>
    </row>
    <row r="186" spans="1: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8"/>
    </row>
    <row r="187" ht="12.75">
      <c r="L187" s="8"/>
    </row>
    <row r="188" ht="12.75">
      <c r="L188" s="8"/>
    </row>
    <row r="189" ht="12.75">
      <c r="L189" s="8"/>
    </row>
    <row r="190" ht="12.75">
      <c r="L190" s="8"/>
    </row>
    <row r="191" ht="12.75">
      <c r="L191" s="8"/>
    </row>
    <row r="192" ht="12.75">
      <c r="L192" s="8"/>
    </row>
    <row r="193" ht="12.75">
      <c r="L193" s="8"/>
    </row>
    <row r="194" ht="12.75">
      <c r="L194" s="8"/>
    </row>
    <row r="195" ht="12.75">
      <c r="L195" s="8"/>
    </row>
    <row r="196" ht="12.75">
      <c r="L196" s="8"/>
    </row>
    <row r="197" ht="12.75">
      <c r="L197" s="8"/>
    </row>
    <row r="198" ht="12.75">
      <c r="L198" s="8"/>
    </row>
    <row r="199" ht="12.75">
      <c r="L199" s="8"/>
    </row>
    <row r="200" ht="12.75">
      <c r="L200" s="8"/>
    </row>
    <row r="201" ht="12.75">
      <c r="L201" s="8"/>
    </row>
    <row r="202" ht="12.75">
      <c r="L202" s="8"/>
    </row>
    <row r="203" ht="12.75">
      <c r="L203" s="8"/>
    </row>
    <row r="204" ht="12.75">
      <c r="L204" s="8"/>
    </row>
    <row r="205" ht="12.75">
      <c r="L205" s="8"/>
    </row>
    <row r="206" ht="12.75">
      <c r="L206" s="8"/>
    </row>
    <row r="207" ht="12.75">
      <c r="L207" s="8"/>
    </row>
    <row r="208" ht="12.75">
      <c r="L208" s="8"/>
    </row>
    <row r="209" ht="12.75">
      <c r="L209" s="8"/>
    </row>
    <row r="210" ht="12.75">
      <c r="L210" s="8"/>
    </row>
    <row r="211" ht="12.75">
      <c r="L211" s="8"/>
    </row>
    <row r="212" ht="12.75">
      <c r="L212" s="8"/>
    </row>
    <row r="213" ht="12.75">
      <c r="L213" s="8"/>
    </row>
    <row r="214" ht="12.75">
      <c r="L214" s="8"/>
    </row>
    <row r="215" ht="12.75">
      <c r="L215" s="8"/>
    </row>
    <row r="216" ht="12.75">
      <c r="L216" s="8"/>
    </row>
    <row r="217" ht="12.75">
      <c r="L217" s="8"/>
    </row>
    <row r="218" ht="12.75">
      <c r="L218" s="8"/>
    </row>
    <row r="219" ht="12.75">
      <c r="L219" s="8"/>
    </row>
    <row r="220" ht="12.75">
      <c r="L220" s="8"/>
    </row>
    <row r="221" ht="12.75">
      <c r="L221" s="8"/>
    </row>
    <row r="222" ht="12.75">
      <c r="L222" s="8"/>
    </row>
    <row r="223" ht="12.75">
      <c r="L223" s="8"/>
    </row>
    <row r="224" ht="12.75">
      <c r="L224" s="8"/>
    </row>
    <row r="225" ht="12.75">
      <c r="L225" s="8"/>
    </row>
    <row r="226" ht="12.75">
      <c r="L226" s="8"/>
    </row>
    <row r="227" ht="12.75">
      <c r="L227" s="8"/>
    </row>
    <row r="228" ht="12.75">
      <c r="L228" s="8"/>
    </row>
    <row r="229" ht="12.75">
      <c r="L229" s="8"/>
    </row>
    <row r="230" ht="12.75">
      <c r="L230" s="8"/>
    </row>
    <row r="231" ht="12.75">
      <c r="L231" s="8"/>
    </row>
    <row r="232" ht="12.75">
      <c r="L232" s="8"/>
    </row>
    <row r="233" ht="12.75">
      <c r="L233" s="8"/>
    </row>
    <row r="234" ht="12.75">
      <c r="L234" s="8"/>
    </row>
    <row r="235" ht="12.75">
      <c r="L235" s="8"/>
    </row>
    <row r="236" ht="12.75">
      <c r="L236" s="8"/>
    </row>
    <row r="237" ht="12.75">
      <c r="L237" s="8"/>
    </row>
    <row r="238" ht="12.75">
      <c r="L238" s="8"/>
    </row>
    <row r="239" ht="12.75">
      <c r="L239" s="8"/>
    </row>
    <row r="240" ht="12.75">
      <c r="L240" s="8"/>
    </row>
    <row r="241" ht="12.75">
      <c r="L241" s="8"/>
    </row>
    <row r="242" ht="12.75">
      <c r="L242" s="8"/>
    </row>
    <row r="243" ht="12.75">
      <c r="L243" s="8"/>
    </row>
    <row r="244" ht="12.75">
      <c r="L244" s="8"/>
    </row>
    <row r="245" ht="12.75">
      <c r="L245" s="8"/>
    </row>
    <row r="246" ht="12.75">
      <c r="L246" s="8"/>
    </row>
    <row r="247" ht="12.75">
      <c r="L247" s="8"/>
    </row>
    <row r="248" ht="12.75">
      <c r="L248" s="8"/>
    </row>
    <row r="249" ht="12.75">
      <c r="L249" s="8"/>
    </row>
    <row r="250" ht="12.75">
      <c r="L250" s="8"/>
    </row>
    <row r="251" ht="12.75">
      <c r="L251" s="8"/>
    </row>
    <row r="252" ht="12.75">
      <c r="L252" s="8"/>
    </row>
    <row r="253" ht="12.75">
      <c r="L253" s="8"/>
    </row>
    <row r="254" ht="12.75">
      <c r="L254" s="8"/>
    </row>
    <row r="255" ht="12.75">
      <c r="L255" s="8"/>
    </row>
    <row r="256" ht="12.75">
      <c r="L256" s="8"/>
    </row>
    <row r="257" ht="12.75">
      <c r="L257" s="8"/>
    </row>
    <row r="258" ht="12.75">
      <c r="L258" s="8"/>
    </row>
    <row r="259" ht="12.75">
      <c r="L259" s="8"/>
    </row>
    <row r="260" ht="12.75">
      <c r="L260" s="8"/>
    </row>
    <row r="261" ht="12.75">
      <c r="L261" s="8"/>
    </row>
    <row r="262" ht="12.75">
      <c r="L262" s="8"/>
    </row>
    <row r="263" ht="12.75">
      <c r="L263" s="8"/>
    </row>
    <row r="264" ht="12.75">
      <c r="L264" s="8"/>
    </row>
    <row r="265" ht="12.75">
      <c r="L265" s="8"/>
    </row>
    <row r="266" ht="12.75">
      <c r="L266" s="8"/>
    </row>
    <row r="267" ht="12.75">
      <c r="L267" s="8"/>
    </row>
    <row r="268" ht="12.75">
      <c r="L268" s="8"/>
    </row>
    <row r="269" ht="12.75">
      <c r="L269" s="8"/>
    </row>
    <row r="270" ht="12.75">
      <c r="L270" s="8"/>
    </row>
    <row r="271" ht="12.75">
      <c r="L271" s="8"/>
    </row>
    <row r="272" ht="12.75">
      <c r="L272" s="8"/>
    </row>
    <row r="273" ht="12.75">
      <c r="L273" s="8"/>
    </row>
    <row r="274" ht="12.75">
      <c r="L274" s="8"/>
    </row>
    <row r="275" ht="12.75">
      <c r="L275" s="8"/>
    </row>
    <row r="276" ht="12.75">
      <c r="L276" s="8"/>
    </row>
    <row r="277" ht="12.75">
      <c r="L277" s="8"/>
    </row>
    <row r="278" ht="12.75">
      <c r="L278" s="8"/>
    </row>
    <row r="279" ht="12.75">
      <c r="L279" s="8"/>
    </row>
    <row r="280" ht="12.75">
      <c r="L280" s="8"/>
    </row>
    <row r="281" ht="12.75">
      <c r="L281" s="8"/>
    </row>
    <row r="282" ht="12.75">
      <c r="L282" s="8"/>
    </row>
    <row r="283" ht="12.75">
      <c r="L283" s="8"/>
    </row>
    <row r="284" ht="12.75">
      <c r="L284" s="8"/>
    </row>
    <row r="285" ht="12.75">
      <c r="L285" s="8"/>
    </row>
    <row r="286" ht="12.75">
      <c r="L286" s="8"/>
    </row>
    <row r="287" ht="12.75">
      <c r="L287" s="8"/>
    </row>
    <row r="288" ht="12.75">
      <c r="L288" s="8"/>
    </row>
    <row r="289" ht="12.75">
      <c r="L289" s="8"/>
    </row>
    <row r="290" ht="12.75">
      <c r="L290" s="8"/>
    </row>
    <row r="291" ht="12.75">
      <c r="L291" s="8"/>
    </row>
    <row r="292" ht="12.75">
      <c r="L292" s="8"/>
    </row>
    <row r="293" ht="12.75">
      <c r="L293" s="8"/>
    </row>
    <row r="294" ht="12.75">
      <c r="L294" s="8"/>
    </row>
    <row r="295" ht="12.75">
      <c r="L295" s="8"/>
    </row>
    <row r="296" ht="12.75">
      <c r="L296" s="8"/>
    </row>
    <row r="297" ht="12.75">
      <c r="L297" s="8"/>
    </row>
    <row r="298" ht="12.75">
      <c r="L298" s="8"/>
    </row>
    <row r="299" ht="12.75">
      <c r="L299" s="8"/>
    </row>
    <row r="300" ht="12.75">
      <c r="L300" s="8"/>
    </row>
    <row r="301" ht="12.75">
      <c r="L301" s="8"/>
    </row>
    <row r="302" ht="12.75">
      <c r="L302" s="8"/>
    </row>
    <row r="303" ht="12.75">
      <c r="L303" s="8"/>
    </row>
    <row r="304" ht="12.75">
      <c r="L304" s="8"/>
    </row>
    <row r="305" ht="12.75">
      <c r="L305" s="8"/>
    </row>
    <row r="306" ht="12.75">
      <c r="L306" s="8"/>
    </row>
    <row r="307" ht="12.75">
      <c r="L307" s="8"/>
    </row>
    <row r="308" ht="12.75">
      <c r="L308" s="8"/>
    </row>
    <row r="309" ht="12.75">
      <c r="L309" s="8"/>
    </row>
    <row r="310" ht="12.75">
      <c r="L310" s="8"/>
    </row>
    <row r="311" ht="12.75">
      <c r="L311" s="8"/>
    </row>
    <row r="312" ht="12.75">
      <c r="L312" s="8"/>
    </row>
    <row r="313" ht="12.75">
      <c r="L313" s="8"/>
    </row>
    <row r="314" ht="12.75">
      <c r="L314" s="8"/>
    </row>
    <row r="315" ht="12.75">
      <c r="L315" s="8"/>
    </row>
    <row r="316" ht="12.75">
      <c r="L316" s="8"/>
    </row>
    <row r="317" ht="12.75">
      <c r="L317" s="8"/>
    </row>
    <row r="318" ht="12.75">
      <c r="L318" s="8"/>
    </row>
    <row r="319" ht="12.75">
      <c r="L319" s="8"/>
    </row>
    <row r="320" ht="12.75">
      <c r="L320" s="8"/>
    </row>
    <row r="321" ht="12.75">
      <c r="L321" s="8"/>
    </row>
    <row r="322" ht="12.75">
      <c r="L322" s="8"/>
    </row>
    <row r="323" ht="12.75">
      <c r="L323" s="8"/>
    </row>
    <row r="324" ht="12.75">
      <c r="L324" s="8"/>
    </row>
    <row r="325" ht="12.75">
      <c r="L325" s="8"/>
    </row>
    <row r="326" ht="12.75">
      <c r="L326" s="8"/>
    </row>
    <row r="327" ht="12.75">
      <c r="L327" s="8"/>
    </row>
    <row r="328" ht="12.75">
      <c r="L328" s="8"/>
    </row>
    <row r="329" ht="12.75">
      <c r="L329" s="8"/>
    </row>
    <row r="330" ht="12.75">
      <c r="L330" s="8"/>
    </row>
    <row r="331" ht="12.75">
      <c r="L331" s="8"/>
    </row>
    <row r="332" ht="12.75">
      <c r="L332" s="8"/>
    </row>
    <row r="333" ht="12.75">
      <c r="L333" s="8"/>
    </row>
    <row r="334" ht="12.75">
      <c r="L334" s="8"/>
    </row>
    <row r="335" ht="12.75">
      <c r="L335" s="8"/>
    </row>
    <row r="336" ht="12.75">
      <c r="L336" s="8"/>
    </row>
    <row r="337" ht="12.75">
      <c r="L337" s="8"/>
    </row>
    <row r="338" ht="12.75">
      <c r="L338" s="8"/>
    </row>
    <row r="339" ht="12.75">
      <c r="L339" s="8"/>
    </row>
    <row r="340" ht="12.75">
      <c r="L340" s="8"/>
    </row>
    <row r="341" ht="12.75">
      <c r="L341" s="8"/>
    </row>
    <row r="342" ht="12.75">
      <c r="L342" s="8"/>
    </row>
    <row r="343" ht="12.75">
      <c r="L343" s="8"/>
    </row>
    <row r="344" ht="12.75">
      <c r="L344" s="8"/>
    </row>
    <row r="345" ht="12.75">
      <c r="L345" s="8"/>
    </row>
    <row r="346" ht="12.75">
      <c r="L346" s="8"/>
    </row>
    <row r="347" ht="12.75">
      <c r="L347" s="8"/>
    </row>
    <row r="348" ht="12.75">
      <c r="L348" s="8"/>
    </row>
    <row r="349" ht="12.75">
      <c r="L349" s="8"/>
    </row>
    <row r="350" ht="12.75">
      <c r="L350" s="8"/>
    </row>
    <row r="351" ht="12.75">
      <c r="L351" s="8"/>
    </row>
    <row r="352" ht="12.75">
      <c r="L352" s="8"/>
    </row>
    <row r="353" ht="12.75">
      <c r="L353" s="8"/>
    </row>
    <row r="354" ht="12.75">
      <c r="L354" s="8"/>
    </row>
    <row r="355" ht="12.75">
      <c r="L355" s="8"/>
    </row>
    <row r="356" ht="12.75">
      <c r="L356" s="8"/>
    </row>
    <row r="357" ht="12.75">
      <c r="L357" s="8"/>
    </row>
    <row r="358" ht="12.75">
      <c r="L358" s="8"/>
    </row>
    <row r="359" ht="12.75">
      <c r="L359" s="8"/>
    </row>
    <row r="360" ht="12.75">
      <c r="L360" s="8"/>
    </row>
    <row r="361" ht="12.75">
      <c r="L361" s="8"/>
    </row>
    <row r="362" ht="12.75">
      <c r="L362" s="8"/>
    </row>
    <row r="363" ht="12.75">
      <c r="L363" s="8"/>
    </row>
    <row r="364" ht="12.75">
      <c r="L364" s="8"/>
    </row>
    <row r="365" ht="12.75">
      <c r="L365" s="8"/>
    </row>
    <row r="366" ht="12.75">
      <c r="L366" s="8"/>
    </row>
    <row r="367" ht="12.75">
      <c r="L367" s="8"/>
    </row>
    <row r="368" ht="12.75">
      <c r="L368" s="8"/>
    </row>
    <row r="369" ht="12.75">
      <c r="L369" s="8"/>
    </row>
    <row r="370" ht="12.75">
      <c r="L370" s="8"/>
    </row>
    <row r="371" ht="12.75">
      <c r="L371" s="8"/>
    </row>
    <row r="372" ht="12.75">
      <c r="L372" s="8"/>
    </row>
    <row r="373" ht="12.75">
      <c r="L373" s="8"/>
    </row>
    <row r="374" ht="12.75">
      <c r="L374" s="8"/>
    </row>
    <row r="375" ht="12.75">
      <c r="L375" s="8"/>
    </row>
    <row r="376" ht="12.75">
      <c r="L376" s="8"/>
    </row>
    <row r="377" ht="12.75">
      <c r="L377" s="8"/>
    </row>
    <row r="378" ht="12.75">
      <c r="L378" s="8"/>
    </row>
    <row r="379" ht="12.75">
      <c r="L379" s="8"/>
    </row>
    <row r="380" ht="12.75">
      <c r="L380" s="8"/>
    </row>
    <row r="381" ht="12.75">
      <c r="L381" s="8"/>
    </row>
    <row r="382" ht="12.75">
      <c r="L382" s="8"/>
    </row>
    <row r="383" ht="12.75">
      <c r="L383" s="8"/>
    </row>
    <row r="384" ht="12.75">
      <c r="L384" s="8"/>
    </row>
    <row r="385" ht="12.75">
      <c r="L385" s="8"/>
    </row>
    <row r="386" ht="12.75">
      <c r="L386" s="8"/>
    </row>
    <row r="387" ht="12.75">
      <c r="L387" s="8"/>
    </row>
    <row r="388" ht="12.75">
      <c r="L388" s="8"/>
    </row>
    <row r="389" ht="12.75">
      <c r="L389" s="8"/>
    </row>
    <row r="390" ht="12.75">
      <c r="L390" s="8"/>
    </row>
    <row r="391" ht="12.75">
      <c r="L391" s="8"/>
    </row>
    <row r="392" ht="12.75">
      <c r="L392" s="8"/>
    </row>
    <row r="393" ht="12.75">
      <c r="L393" s="8"/>
    </row>
    <row r="394" ht="12.75">
      <c r="L394" s="8"/>
    </row>
    <row r="395" ht="12.75">
      <c r="L395" s="8"/>
    </row>
    <row r="396" ht="12.75">
      <c r="L396" s="8"/>
    </row>
    <row r="397" ht="12.75">
      <c r="L397" s="8"/>
    </row>
    <row r="398" ht="12.75">
      <c r="L398" s="8"/>
    </row>
    <row r="399" ht="12.75">
      <c r="L399" s="8"/>
    </row>
    <row r="400" ht="12.75">
      <c r="L400" s="8"/>
    </row>
    <row r="401" ht="12.75">
      <c r="L401" s="8"/>
    </row>
    <row r="402" ht="12.75">
      <c r="L402" s="8"/>
    </row>
    <row r="403" ht="12.75">
      <c r="L403" s="8"/>
    </row>
    <row r="404" ht="12.75">
      <c r="L404" s="8"/>
    </row>
    <row r="405" ht="12.75">
      <c r="L405" s="8"/>
    </row>
    <row r="406" ht="12.75">
      <c r="L406" s="8"/>
    </row>
    <row r="407" ht="12.75">
      <c r="L407" s="8"/>
    </row>
    <row r="408" ht="12.75">
      <c r="L408" s="8"/>
    </row>
    <row r="409" ht="12.75">
      <c r="L409" s="8"/>
    </row>
    <row r="410" ht="12.75">
      <c r="L410" s="8"/>
    </row>
    <row r="411" ht="12.75">
      <c r="L411" s="8"/>
    </row>
    <row r="412" ht="12.75">
      <c r="L412" s="8"/>
    </row>
    <row r="413" ht="12.75">
      <c r="L413" s="8"/>
    </row>
    <row r="414" ht="12.75">
      <c r="L414" s="8"/>
    </row>
    <row r="415" ht="12.75">
      <c r="L415" s="8"/>
    </row>
    <row r="416" ht="12.75">
      <c r="L416" s="8"/>
    </row>
    <row r="417" ht="12.75">
      <c r="L417" s="8"/>
    </row>
    <row r="418" ht="12.75">
      <c r="L418" s="8"/>
    </row>
    <row r="419" ht="12.75">
      <c r="L419" s="8"/>
    </row>
    <row r="420" ht="12.75">
      <c r="L420" s="8"/>
    </row>
    <row r="421" ht="12.75">
      <c r="L421" s="8"/>
    </row>
    <row r="422" ht="12.75">
      <c r="L422" s="8"/>
    </row>
    <row r="423" ht="12.75">
      <c r="L423" s="8"/>
    </row>
    <row r="424" ht="12.75">
      <c r="L424" s="8"/>
    </row>
    <row r="425" ht="12.75">
      <c r="L425" s="8"/>
    </row>
    <row r="426" ht="12.75">
      <c r="L426" s="8"/>
    </row>
    <row r="427" ht="12.75">
      <c r="L427" s="8"/>
    </row>
    <row r="428" ht="12.75">
      <c r="L428" s="8"/>
    </row>
    <row r="429" ht="12.75">
      <c r="L429" s="8"/>
    </row>
    <row r="430" ht="12.75">
      <c r="L430" s="8"/>
    </row>
    <row r="431" ht="12.75">
      <c r="L431" s="8"/>
    </row>
    <row r="432" ht="12.75">
      <c r="L432" s="8"/>
    </row>
    <row r="433" ht="12.75">
      <c r="L433" s="8"/>
    </row>
    <row r="434" ht="12.75">
      <c r="L434" s="8"/>
    </row>
    <row r="435" ht="12.75">
      <c r="L435" s="8"/>
    </row>
    <row r="436" ht="12.75">
      <c r="L436" s="8"/>
    </row>
    <row r="437" ht="12.75">
      <c r="L437" s="8"/>
    </row>
    <row r="438" ht="12.75">
      <c r="L438" s="8"/>
    </row>
    <row r="439" ht="12.75">
      <c r="L439" s="8"/>
    </row>
    <row r="440" ht="12.75">
      <c r="L440" s="8"/>
    </row>
    <row r="441" ht="12.75">
      <c r="L441" s="8"/>
    </row>
    <row r="442" ht="12.75">
      <c r="L442" s="8"/>
    </row>
    <row r="443" ht="12.75">
      <c r="L443" s="8"/>
    </row>
    <row r="444" ht="12.75">
      <c r="L444" s="8"/>
    </row>
    <row r="445" ht="12.75">
      <c r="L445" s="8"/>
    </row>
    <row r="446" ht="12.75">
      <c r="L446" s="8"/>
    </row>
    <row r="447" ht="12.75">
      <c r="L447" s="8"/>
    </row>
    <row r="448" ht="12.75">
      <c r="L448" s="8"/>
    </row>
    <row r="449" ht="12.75">
      <c r="L449" s="8"/>
    </row>
    <row r="450" ht="12.75">
      <c r="L450" s="8"/>
    </row>
    <row r="451" ht="12.75">
      <c r="L451" s="8"/>
    </row>
    <row r="452" ht="12.75">
      <c r="L452" s="8"/>
    </row>
    <row r="453" ht="12.75">
      <c r="L453" s="8"/>
    </row>
    <row r="454" ht="12.75">
      <c r="L454" s="8"/>
    </row>
    <row r="455" ht="12.75">
      <c r="L455" s="8"/>
    </row>
    <row r="456" ht="12.75">
      <c r="L456" s="8"/>
    </row>
    <row r="457" ht="12.75">
      <c r="L457" s="8"/>
    </row>
    <row r="458" ht="12.75">
      <c r="L458" s="8"/>
    </row>
    <row r="459" ht="12.75">
      <c r="L459" s="8"/>
    </row>
    <row r="460" ht="12.75">
      <c r="L460" s="8"/>
    </row>
    <row r="461" ht="12.75">
      <c r="L461" s="8"/>
    </row>
    <row r="462" ht="12.75">
      <c r="L462" s="8"/>
    </row>
    <row r="463" ht="12.75">
      <c r="L463" s="8"/>
    </row>
    <row r="464" ht="12.75">
      <c r="L464" s="8"/>
    </row>
    <row r="465" ht="12.75">
      <c r="L465" s="8"/>
    </row>
    <row r="466" ht="12.75">
      <c r="L466" s="8"/>
    </row>
    <row r="467" ht="12.75">
      <c r="L467" s="8"/>
    </row>
    <row r="468" ht="12.75">
      <c r="L468" s="8"/>
    </row>
    <row r="469" ht="12.75">
      <c r="L469" s="8"/>
    </row>
    <row r="470" ht="12.75">
      <c r="L470" s="8"/>
    </row>
    <row r="471" ht="12.75">
      <c r="L471" s="8"/>
    </row>
    <row r="472" ht="12.75">
      <c r="L472" s="8"/>
    </row>
    <row r="473" ht="12.75">
      <c r="L473" s="8"/>
    </row>
    <row r="474" ht="12.75">
      <c r="L474" s="8"/>
    </row>
    <row r="475" ht="12.75">
      <c r="L475" s="8"/>
    </row>
    <row r="476" ht="12.75">
      <c r="L476" s="8"/>
    </row>
    <row r="477" ht="12.75">
      <c r="L477" s="8"/>
    </row>
    <row r="478" ht="12.75">
      <c r="L478" s="8"/>
    </row>
    <row r="479" ht="12.75">
      <c r="L479" s="8"/>
    </row>
    <row r="480" ht="12.75">
      <c r="L480" s="8"/>
    </row>
    <row r="481" ht="12.75">
      <c r="L481" s="8"/>
    </row>
    <row r="482" ht="12.75">
      <c r="L482" s="8"/>
    </row>
    <row r="483" ht="12.75">
      <c r="L483" s="8"/>
    </row>
    <row r="484" ht="12.75">
      <c r="L484" s="8"/>
    </row>
    <row r="485" ht="12.75">
      <c r="L485" s="8"/>
    </row>
    <row r="486" ht="12.75">
      <c r="L486" s="8"/>
    </row>
    <row r="487" ht="12.75">
      <c r="L487" s="8"/>
    </row>
    <row r="488" ht="12.75">
      <c r="L488" s="8"/>
    </row>
    <row r="489" ht="12.75">
      <c r="L489" s="8"/>
    </row>
    <row r="490" ht="12.75">
      <c r="L490" s="8"/>
    </row>
    <row r="491" ht="12.75">
      <c r="L491" s="8"/>
    </row>
    <row r="492" ht="12.75">
      <c r="L492" s="8"/>
    </row>
    <row r="493" ht="12.75">
      <c r="L493" s="8"/>
    </row>
    <row r="494" ht="12.75">
      <c r="L494" s="8"/>
    </row>
    <row r="495" ht="12.75">
      <c r="L495" s="8"/>
    </row>
    <row r="496" ht="12.75">
      <c r="L496" s="8"/>
    </row>
    <row r="497" ht="12.75">
      <c r="L497" s="8"/>
    </row>
    <row r="498" ht="12.75">
      <c r="L498" s="8"/>
    </row>
    <row r="499" ht="12.75">
      <c r="L499" s="8"/>
    </row>
    <row r="500" ht="12.75">
      <c r="L500" s="8"/>
    </row>
    <row r="501" ht="12.75">
      <c r="L501" s="8"/>
    </row>
    <row r="502" ht="12.75">
      <c r="L502" s="8"/>
    </row>
    <row r="503" ht="12.75">
      <c r="L503" s="8"/>
    </row>
    <row r="504" ht="12.75">
      <c r="L504" s="8"/>
    </row>
    <row r="505" ht="12.75">
      <c r="L505" s="8"/>
    </row>
    <row r="506" ht="12.75">
      <c r="L506" s="8"/>
    </row>
    <row r="507" ht="12.75">
      <c r="L507" s="8"/>
    </row>
    <row r="508" ht="12.75">
      <c r="L508" s="8"/>
    </row>
    <row r="509" ht="12.75">
      <c r="L509" s="8"/>
    </row>
    <row r="510" ht="12.75">
      <c r="L510" s="8"/>
    </row>
    <row r="511" ht="12.75">
      <c r="L511" s="8"/>
    </row>
    <row r="512" ht="12.75">
      <c r="L512" s="8"/>
    </row>
    <row r="513" ht="12.75">
      <c r="L513" s="8"/>
    </row>
    <row r="514" ht="12.75">
      <c r="L514" s="8"/>
    </row>
    <row r="515" ht="12.75">
      <c r="L515" s="8"/>
    </row>
    <row r="516" ht="12.75">
      <c r="L516" s="8"/>
    </row>
    <row r="517" ht="12.75">
      <c r="L517" s="8"/>
    </row>
    <row r="518" ht="12.75">
      <c r="L518" s="8"/>
    </row>
    <row r="519" ht="12.75">
      <c r="L519" s="8"/>
    </row>
    <row r="520" ht="12.75">
      <c r="L520" s="8"/>
    </row>
    <row r="521" ht="12.75">
      <c r="L521" s="8"/>
    </row>
    <row r="522" ht="12.75">
      <c r="L522" s="8"/>
    </row>
    <row r="523" ht="12.75">
      <c r="L523" s="8"/>
    </row>
    <row r="524" ht="12.75">
      <c r="L524" s="8"/>
    </row>
    <row r="525" ht="12.75">
      <c r="L525" s="8"/>
    </row>
    <row r="526" ht="12.75">
      <c r="L526" s="8"/>
    </row>
    <row r="527" ht="12.75">
      <c r="L527" s="8"/>
    </row>
    <row r="528" ht="12.75">
      <c r="L528" s="8"/>
    </row>
    <row r="529" ht="12.75">
      <c r="L529" s="8"/>
    </row>
    <row r="530" ht="12.75">
      <c r="L530" s="8"/>
    </row>
    <row r="531" ht="12.75">
      <c r="L531" s="8"/>
    </row>
    <row r="532" ht="12.75">
      <c r="L532" s="8"/>
    </row>
    <row r="533" ht="12.75">
      <c r="L533" s="8"/>
    </row>
    <row r="534" ht="12.75">
      <c r="L534" s="8"/>
    </row>
    <row r="535" ht="12.75">
      <c r="L535" s="8"/>
    </row>
    <row r="536" ht="12.75">
      <c r="L536" s="8"/>
    </row>
    <row r="537" ht="12.75">
      <c r="L537" s="8"/>
    </row>
    <row r="538" ht="12.75">
      <c r="L538" s="8"/>
    </row>
    <row r="539" ht="12.75">
      <c r="L539" s="8"/>
    </row>
    <row r="540" ht="12.75">
      <c r="L540" s="8"/>
    </row>
    <row r="541" ht="12.75">
      <c r="L541" s="8"/>
    </row>
    <row r="542" ht="12.75">
      <c r="L542" s="8"/>
    </row>
    <row r="543" ht="12.75">
      <c r="L543" s="8"/>
    </row>
    <row r="544" ht="12.75">
      <c r="L544" s="8"/>
    </row>
    <row r="545" ht="12.75">
      <c r="L545" s="8"/>
    </row>
    <row r="546" ht="12.75">
      <c r="L546" s="8"/>
    </row>
    <row r="547" ht="12.75">
      <c r="L547" s="8"/>
    </row>
    <row r="548" ht="12.75">
      <c r="L548" s="8"/>
    </row>
    <row r="549" ht="12.75">
      <c r="L549" s="8"/>
    </row>
    <row r="550" ht="12.75">
      <c r="L550" s="8"/>
    </row>
    <row r="551" ht="12.75">
      <c r="L551" s="8"/>
    </row>
    <row r="552" ht="12.75">
      <c r="L552" s="8"/>
    </row>
    <row r="553" ht="12.75">
      <c r="L553" s="8"/>
    </row>
    <row r="554" ht="12.75">
      <c r="L554" s="8"/>
    </row>
    <row r="555" ht="12.75">
      <c r="L555" s="8"/>
    </row>
    <row r="556" ht="12.75">
      <c r="L556" s="8"/>
    </row>
    <row r="557" ht="12.75">
      <c r="L557" s="8"/>
    </row>
    <row r="558" ht="12.75">
      <c r="L558" s="8"/>
    </row>
    <row r="559" ht="12.75">
      <c r="L559" s="8"/>
    </row>
    <row r="560" ht="12.75">
      <c r="L560" s="8"/>
    </row>
    <row r="561" ht="12.75">
      <c r="L561" s="8"/>
    </row>
    <row r="562" ht="12.75">
      <c r="L562" s="8"/>
    </row>
    <row r="563" ht="12.75">
      <c r="L563" s="8"/>
    </row>
    <row r="564" ht="12.75">
      <c r="L564" s="8"/>
    </row>
    <row r="565" ht="12.75">
      <c r="L565" s="8"/>
    </row>
    <row r="566" ht="12.75">
      <c r="L566" s="8"/>
    </row>
    <row r="567" ht="12.75">
      <c r="L567" s="8"/>
    </row>
    <row r="568" ht="12.75">
      <c r="L568" s="8"/>
    </row>
    <row r="569" ht="12.75">
      <c r="L569" s="8"/>
    </row>
    <row r="570" ht="12.75">
      <c r="L570" s="8"/>
    </row>
    <row r="571" ht="12.75">
      <c r="L571" s="8"/>
    </row>
    <row r="572" ht="12.75">
      <c r="L572" s="8"/>
    </row>
    <row r="573" ht="12.75">
      <c r="L573" s="8"/>
    </row>
    <row r="574" ht="12.75">
      <c r="L574" s="8"/>
    </row>
    <row r="575" ht="12.75">
      <c r="L575" s="8"/>
    </row>
    <row r="576" ht="12.75">
      <c r="L576" s="8"/>
    </row>
    <row r="577" ht="12.75">
      <c r="L577" s="8"/>
    </row>
    <row r="578" ht="12.75">
      <c r="L578" s="8"/>
    </row>
    <row r="579" ht="12.75">
      <c r="L579" s="8"/>
    </row>
    <row r="580" ht="12.75">
      <c r="L580" s="8"/>
    </row>
    <row r="581" ht="12.75">
      <c r="L581" s="8"/>
    </row>
    <row r="582" ht="12.75">
      <c r="L582" s="8"/>
    </row>
    <row r="583" ht="12.75">
      <c r="L583" s="8"/>
    </row>
    <row r="584" ht="12.75">
      <c r="L584" s="8"/>
    </row>
    <row r="585" ht="12.75">
      <c r="L585" s="8"/>
    </row>
    <row r="586" ht="12.75">
      <c r="L586" s="8"/>
    </row>
    <row r="587" ht="12.75">
      <c r="L587" s="8"/>
    </row>
    <row r="588" ht="12.75">
      <c r="L588" s="8"/>
    </row>
    <row r="589" ht="12.75">
      <c r="L589" s="8"/>
    </row>
    <row r="590" ht="12.75">
      <c r="L590" s="8"/>
    </row>
    <row r="591" ht="12.75">
      <c r="L591" s="8"/>
    </row>
    <row r="592" ht="12.75">
      <c r="L592" s="8"/>
    </row>
    <row r="593" ht="12.75">
      <c r="L593" s="8"/>
    </row>
    <row r="594" ht="12.75">
      <c r="L594" s="8"/>
    </row>
    <row r="595" ht="12.75">
      <c r="L595" s="8"/>
    </row>
    <row r="596" ht="12.75">
      <c r="L596" s="8"/>
    </row>
    <row r="597" ht="12.75">
      <c r="L597" s="8"/>
    </row>
    <row r="598" ht="12.75">
      <c r="L598" s="8"/>
    </row>
    <row r="599" ht="12.75">
      <c r="L599" s="8"/>
    </row>
    <row r="600" ht="12.75">
      <c r="L600" s="8"/>
    </row>
    <row r="601" ht="12.75">
      <c r="L601" s="8"/>
    </row>
    <row r="602" ht="12.75">
      <c r="L602" s="8"/>
    </row>
    <row r="603" ht="12.75">
      <c r="L603" s="8"/>
    </row>
    <row r="604" ht="12.75">
      <c r="L604" s="8"/>
    </row>
    <row r="605" ht="12.75">
      <c r="L605" s="8"/>
    </row>
    <row r="606" ht="12.75">
      <c r="L606" s="8"/>
    </row>
    <row r="607" ht="12.75">
      <c r="L607" s="8"/>
    </row>
    <row r="608" ht="12.75">
      <c r="L608" s="8"/>
    </row>
    <row r="609" ht="12.75">
      <c r="L609" s="8"/>
    </row>
    <row r="610" ht="12.75">
      <c r="L610" s="8"/>
    </row>
    <row r="611" ht="12.75">
      <c r="L611" s="8"/>
    </row>
    <row r="612" ht="12.75">
      <c r="L612" s="8"/>
    </row>
    <row r="613" ht="12.75">
      <c r="L613" s="8"/>
    </row>
    <row r="614" ht="12.75">
      <c r="L614" s="8"/>
    </row>
    <row r="615" ht="12.75">
      <c r="L615" s="8"/>
    </row>
    <row r="616" ht="12.75">
      <c r="L616" s="8"/>
    </row>
    <row r="617" ht="12.75">
      <c r="L617" s="8"/>
    </row>
    <row r="618" ht="12.75">
      <c r="L618" s="8"/>
    </row>
    <row r="619" ht="12.75">
      <c r="L619" s="8"/>
    </row>
    <row r="620" ht="12.75">
      <c r="L620" s="8"/>
    </row>
    <row r="621" ht="12.75">
      <c r="L621" s="8"/>
    </row>
    <row r="622" ht="12.75">
      <c r="L622" s="8"/>
    </row>
    <row r="623" ht="12.75">
      <c r="L623" s="8"/>
    </row>
    <row r="624" ht="12.75">
      <c r="L624" s="8"/>
    </row>
    <row r="625" ht="12.75">
      <c r="L625" s="8"/>
    </row>
    <row r="626" ht="12.75">
      <c r="L626" s="8"/>
    </row>
    <row r="627" ht="12.75">
      <c r="L627" s="8"/>
    </row>
    <row r="628" ht="12.75">
      <c r="L628" s="8"/>
    </row>
    <row r="629" ht="12.75">
      <c r="L629" s="8"/>
    </row>
    <row r="630" ht="12.75">
      <c r="L630" s="8"/>
    </row>
    <row r="631" ht="12.75">
      <c r="L631" s="8"/>
    </row>
    <row r="632" ht="12.75">
      <c r="L632" s="8"/>
    </row>
    <row r="633" ht="12.75">
      <c r="L633" s="8"/>
    </row>
    <row r="634" ht="12.75">
      <c r="L634" s="8"/>
    </row>
    <row r="635" ht="12.75">
      <c r="L635" s="8"/>
    </row>
    <row r="636" ht="12.75">
      <c r="L636" s="8"/>
    </row>
    <row r="637" ht="12.75">
      <c r="L637" s="8"/>
    </row>
    <row r="638" ht="12.75">
      <c r="L638" s="8"/>
    </row>
    <row r="639" ht="12.75">
      <c r="L639" s="8"/>
    </row>
    <row r="640" ht="12.75">
      <c r="L640" s="8"/>
    </row>
    <row r="641" ht="12.75">
      <c r="L641" s="8"/>
    </row>
    <row r="642" ht="12.75">
      <c r="L642" s="8"/>
    </row>
    <row r="643" ht="12.75">
      <c r="L643" s="8"/>
    </row>
    <row r="644" ht="12.75">
      <c r="L644" s="8"/>
    </row>
    <row r="645" ht="12.75">
      <c r="L645" s="8"/>
    </row>
    <row r="646" ht="12.75">
      <c r="L646" s="8"/>
    </row>
    <row r="647" ht="12.75">
      <c r="L647" s="8"/>
    </row>
    <row r="648" ht="12.75">
      <c r="L648" s="8"/>
    </row>
    <row r="649" ht="12.75">
      <c r="L649" s="8"/>
    </row>
    <row r="650" ht="12.75">
      <c r="L650" s="8"/>
    </row>
    <row r="651" ht="12.75">
      <c r="L651" s="8"/>
    </row>
    <row r="652" ht="12.75">
      <c r="L652" s="8"/>
    </row>
    <row r="653" ht="12.75">
      <c r="L653" s="8"/>
    </row>
    <row r="654" ht="12.75">
      <c r="L654" s="8"/>
    </row>
    <row r="655" ht="12.75">
      <c r="L655" s="8"/>
    </row>
    <row r="656" ht="12.75">
      <c r="L656" s="8"/>
    </row>
    <row r="657" ht="12.75">
      <c r="L657" s="8"/>
    </row>
    <row r="658" ht="12.75">
      <c r="L658" s="8"/>
    </row>
    <row r="659" ht="12.75">
      <c r="L659" s="8"/>
    </row>
    <row r="660" ht="12.75">
      <c r="L660" s="8"/>
    </row>
    <row r="661" ht="12.75">
      <c r="L661" s="8"/>
    </row>
    <row r="662" ht="12.75">
      <c r="L662" s="8"/>
    </row>
    <row r="663" ht="12.75">
      <c r="L663" s="8"/>
    </row>
    <row r="664" ht="12.75">
      <c r="L664" s="8"/>
    </row>
    <row r="665" ht="12.75">
      <c r="L665" s="8"/>
    </row>
    <row r="666" ht="12.75">
      <c r="L666" s="8"/>
    </row>
    <row r="667" ht="12.75">
      <c r="L667" s="8"/>
    </row>
    <row r="668" ht="12.75">
      <c r="L668" s="8"/>
    </row>
    <row r="669" ht="12.75">
      <c r="L669" s="8"/>
    </row>
    <row r="670" ht="12.75">
      <c r="L670" s="8"/>
    </row>
    <row r="671" ht="12.75">
      <c r="L671" s="8"/>
    </row>
    <row r="672" ht="12.75">
      <c r="L672" s="8"/>
    </row>
    <row r="673" ht="12.75">
      <c r="L673" s="8"/>
    </row>
    <row r="674" ht="12.75">
      <c r="L674" s="8"/>
    </row>
    <row r="675" ht="12.75">
      <c r="L675" s="8"/>
    </row>
    <row r="676" ht="12.75">
      <c r="L676" s="8"/>
    </row>
    <row r="677" ht="12.75">
      <c r="L677" s="8"/>
    </row>
    <row r="678" ht="12.75">
      <c r="L678" s="8"/>
    </row>
    <row r="679" ht="12.75">
      <c r="L679" s="8"/>
    </row>
    <row r="680" ht="12.75">
      <c r="L680" s="8"/>
    </row>
    <row r="681" ht="12.75">
      <c r="L681" s="8"/>
    </row>
    <row r="682" ht="12.75">
      <c r="L682" s="8"/>
    </row>
    <row r="683" ht="12.75">
      <c r="L683" s="8"/>
    </row>
    <row r="684" ht="12.75">
      <c r="L684" s="8"/>
    </row>
    <row r="685" ht="12.75">
      <c r="L685" s="8"/>
    </row>
    <row r="686" ht="12.75">
      <c r="L686" s="8"/>
    </row>
    <row r="687" ht="12.75">
      <c r="L687" s="8"/>
    </row>
    <row r="688" ht="12.75">
      <c r="L688" s="8"/>
    </row>
    <row r="689" ht="12.75">
      <c r="L689" s="8"/>
    </row>
    <row r="690" ht="12.75">
      <c r="L690" s="8"/>
    </row>
    <row r="691" ht="12.75">
      <c r="L691" s="8"/>
    </row>
    <row r="692" ht="12.75">
      <c r="L692" s="8"/>
    </row>
    <row r="693" ht="12.75">
      <c r="L693" s="8"/>
    </row>
    <row r="694" ht="12.75">
      <c r="L694" s="8"/>
    </row>
    <row r="695" ht="12.75">
      <c r="L695" s="8"/>
    </row>
    <row r="696" ht="12.75">
      <c r="L696" s="8"/>
    </row>
    <row r="697" ht="12.75">
      <c r="L697" s="8"/>
    </row>
    <row r="698" ht="12.75">
      <c r="L698" s="8"/>
    </row>
    <row r="699" ht="12.75">
      <c r="L699" s="8"/>
    </row>
    <row r="700" ht="12.75">
      <c r="L700" s="8"/>
    </row>
    <row r="701" ht="12.75">
      <c r="L701" s="8"/>
    </row>
    <row r="702" ht="12.75">
      <c r="L702" s="8"/>
    </row>
    <row r="703" ht="12.75">
      <c r="L703" s="8"/>
    </row>
    <row r="704" ht="12.75">
      <c r="L704" s="8"/>
    </row>
    <row r="705" ht="12.75">
      <c r="L705" s="8"/>
    </row>
    <row r="706" ht="12.75">
      <c r="L706" s="8"/>
    </row>
    <row r="707" ht="12.75">
      <c r="L707" s="8"/>
    </row>
    <row r="708" ht="12.75">
      <c r="L708" s="8"/>
    </row>
    <row r="709" ht="12.75">
      <c r="L709" s="8"/>
    </row>
    <row r="710" ht="12.75">
      <c r="L710" s="8"/>
    </row>
    <row r="711" ht="12.75">
      <c r="L711" s="8"/>
    </row>
    <row r="712" ht="12.75">
      <c r="L712" s="8"/>
    </row>
    <row r="713" ht="12.75">
      <c r="L713" s="8"/>
    </row>
    <row r="714" ht="12.75">
      <c r="L714" s="8"/>
    </row>
    <row r="715" ht="12.75">
      <c r="L715" s="8"/>
    </row>
    <row r="716" ht="12.75">
      <c r="L716" s="8"/>
    </row>
    <row r="717" ht="12.75">
      <c r="L717" s="8"/>
    </row>
    <row r="718" ht="12.75">
      <c r="L718" s="8"/>
    </row>
    <row r="719" ht="12.75">
      <c r="L719" s="8"/>
    </row>
    <row r="720" ht="12.75">
      <c r="L720" s="8"/>
    </row>
    <row r="721" ht="12.75">
      <c r="L721" s="8"/>
    </row>
    <row r="722" ht="12.75">
      <c r="L722" s="8"/>
    </row>
    <row r="723" ht="12.75">
      <c r="L723" s="8"/>
    </row>
    <row r="724" ht="12.75">
      <c r="L724" s="8"/>
    </row>
    <row r="725" ht="12.75">
      <c r="L725" s="8"/>
    </row>
    <row r="726" ht="12.75">
      <c r="L726" s="8"/>
    </row>
    <row r="727" ht="12.75">
      <c r="L727" s="8"/>
    </row>
    <row r="728" ht="12.75">
      <c r="L728" s="8"/>
    </row>
    <row r="729" ht="12.75">
      <c r="L729" s="8"/>
    </row>
    <row r="730" ht="12.75">
      <c r="L730" s="8"/>
    </row>
    <row r="731" ht="12.75">
      <c r="L731" s="8"/>
    </row>
    <row r="732" ht="12.75">
      <c r="L732" s="8"/>
    </row>
    <row r="733" ht="12.75">
      <c r="L733" s="8"/>
    </row>
    <row r="734" ht="12.75">
      <c r="L734" s="8"/>
    </row>
    <row r="735" ht="12.75">
      <c r="L735" s="8"/>
    </row>
    <row r="736" ht="12.75">
      <c r="L736" s="8"/>
    </row>
    <row r="737" ht="12.75">
      <c r="L737" s="8"/>
    </row>
    <row r="738" ht="12.75">
      <c r="L738" s="8"/>
    </row>
    <row r="739" ht="12.75">
      <c r="L739" s="8"/>
    </row>
    <row r="740" ht="12.75">
      <c r="L740" s="8"/>
    </row>
    <row r="741" ht="12.75">
      <c r="L741" s="8"/>
    </row>
    <row r="742" ht="12.75">
      <c r="L742" s="8"/>
    </row>
    <row r="743" ht="12.75">
      <c r="L743" s="8"/>
    </row>
    <row r="744" ht="12.75">
      <c r="L744" s="8"/>
    </row>
    <row r="745" ht="12.75">
      <c r="L745" s="8"/>
    </row>
    <row r="746" ht="12.75">
      <c r="L746" s="8"/>
    </row>
    <row r="747" ht="12.75">
      <c r="L747" s="8"/>
    </row>
    <row r="748" ht="12.75">
      <c r="L748" s="8"/>
    </row>
    <row r="749" ht="12.75">
      <c r="L749" s="8"/>
    </row>
    <row r="750" ht="12.75">
      <c r="L750" s="8"/>
    </row>
    <row r="751" ht="12.75">
      <c r="L751" s="8"/>
    </row>
    <row r="752" ht="12.75">
      <c r="L752" s="8"/>
    </row>
    <row r="753" ht="12.75">
      <c r="L753" s="8"/>
    </row>
    <row r="754" ht="12.75">
      <c r="L754" s="8"/>
    </row>
    <row r="755" ht="12.75">
      <c r="L755" s="8"/>
    </row>
    <row r="756" ht="12.75">
      <c r="L756" s="8"/>
    </row>
    <row r="757" ht="12.75">
      <c r="L757" s="8"/>
    </row>
    <row r="758" ht="12.75">
      <c r="L758" s="8"/>
    </row>
    <row r="759" ht="12.75">
      <c r="L759" s="8"/>
    </row>
    <row r="760" ht="12.75">
      <c r="L760" s="8"/>
    </row>
    <row r="761" ht="12.75">
      <c r="L761" s="8"/>
    </row>
    <row r="762" ht="12.75">
      <c r="L762" s="8"/>
    </row>
    <row r="763" ht="12.75">
      <c r="L763" s="8"/>
    </row>
    <row r="764" ht="12.75">
      <c r="L764" s="8"/>
    </row>
    <row r="765" ht="12.75">
      <c r="L765" s="8"/>
    </row>
    <row r="766" ht="12.75">
      <c r="L766" s="8"/>
    </row>
    <row r="767" ht="12.75">
      <c r="L767" s="8"/>
    </row>
    <row r="768" ht="12.75">
      <c r="L768" s="8"/>
    </row>
    <row r="769" ht="12.75">
      <c r="L769" s="8"/>
    </row>
    <row r="770" ht="12.75">
      <c r="L770" s="8"/>
    </row>
    <row r="771" ht="12.75">
      <c r="L771" s="8"/>
    </row>
    <row r="772" ht="12.75">
      <c r="L772" s="8"/>
    </row>
    <row r="773" ht="12.75">
      <c r="L773" s="8"/>
    </row>
    <row r="774" ht="12.75">
      <c r="L774" s="8"/>
    </row>
    <row r="775" ht="12.75">
      <c r="L775" s="8"/>
    </row>
    <row r="776" ht="12.75">
      <c r="L776" s="8"/>
    </row>
    <row r="777" ht="12.75">
      <c r="L777" s="8"/>
    </row>
    <row r="778" ht="12.75">
      <c r="L778" s="8"/>
    </row>
    <row r="779" ht="12.75">
      <c r="L779" s="8"/>
    </row>
    <row r="780" ht="12.75">
      <c r="L780" s="8"/>
    </row>
    <row r="781" ht="12.75">
      <c r="L781" s="8"/>
    </row>
    <row r="782" ht="12.75">
      <c r="L782" s="8"/>
    </row>
    <row r="783" ht="12.75">
      <c r="L783" s="8"/>
    </row>
    <row r="784" ht="12.75">
      <c r="L784" s="8"/>
    </row>
    <row r="785" ht="12.75">
      <c r="L785" s="8"/>
    </row>
    <row r="786" ht="12.75">
      <c r="L786" s="8"/>
    </row>
    <row r="787" ht="12.75">
      <c r="L787" s="8"/>
    </row>
    <row r="788" ht="12.75">
      <c r="L788" s="8"/>
    </row>
    <row r="789" ht="12.75">
      <c r="L789" s="8"/>
    </row>
    <row r="790" ht="12.75">
      <c r="L790" s="8"/>
    </row>
    <row r="791" ht="12.75">
      <c r="L791" s="8"/>
    </row>
    <row r="792" ht="12.75">
      <c r="L792" s="8"/>
    </row>
    <row r="793" ht="12.75">
      <c r="L793" s="8"/>
    </row>
    <row r="794" ht="12.75">
      <c r="L794" s="8"/>
    </row>
    <row r="795" ht="12.75">
      <c r="L795" s="8"/>
    </row>
    <row r="796" ht="12.75">
      <c r="L796" s="8"/>
    </row>
    <row r="797" ht="12.75">
      <c r="L797" s="8"/>
    </row>
    <row r="798" ht="12.75">
      <c r="L798" s="8"/>
    </row>
    <row r="799" ht="12.75">
      <c r="L799" s="8"/>
    </row>
    <row r="800" ht="12.75">
      <c r="L800" s="8"/>
    </row>
    <row r="801" ht="12.75">
      <c r="L801" s="8"/>
    </row>
    <row r="802" ht="12.75">
      <c r="L802" s="8"/>
    </row>
    <row r="803" ht="12.75">
      <c r="L803" s="8"/>
    </row>
    <row r="804" ht="12.75">
      <c r="L804" s="8"/>
    </row>
    <row r="805" ht="12.75">
      <c r="L805" s="8"/>
    </row>
    <row r="806" ht="12.75">
      <c r="L806" s="8"/>
    </row>
    <row r="807" ht="12.75">
      <c r="L807" s="8"/>
    </row>
    <row r="808" ht="12.75">
      <c r="L808" s="8"/>
    </row>
    <row r="809" ht="12.75">
      <c r="L809" s="8"/>
    </row>
    <row r="810" ht="12.75">
      <c r="L810" s="8"/>
    </row>
    <row r="811" ht="12.75">
      <c r="L811" s="8"/>
    </row>
    <row r="812" ht="12.75">
      <c r="L812" s="8"/>
    </row>
    <row r="813" ht="12.75">
      <c r="L813" s="8"/>
    </row>
    <row r="814" ht="12.75">
      <c r="L814" s="8"/>
    </row>
    <row r="815" ht="12.75">
      <c r="L815" s="8"/>
    </row>
    <row r="816" ht="12.75">
      <c r="L816" s="8"/>
    </row>
    <row r="817" ht="12.75">
      <c r="L817" s="8"/>
    </row>
    <row r="818" ht="12.75">
      <c r="L818" s="8"/>
    </row>
    <row r="819" ht="12.75">
      <c r="L819" s="8"/>
    </row>
    <row r="820" ht="12.75">
      <c r="L820" s="8"/>
    </row>
    <row r="821" ht="12.75">
      <c r="L821" s="8"/>
    </row>
    <row r="822" ht="12.75">
      <c r="L822" s="8"/>
    </row>
    <row r="823" ht="12.75">
      <c r="L823" s="8"/>
    </row>
    <row r="824" ht="12.75">
      <c r="L824" s="8"/>
    </row>
    <row r="825" ht="12.75">
      <c r="L825" s="8"/>
    </row>
    <row r="826" ht="12.75">
      <c r="L826" s="8"/>
    </row>
    <row r="827" ht="12.75">
      <c r="L827" s="8"/>
    </row>
    <row r="828" ht="12.75">
      <c r="L828" s="8"/>
    </row>
    <row r="829" ht="12.75">
      <c r="L829" s="8"/>
    </row>
    <row r="830" ht="12.75">
      <c r="L830" s="8"/>
    </row>
    <row r="831" ht="12.75">
      <c r="L831" s="8"/>
    </row>
    <row r="832" ht="12.75">
      <c r="L832" s="8"/>
    </row>
    <row r="833" ht="12.75">
      <c r="L833" s="8"/>
    </row>
    <row r="834" ht="12.75">
      <c r="L834" s="8"/>
    </row>
    <row r="835" ht="12.75">
      <c r="L835" s="8"/>
    </row>
    <row r="836" ht="12.75">
      <c r="L836" s="8"/>
    </row>
    <row r="837" ht="12.75">
      <c r="L837" s="8"/>
    </row>
    <row r="838" ht="12.75">
      <c r="L838" s="8"/>
    </row>
    <row r="839" ht="12.75">
      <c r="L839" s="8"/>
    </row>
    <row r="840" ht="12.75">
      <c r="L840" s="8"/>
    </row>
    <row r="841" ht="12.75">
      <c r="L841" s="8"/>
    </row>
    <row r="842" ht="12.75">
      <c r="L842" s="8"/>
    </row>
    <row r="843" ht="12.75">
      <c r="L843" s="8"/>
    </row>
    <row r="844" ht="12.75">
      <c r="L844" s="8"/>
    </row>
    <row r="845" ht="12.75">
      <c r="L845" s="8"/>
    </row>
    <row r="846" ht="12.75">
      <c r="L846" s="8"/>
    </row>
    <row r="847" ht="12.75">
      <c r="L847" s="8"/>
    </row>
    <row r="848" ht="12.75">
      <c r="L848" s="8"/>
    </row>
    <row r="849" ht="12.75">
      <c r="L849" s="8"/>
    </row>
    <row r="850" ht="12.75">
      <c r="L850" s="8"/>
    </row>
    <row r="851" ht="12.75">
      <c r="L851" s="8"/>
    </row>
    <row r="852" ht="12.75">
      <c r="L852" s="8"/>
    </row>
    <row r="853" ht="12.75">
      <c r="L853" s="8"/>
    </row>
    <row r="854" ht="12.75">
      <c r="L854" s="8"/>
    </row>
    <row r="855" ht="12.75">
      <c r="L855" s="8"/>
    </row>
    <row r="856" ht="12.75">
      <c r="L856" s="8"/>
    </row>
    <row r="857" ht="12.75">
      <c r="L857" s="8"/>
    </row>
    <row r="858" ht="12.75">
      <c r="L858" s="8"/>
    </row>
    <row r="859" ht="12.75">
      <c r="L859" s="8"/>
    </row>
    <row r="860" ht="12.75">
      <c r="L860" s="8"/>
    </row>
    <row r="861" ht="12.75">
      <c r="L861" s="8"/>
    </row>
    <row r="862" ht="12.75">
      <c r="L862" s="8"/>
    </row>
    <row r="863" ht="12.75">
      <c r="L863" s="8"/>
    </row>
    <row r="864" ht="12.75">
      <c r="L864" s="8"/>
    </row>
    <row r="865" ht="12.75">
      <c r="L865" s="8"/>
    </row>
    <row r="866" ht="12.75">
      <c r="L866" s="8"/>
    </row>
    <row r="867" ht="12.75">
      <c r="L867" s="8"/>
    </row>
    <row r="868" ht="12.75">
      <c r="L868" s="8"/>
    </row>
    <row r="869" ht="12.75">
      <c r="L869" s="8"/>
    </row>
    <row r="870" ht="12.75">
      <c r="L870" s="8"/>
    </row>
    <row r="871" ht="12.75">
      <c r="L871" s="8"/>
    </row>
    <row r="872" ht="12.75">
      <c r="L872" s="8"/>
    </row>
    <row r="873" ht="12.75">
      <c r="L873" s="8"/>
    </row>
    <row r="874" ht="12.75">
      <c r="L874" s="8"/>
    </row>
    <row r="875" ht="12.75">
      <c r="L875" s="8"/>
    </row>
    <row r="876" ht="12.75">
      <c r="L876" s="8"/>
    </row>
    <row r="877" ht="12.75">
      <c r="L877" s="8"/>
    </row>
    <row r="878" ht="12.75">
      <c r="L878" s="8"/>
    </row>
    <row r="879" ht="12.75">
      <c r="L879" s="8"/>
    </row>
    <row r="880" ht="12.75">
      <c r="L880" s="8"/>
    </row>
    <row r="881" ht="12.75">
      <c r="L881" s="8"/>
    </row>
    <row r="882" ht="12.75">
      <c r="L882" s="8"/>
    </row>
    <row r="883" ht="12.75">
      <c r="L883" s="8"/>
    </row>
    <row r="884" ht="12.75">
      <c r="L884" s="8"/>
    </row>
    <row r="885" ht="12.75">
      <c r="L885" s="8"/>
    </row>
    <row r="886" ht="12.75">
      <c r="L886" s="8"/>
    </row>
    <row r="887" ht="12.75">
      <c r="L887" s="8"/>
    </row>
    <row r="888" ht="12.75">
      <c r="L888" s="8"/>
    </row>
    <row r="889" ht="12.75">
      <c r="L889" s="8"/>
    </row>
    <row r="890" ht="12.75">
      <c r="L890" s="8"/>
    </row>
    <row r="891" ht="12.75">
      <c r="L891" s="8"/>
    </row>
    <row r="892" ht="12.75">
      <c r="L892" s="8"/>
    </row>
    <row r="893" ht="12.75">
      <c r="L893" s="8"/>
    </row>
    <row r="894" ht="12.75">
      <c r="L894" s="8"/>
    </row>
    <row r="895" ht="12.75">
      <c r="L895" s="8"/>
    </row>
    <row r="896" ht="12.75">
      <c r="L896" s="8"/>
    </row>
    <row r="897" ht="12.75">
      <c r="L897" s="8"/>
    </row>
    <row r="898" ht="12.75">
      <c r="L898" s="8"/>
    </row>
    <row r="899" ht="12.75">
      <c r="L899" s="8"/>
    </row>
    <row r="900" ht="12.75">
      <c r="L900" s="8"/>
    </row>
    <row r="901" ht="12.75">
      <c r="L901" s="8"/>
    </row>
    <row r="902" ht="12.75">
      <c r="L902" s="8"/>
    </row>
    <row r="903" ht="12.75">
      <c r="L903" s="8"/>
    </row>
    <row r="904" ht="12.75">
      <c r="L904" s="8"/>
    </row>
    <row r="905" ht="12.75">
      <c r="L905" s="8"/>
    </row>
    <row r="906" ht="12.75">
      <c r="L906" s="8"/>
    </row>
    <row r="907" ht="12.75">
      <c r="L907" s="8"/>
    </row>
    <row r="908" ht="12.75">
      <c r="L908" s="8"/>
    </row>
    <row r="909" ht="12.75">
      <c r="L909" s="8"/>
    </row>
    <row r="910" ht="12.75">
      <c r="L910" s="8"/>
    </row>
    <row r="911" ht="12.75">
      <c r="L911" s="8"/>
    </row>
    <row r="912" ht="12.75">
      <c r="L912" s="8"/>
    </row>
    <row r="913" ht="12.75">
      <c r="L913" s="8"/>
    </row>
    <row r="914" ht="12.75">
      <c r="L914" s="8"/>
    </row>
    <row r="915" ht="12.75">
      <c r="L915" s="8"/>
    </row>
    <row r="916" ht="12.75">
      <c r="L916" s="8"/>
    </row>
    <row r="917" ht="12.75">
      <c r="L917" s="8"/>
    </row>
    <row r="918" ht="12.75">
      <c r="L918" s="8"/>
    </row>
    <row r="919" ht="12.75">
      <c r="L919" s="8"/>
    </row>
    <row r="920" ht="12.75">
      <c r="L920" s="8"/>
    </row>
    <row r="921" ht="12.75">
      <c r="L921" s="8"/>
    </row>
    <row r="922" ht="12.75">
      <c r="L922" s="8"/>
    </row>
    <row r="923" ht="12.75">
      <c r="L923" s="8"/>
    </row>
    <row r="924" ht="12.75">
      <c r="L924" s="8"/>
    </row>
    <row r="925" ht="12.75">
      <c r="L925" s="8"/>
    </row>
    <row r="926" ht="12.75">
      <c r="L926" s="8"/>
    </row>
    <row r="927" ht="12.75">
      <c r="L927" s="8"/>
    </row>
    <row r="928" ht="12.75">
      <c r="L928" s="8"/>
    </row>
    <row r="929" ht="12.75">
      <c r="L929" s="8"/>
    </row>
  </sheetData>
  <sheetProtection password="DCC1" sheet="1" objects="1" scenarios="1"/>
  <printOptions gridLines="1"/>
  <pageMargins left="0.7874015748031497" right="0" top="0.5905511811023623" bottom="0.31496062992125984" header="0.2755905511811024" footer="0.15748031496062992"/>
  <pageSetup fitToHeight="0" horizontalDpi="600" verticalDpi="600" orientation="portrait" paperSize="9" scale="70" r:id="rId4"/>
  <headerFooter alignWithMargins="0">
    <oddHeader>&amp;C&amp;A</oddHeader>
    <oddFooter>&amp;CSeite &amp;P</oddFooter>
  </headerFooter>
  <rowBreaks count="1" manualBreakCount="1">
    <brk id="78" max="11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19.8515625" style="0" customWidth="1"/>
    <col min="2" max="10" width="9.7109375" style="0" customWidth="1"/>
  </cols>
  <sheetData>
    <row r="2" spans="1:9" ht="12.75">
      <c r="A2" s="49"/>
      <c r="B2" s="49" t="s">
        <v>54</v>
      </c>
      <c r="C2" s="49" t="s">
        <v>55</v>
      </c>
      <c r="D2" s="49" t="s">
        <v>16</v>
      </c>
      <c r="E2" s="49" t="s">
        <v>17</v>
      </c>
      <c r="F2" s="72" t="s">
        <v>94</v>
      </c>
      <c r="G2" s="72" t="s">
        <v>96</v>
      </c>
      <c r="H2" s="72" t="s">
        <v>95</v>
      </c>
      <c r="I2" s="93" t="s">
        <v>125</v>
      </c>
    </row>
    <row r="3" spans="1:9" ht="12.75">
      <c r="A3" s="49" t="s">
        <v>77</v>
      </c>
      <c r="B3" s="125">
        <f>'Kostenvergleich '!D46</f>
        <v>3906.9444102402367</v>
      </c>
      <c r="C3" s="125">
        <f>'Kostenvergleich '!E46</f>
        <v>3480.2044979849975</v>
      </c>
      <c r="D3" s="125">
        <f>'Kostenvergleich '!F46</f>
        <v>6456.417537911229</v>
      </c>
      <c r="E3" s="125">
        <f>'Kostenvergleich '!G46</f>
        <v>5022.787509484168</v>
      </c>
      <c r="F3" s="125">
        <f>'Kostenvergleich '!H46</f>
        <v>4414.275479333096</v>
      </c>
      <c r="G3" s="125">
        <f>'Kostenvergleich '!I46</f>
        <v>5747.469789246231</v>
      </c>
      <c r="H3" s="125">
        <f>'Kostenvergleich '!J46</f>
        <v>5104.264840817739</v>
      </c>
      <c r="I3" s="125">
        <f>'Kostenvergleich '!K46</f>
        <v>4679.750400764329</v>
      </c>
    </row>
    <row r="4" spans="1:9" ht="12.75">
      <c r="A4" s="49" t="s">
        <v>53</v>
      </c>
      <c r="B4" s="125">
        <f>'Kostenvergleich '!D72</f>
        <v>7617.9728214285715</v>
      </c>
      <c r="C4" s="125">
        <f>'Kostenvergleich '!E72</f>
        <v>6861.4495037623765</v>
      </c>
      <c r="D4" s="125">
        <f>'Kostenvergleich '!F72</f>
        <v>3609.6000000000004</v>
      </c>
      <c r="E4" s="125">
        <f>'Kostenvergleich '!G72</f>
        <v>4605.200000000001</v>
      </c>
      <c r="F4" s="125">
        <f>'Kostenvergleich '!H72</f>
        <v>6478.125753393664</v>
      </c>
      <c r="G4" s="125">
        <f>'Kostenvergleich '!I72</f>
        <v>5861.723178054299</v>
      </c>
      <c r="H4" s="125">
        <f>'Kostenvergleich '!J72</f>
        <v>6871.880539285714</v>
      </c>
      <c r="I4" s="125">
        <f>'Kostenvergleich '!K72</f>
        <v>6221.009553386139</v>
      </c>
    </row>
    <row r="5" spans="1:9" ht="12.75">
      <c r="A5" s="49" t="s">
        <v>69</v>
      </c>
      <c r="B5" s="125">
        <f>'Kostenvergleich '!D73</f>
        <v>1182.2857142857142</v>
      </c>
      <c r="C5" s="125">
        <f>'Kostenvergleich '!E73</f>
        <v>532</v>
      </c>
      <c r="D5" s="125">
        <f>'Kostenvergleich '!F73</f>
        <v>150</v>
      </c>
      <c r="E5" s="125">
        <f>'Kostenvergleich '!G73</f>
        <v>350</v>
      </c>
      <c r="F5" s="125">
        <f>'Kostenvergleich '!H73</f>
        <v>1043.3597285067874</v>
      </c>
      <c r="G5" s="125">
        <f>'Kostenvergleich '!I73</f>
        <v>1034.0237556561085</v>
      </c>
      <c r="H5" s="125">
        <f>'Kostenvergleich '!J73</f>
        <v>1171.057142857143</v>
      </c>
      <c r="I5" s="125">
        <f>'Kostenvergleich '!K73</f>
        <v>532</v>
      </c>
    </row>
    <row r="6" spans="1:9" ht="12.75">
      <c r="A6" s="49" t="s">
        <v>107</v>
      </c>
      <c r="B6" s="125">
        <f>'Kostenvergleich '!D83</f>
        <v>892.6714285714285</v>
      </c>
      <c r="C6" s="125">
        <f>'Kostenvergleich '!E83</f>
        <v>653.7029702970297</v>
      </c>
      <c r="D6" s="125">
        <f>'Kostenvergleich '!F83</f>
        <v>0</v>
      </c>
      <c r="E6" s="125">
        <f>'Kostenvergleich '!G83</f>
        <v>0</v>
      </c>
      <c r="F6" s="125">
        <f>'Kostenvergleich '!H83</f>
        <v>0</v>
      </c>
      <c r="G6" s="125">
        <f>'Kostenvergleich '!I83</f>
        <v>0</v>
      </c>
      <c r="H6" s="125">
        <f>'Kostenvergleich '!J83</f>
        <v>803.4042857142856</v>
      </c>
      <c r="I6" s="125">
        <f>'Kostenvergleich '!K83</f>
        <v>588.3326732673269</v>
      </c>
    </row>
    <row r="7" spans="1:9" ht="12.75">
      <c r="A7" s="49" t="s">
        <v>87</v>
      </c>
      <c r="B7" s="125">
        <f>'Kostenvergleich '!D85</f>
        <v>4210.714285714285</v>
      </c>
      <c r="C7" s="125">
        <f>'Kostenvergleich '!E85</f>
        <v>2751</v>
      </c>
      <c r="D7" s="125">
        <f>'Kostenvergleich '!F85</f>
        <v>1273.611111111111</v>
      </c>
      <c r="E7" s="125">
        <f>'Kostenvergleich '!G85</f>
        <v>1637.5000000000002</v>
      </c>
      <c r="F7" s="125">
        <f>'Kostenvergleich '!H85</f>
        <v>1618.235294117647</v>
      </c>
      <c r="G7" s="125">
        <f>'Kostenvergleich '!I85</f>
        <v>1456.4117647058824</v>
      </c>
      <c r="H7" s="125">
        <f>'Kostenvergleich '!J85</f>
        <v>3789.642857142857</v>
      </c>
      <c r="I7" s="125">
        <f>'Kostenvergleich '!K85</f>
        <v>2475.9</v>
      </c>
    </row>
    <row r="8" ht="12.75">
      <c r="J8" s="6"/>
    </row>
    <row r="9" ht="12.75">
      <c r="J9" s="1"/>
    </row>
    <row r="10" ht="12.75">
      <c r="J10" s="6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Vergleich Jahreskosten Heizsysteme</dc:title>
  <dc:subject/>
  <dc:creator>Häfeli</dc:creator>
  <cp:keywords/>
  <dc:description/>
  <cp:lastModifiedBy>WWF Staff</cp:lastModifiedBy>
  <cp:lastPrinted>2005-12-16T11:24:46Z</cp:lastPrinted>
  <dcterms:created xsi:type="dcterms:W3CDTF">1999-07-09T08:48:38Z</dcterms:created>
  <dcterms:modified xsi:type="dcterms:W3CDTF">2009-05-12T08:13:23Z</dcterms:modified>
  <cp:category/>
  <cp:version/>
  <cp:contentType/>
  <cp:contentStatus/>
</cp:coreProperties>
</file>