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65516" windowWidth="34440" windowHeight="22660" tabRatio="817" activeTab="0"/>
  </bookViews>
  <sheets>
    <sheet name="Kostenvergleich " sheetId="1" r:id="rId1"/>
    <sheet name="Tabelle Grafik" sheetId="2" r:id="rId2"/>
    <sheet name="Tabelle3" sheetId="3" r:id="rId3"/>
    <sheet name="Tabelle4" sheetId="4" r:id="rId4"/>
    <sheet name="Tabelle5" sheetId="5" r:id="rId5"/>
    <sheet name="Tabelle6" sheetId="6" r:id="rId6"/>
    <sheet name="Tabelle7" sheetId="7" r:id="rId7"/>
    <sheet name="Tabelle8" sheetId="8" r:id="rId8"/>
    <sheet name="Tabelle9" sheetId="9" r:id="rId9"/>
    <sheet name="Tabelle10" sheetId="10" r:id="rId10"/>
    <sheet name="Tabelle11" sheetId="11" r:id="rId11"/>
    <sheet name="Tabelle12" sheetId="12" r:id="rId12"/>
    <sheet name="Tabelle13" sheetId="13" r:id="rId13"/>
    <sheet name="Tabelle14" sheetId="14" r:id="rId14"/>
    <sheet name="Tabelle15" sheetId="15" r:id="rId15"/>
    <sheet name="Tabelle16" sheetId="16" r:id="rId16"/>
  </sheets>
  <definedNames>
    <definedName name="_xlnm.Print_Area" localSheetId="0">'Kostenvergleich '!$A$1:$L$147</definedName>
  </definedNames>
  <calcPr fullCalcOnLoad="1" iterate="1" iterateCount="100" iterateDelta="0.001"/>
</workbook>
</file>

<file path=xl/comments1.xml><?xml version="1.0" encoding="utf-8"?>
<comments xmlns="http://schemas.openxmlformats.org/spreadsheetml/2006/main">
  <authors>
    <author>pho</author>
  </authors>
  <commentList>
    <comment ref="A42" authorId="0">
      <text>
        <r>
          <rPr>
            <b/>
            <sz val="8"/>
            <rFont val="Tahoma"/>
            <family val="0"/>
          </rPr>
          <t xml:space="preserve">Ici, il est possible de déduire les mesures promotionelles communales et cantonales, les déductions fiscales pour les impôts fédéraux et cantonaux ainsi que les répercussions sur les loyers (voir documentation pour informations complémentaires).
</t>
        </r>
      </text>
    </comment>
  </commentList>
</comments>
</file>

<file path=xl/sharedStrings.xml><?xml version="1.0" encoding="utf-8"?>
<sst xmlns="http://schemas.openxmlformats.org/spreadsheetml/2006/main" count="216" uniqueCount="141">
  <si>
    <t>Granulés/soleil</t>
  </si>
  <si>
    <t>Mazout/soleil</t>
  </si>
  <si>
    <t>Saisie: besoin en énergie chaleur Qw pour les calculs suivants</t>
  </si>
  <si>
    <t>Mazout</t>
  </si>
  <si>
    <t>Isolation</t>
  </si>
  <si>
    <t>Maçon, voisinage, jardinier</t>
  </si>
  <si>
    <t>Durée moyenne d'amortissement</t>
  </si>
  <si>
    <t>Fr/an</t>
  </si>
  <si>
    <t>Chaudière à mazout</t>
  </si>
  <si>
    <t>Chaudière à gaz</t>
  </si>
  <si>
    <t>Contrôle des fumées</t>
  </si>
  <si>
    <t>Mazout EL</t>
  </si>
  <si>
    <t>Prix de base du gaz naturel</t>
  </si>
  <si>
    <t>Gaz naturel</t>
  </si>
  <si>
    <t>Prix de base de l'électricité</t>
  </si>
  <si>
    <t>Courant  HT</t>
  </si>
  <si>
    <t>Courant NT</t>
  </si>
  <si>
    <t>Courant hiver WP-Tarif HT</t>
  </si>
  <si>
    <t>Courant hiver WP-Tarif NT</t>
  </si>
  <si>
    <t>Ramoneur</t>
  </si>
  <si>
    <t>Nettoyage de la citerne</t>
  </si>
  <si>
    <t>Intérêts sur le combustible</t>
  </si>
  <si>
    <t>% changement / mazout</t>
  </si>
  <si>
    <t>Coûts annuels (taxe incluse)</t>
  </si>
  <si>
    <t>Surface à chauffer</t>
  </si>
  <si>
    <t>Efficacité correspondant au pouvoir calorifique inférieur</t>
  </si>
  <si>
    <t>PC Sole (pompe à chaleur sol-eau)</t>
  </si>
  <si>
    <t>PC Air</t>
  </si>
  <si>
    <t>Granulés (réservoir)</t>
  </si>
  <si>
    <t>Rémunération du capital</t>
  </si>
  <si>
    <t>PC Sole</t>
  </si>
  <si>
    <t>Coûts de chauffage</t>
  </si>
  <si>
    <t>Coûts de chauffage (taxe incluse)</t>
  </si>
  <si>
    <t xml:space="preserve">kWh/a </t>
  </si>
  <si>
    <t>[kWh/...]</t>
  </si>
  <si>
    <t>ETA/JAZ</t>
  </si>
  <si>
    <t>Jahre</t>
  </si>
  <si>
    <t>[Fr.]</t>
  </si>
  <si>
    <t>%</t>
  </si>
  <si>
    <t>Fr/a</t>
  </si>
  <si>
    <t>Fr./a</t>
  </si>
  <si>
    <t>Rp/kWh</t>
  </si>
  <si>
    <t>Fr./to</t>
  </si>
  <si>
    <t>[l]</t>
  </si>
  <si>
    <t>Fr./t</t>
  </si>
  <si>
    <t>[t]</t>
  </si>
  <si>
    <t>[Fr]</t>
  </si>
  <si>
    <t>Données du bâtiment</t>
  </si>
  <si>
    <t xml:space="preserve">Construction nouvelle: </t>
  </si>
  <si>
    <t>Besoin en énergie de chauffage Qh =</t>
  </si>
  <si>
    <t>Objet:</t>
  </si>
  <si>
    <t>Besoin en énergie pour l'eau chaude Qww =</t>
  </si>
  <si>
    <t>Besoin en énergie chaleur Qw = Qh + Qww</t>
  </si>
  <si>
    <t>Assainissement:</t>
  </si>
  <si>
    <t>Gaz</t>
  </si>
  <si>
    <t>Maison individuelle</t>
  </si>
  <si>
    <t>Besoin en énergie de chauffageQw</t>
  </si>
  <si>
    <t>Besoin en énergie de chauffage Qw</t>
  </si>
  <si>
    <t>Dépense énergétique par système</t>
  </si>
  <si>
    <t>Consommation électrique des moteurs</t>
  </si>
  <si>
    <t>Coûts énergétiques</t>
  </si>
  <si>
    <t>Autres coûts de chauffage</t>
  </si>
  <si>
    <t>Taxe d'orientation sur le CO2</t>
  </si>
  <si>
    <t>sans garantie</t>
  </si>
  <si>
    <t>Comparaison des coûts annuels des systèmes de chauffage (avec alimentation en eau chaude)</t>
  </si>
  <si>
    <t>Dommages à l'environnement</t>
  </si>
  <si>
    <t>Points EcoIndicator'99</t>
  </si>
  <si>
    <t>t/année</t>
  </si>
  <si>
    <t>100 Pt/Année</t>
  </si>
  <si>
    <t>Comparaison des coûts avec taxe énergétique</t>
  </si>
  <si>
    <t>Coût annuel sans taxe</t>
  </si>
  <si>
    <t>Les données d'émission proviennent de ecoinvent, The Life Cycle Inventory Data Version 1.2. 2005.</t>
  </si>
  <si>
    <t>Points EcoIndicator'99-: enregistre une large palette de dommages à l'environnement qui correspondent à la production de systèmes de chauffage et d'énergie.</t>
  </si>
  <si>
    <t>Les dommages ont été évalués d'après la méthode d'évaluation écobilan EcoIndicator'99 (E,E).</t>
  </si>
  <si>
    <t>Les données environnementales et les points EcoIndicators'99 proviennent de ecoinvent, The Life Cycle Inventory Data Version 1.2. 2005.</t>
  </si>
  <si>
    <r>
      <t>©</t>
    </r>
    <r>
      <rPr>
        <sz val="10"/>
        <rFont val="Arial"/>
        <family val="0"/>
      </rPr>
      <t xml:space="preserve"> WWF Suisse &amp; AEE (Agence pour les Energies renouvelables), 2005.</t>
    </r>
  </si>
  <si>
    <t>Emission de CO2 de cheminée: calculées selon données OFEFP.</t>
  </si>
  <si>
    <t>Procédé: 1. Noter le SBE [cellule: F9]</t>
  </si>
  <si>
    <t>2a: Utilisation pour les nouvelles constructions: noter le besoin en énergie de chauffage QW pour la chaleur [cellule F10]</t>
  </si>
  <si>
    <t>2b: Utilisation pour l'assainissement: noter la consommation d'énergie [Cellules D15 - J15]</t>
  </si>
  <si>
    <t>Les cellules de couleur peuvent être complétées avec des données personnalisées.</t>
  </si>
  <si>
    <t>Valeur de combustion du mazout</t>
  </si>
  <si>
    <t>Granulés</t>
  </si>
  <si>
    <t>Pour les petites installations de 10kW</t>
  </si>
  <si>
    <t>3: Pour le calcul comparatif du besoin en énergie de chauffage: noter en kWh [cellule F18] et si besoin est toutes les cellules adjacentes</t>
  </si>
  <si>
    <t>Contenu énergétique par unité [Hu]</t>
  </si>
  <si>
    <t>Pourcentage d'énergie solaire</t>
  </si>
  <si>
    <t>Place nécessaire pour l'installation de chauffage</t>
  </si>
  <si>
    <t>Investissement</t>
  </si>
  <si>
    <t>Réservoir</t>
  </si>
  <si>
    <t>Frais de raccordement</t>
  </si>
  <si>
    <t>Chaudière, pompe à chaleur</t>
  </si>
  <si>
    <t>Cheminée</t>
  </si>
  <si>
    <t>Extension</t>
  </si>
  <si>
    <t>Réservoir d'eau chaude</t>
  </si>
  <si>
    <t>Sonde terrestre, source</t>
  </si>
  <si>
    <t>Répartition de la chaleur</t>
  </si>
  <si>
    <t>Montage, honoraires, etc.</t>
  </si>
  <si>
    <t>Sanitaires</t>
  </si>
  <si>
    <t>Electricité</t>
  </si>
  <si>
    <t>Panneaux solaires</t>
  </si>
  <si>
    <t>Incitations, déductions fiscales</t>
  </si>
  <si>
    <t>Investissement total</t>
  </si>
  <si>
    <t>Total coûts du capital</t>
  </si>
  <si>
    <t>Coûts de l'énergie</t>
  </si>
  <si>
    <t>Consommation d'énergie finale</t>
  </si>
  <si>
    <t>Total coûts énergétiques</t>
  </si>
  <si>
    <t>Service et réparation</t>
  </si>
  <si>
    <t>Total autres coûts de chauffage</t>
  </si>
  <si>
    <t>Coûts totaux</t>
  </si>
  <si>
    <t>Total coûts annuels</t>
  </si>
  <si>
    <t>Base</t>
  </si>
  <si>
    <t>Unité:</t>
  </si>
  <si>
    <t>Gaz/soleil</t>
  </si>
  <si>
    <t>Les gaz ont été additionnés en fonction de leurs effets selon l'IPCC pour la période d'intégration de 100 ans.</t>
  </si>
  <si>
    <t>Type d'énergie</t>
  </si>
  <si>
    <t>PC Air (pompe à chaleur air-eau)</t>
  </si>
  <si>
    <t>Granulés/ soleil</t>
  </si>
  <si>
    <t>Mazout/ soleil</t>
  </si>
  <si>
    <r>
      <t>m</t>
    </r>
    <r>
      <rPr>
        <vertAlign val="superscript"/>
        <sz val="10"/>
        <rFont val="Arial"/>
        <family val="2"/>
      </rPr>
      <t>3</t>
    </r>
  </si>
  <si>
    <t>Amortisation</t>
  </si>
  <si>
    <t>Annuités [%]    pour un intérêt réel de</t>
  </si>
  <si>
    <t>Fr/100 Litre</t>
  </si>
  <si>
    <r>
      <t>Taxe incitative CO</t>
    </r>
    <r>
      <rPr>
        <vertAlign val="subscript"/>
        <sz val="10"/>
        <rFont val="Arial"/>
        <family val="2"/>
      </rPr>
      <t>2</t>
    </r>
  </si>
  <si>
    <r>
      <t>CO</t>
    </r>
    <r>
      <rPr>
        <vertAlign val="subscript"/>
        <sz val="10"/>
        <rFont val="Arial"/>
        <family val="2"/>
      </rPr>
      <t>2</t>
    </r>
    <r>
      <rPr>
        <sz val="10"/>
        <rFont val="Arial"/>
        <family val="0"/>
      </rPr>
      <t xml:space="preserve"> fossile de cheminée</t>
    </r>
  </si>
  <si>
    <r>
      <t>Système équivalent CO</t>
    </r>
    <r>
      <rPr>
        <vertAlign val="subscript"/>
        <sz val="10"/>
        <rFont val="Arial"/>
        <family val="2"/>
      </rPr>
      <t>2</t>
    </r>
  </si>
  <si>
    <t>Coûts externes</t>
  </si>
  <si>
    <t>Coûts externes selon SIA 480</t>
  </si>
  <si>
    <t>PC géothermique</t>
  </si>
  <si>
    <t>PC air extérieur</t>
  </si>
  <si>
    <t>Coûts d'investissement et autres coûts de chauffage: associations de branche, ingénieurs-chauffagistes, Internet.</t>
  </si>
  <si>
    <t>Coûts énergétiques: département fédéral des statistiques et prix concrets pour la Suisse printemps 2005.</t>
  </si>
  <si>
    <r>
      <t xml:space="preserve">Coûts externes: suppléments de prix énergétiques calculatoires selon </t>
    </r>
    <r>
      <rPr>
        <sz val="10"/>
        <rFont val="Arial"/>
        <family val="0"/>
      </rPr>
      <t>SIA 480.</t>
    </r>
  </si>
  <si>
    <r>
      <t>Système d'équivalence CO2:</t>
    </r>
    <r>
      <rPr>
        <sz val="10"/>
        <rFont val="Arial"/>
        <family val="0"/>
      </rPr>
      <t xml:space="preserve"> contient tous les gaz à effet de serre émis au cours de la production de systèmes de chauffage et d'énergie.</t>
    </r>
  </si>
  <si>
    <t>m2</t>
  </si>
  <si>
    <t>MJ/m2a</t>
  </si>
  <si>
    <t>kWh/a</t>
  </si>
  <si>
    <t>bzw.</t>
  </si>
  <si>
    <t>WP Sole</t>
  </si>
  <si>
    <t>[m3]</t>
  </si>
  <si>
    <t>[kWh]</t>
  </si>
</sst>
</file>

<file path=xl/styles.xml><?xml version="1.0" encoding="utf-8"?>
<styleSheet xmlns="http://schemas.openxmlformats.org/spreadsheetml/2006/main">
  <numFmts count="46">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sFr.&quot;#,##0;\-&quot;sFr.&quot;#,##0"/>
    <numFmt numFmtId="165" formatCode="&quot;sFr.&quot;#,##0;[Red]\-&quot;sFr.&quot;#,##0"/>
    <numFmt numFmtId="166" formatCode="&quot;sFr.&quot;#,##0.00;\-&quot;sFr.&quot;#,##0.00"/>
    <numFmt numFmtId="167" formatCode="&quot;sFr.&quot;#,##0.00;[Red]\-&quot;sFr.&quot;#,##0.00"/>
    <numFmt numFmtId="168" formatCode="_-&quot;sFr.&quot;* #,##0_-;\-&quot;sFr.&quot;* #,##0_-;_-&quot;sFr.&quot;* &quot;-&quot;_-;_-@_-"/>
    <numFmt numFmtId="169" formatCode="_-* #,##0_-;\-* #,##0_-;_-* &quot;-&quot;_-;_-@_-"/>
    <numFmt numFmtId="170" formatCode="_-&quot;sFr.&quot;* #,##0.00_-;\-&quot;sFr.&quot;* #,##0.00_-;_-&quot;sFr.&quot;* &quot;-&quot;??_-;_-@_-"/>
    <numFmt numFmtId="171" formatCode="_-* #,##0.00_-;\-* #,##0.00_-;_-* &quot;-&quot;??_-;_-@_-"/>
    <numFmt numFmtId="172" formatCode="&quot;sFr.&quot;\ #,##0;&quot;sFr.&quot;\ \-#,##0"/>
    <numFmt numFmtId="173" formatCode="&quot;sFr.&quot;\ #,##0;[Red]&quot;sFr.&quot;\ \-#,##0"/>
    <numFmt numFmtId="174" formatCode="&quot;sFr.&quot;\ #,##0.00;&quot;sFr.&quot;\ \-#,##0.00"/>
    <numFmt numFmtId="175" formatCode="&quot;sFr.&quot;\ #,##0.00;[Red]&quot;sFr.&quot;\ \-#,##0.00"/>
    <numFmt numFmtId="176" formatCode="_ &quot;sFr.&quot;\ * #,##0_ ;_ &quot;sFr.&quot;\ * \-#,##0_ ;_ &quot;sFr.&quot;\ * &quot;-&quot;_ ;_ @_ "/>
    <numFmt numFmtId="177" formatCode="_ &quot;sFr.&quot;\ * #,##0.00_ ;_ &quot;sFr.&quot;\ * \-#,##0.00_ ;_ &quot;sFr.&quot;\ * &quot;-&quot;??_ ;_ @_ "/>
    <numFmt numFmtId="178" formatCode="#,##0\ &quot;DM&quot;;\-#,##0\ &quot;DM&quot;"/>
    <numFmt numFmtId="179" formatCode="#,##0\ &quot;DM&quot;;[Red]\-#,##0\ &quot;DM&quot;"/>
    <numFmt numFmtId="180" formatCode="#,##0.00\ &quot;DM&quot;;\-#,##0.00\ &quot;DM&quot;"/>
    <numFmt numFmtId="181" formatCode="#,##0.00\ &quot;DM&quot;;[Red]\-#,##0.00\ &quot;DM&quot;"/>
    <numFmt numFmtId="182" formatCode="_-* #,##0\ &quot;DM&quot;_-;\-* #,##0\ &quot;DM&quot;_-;_-* &quot;-&quot;\ &quot;DM&quot;_-;_-@_-"/>
    <numFmt numFmtId="183" formatCode="_-* #,##0\ _D_M_-;\-* #,##0\ _D_M_-;_-* &quot;-&quot;\ _D_M_-;_-@_-"/>
    <numFmt numFmtId="184" formatCode="_-* #,##0.00\ &quot;DM&quot;_-;\-* #,##0.00\ &quot;DM&quot;_-;_-* &quot;-&quot;??\ &quot;DM&quot;_-;_-@_-"/>
    <numFmt numFmtId="185" formatCode="_-* #,##0.00\ _D_M_-;\-* #,##0.00\ _D_M_-;_-* &quot;-&quot;??\ _D_M_-;_-@_-"/>
    <numFmt numFmtId="186" formatCode="&quot;Fr.&quot;\ #,##0;&quot;Fr.&quot;\ \-#,##0"/>
    <numFmt numFmtId="187" formatCode="&quot;Fr.&quot;\ #,##0;[Red]&quot;Fr.&quot;\ \-#,##0"/>
    <numFmt numFmtId="188" formatCode="&quot;Fr.&quot;\ #,##0.00;&quot;Fr.&quot;\ \-#,##0.00"/>
    <numFmt numFmtId="189" formatCode="&quot;Fr.&quot;\ #,##0.00;[Red]&quot;Fr.&quot;\ \-#,##0.00"/>
    <numFmt numFmtId="190" formatCode="_ &quot;Fr.&quot;\ * #,##0_ ;_ &quot;Fr.&quot;\ * \-#,##0_ ;_ &quot;Fr.&quot;\ * &quot;-&quot;_ ;_ @_ "/>
    <numFmt numFmtId="191" formatCode="_ &quot;Fr.&quot;\ * #,##0.00_ ;_ &quot;Fr.&quot;\ * \-#,##0.00_ ;_ &quot;Fr.&quot;\ * &quot;-&quot;??_ ;_ @_ "/>
    <numFmt numFmtId="192" formatCode="0.00000"/>
    <numFmt numFmtId="193" formatCode="0.0000"/>
    <numFmt numFmtId="194" formatCode="0.000"/>
    <numFmt numFmtId="195" formatCode="0.0"/>
    <numFmt numFmtId="196" formatCode="0.000000"/>
    <numFmt numFmtId="197" formatCode="0.0000000"/>
    <numFmt numFmtId="198" formatCode="0.00000000"/>
    <numFmt numFmtId="199" formatCode="0.000000000"/>
    <numFmt numFmtId="200" formatCode="0.0000000000"/>
    <numFmt numFmtId="201" formatCode="#,##0.0"/>
  </numFmts>
  <fonts count="60">
    <font>
      <sz val="10"/>
      <name val="Arial"/>
      <family val="0"/>
    </font>
    <font>
      <b/>
      <sz val="10"/>
      <name val="Arial"/>
      <family val="0"/>
    </font>
    <font>
      <i/>
      <sz val="10"/>
      <name val="Arial"/>
      <family val="0"/>
    </font>
    <font>
      <b/>
      <i/>
      <sz val="10"/>
      <name val="Arial"/>
      <family val="0"/>
    </font>
    <font>
      <b/>
      <sz val="12"/>
      <name val="Arial"/>
      <family val="2"/>
    </font>
    <font>
      <b/>
      <sz val="14"/>
      <name val="Arial"/>
      <family val="2"/>
    </font>
    <font>
      <sz val="8"/>
      <name val="Arial"/>
      <family val="0"/>
    </font>
    <font>
      <b/>
      <sz val="8"/>
      <name val="Arial"/>
      <family val="2"/>
    </font>
    <font>
      <b/>
      <i/>
      <sz val="14"/>
      <name val="Arial"/>
      <family val="2"/>
    </font>
    <font>
      <u val="single"/>
      <sz val="10"/>
      <name val="Arial"/>
      <family val="2"/>
    </font>
    <font>
      <sz val="9"/>
      <name val="Arial"/>
      <family val="2"/>
    </font>
    <font>
      <b/>
      <sz val="9"/>
      <name val="Arial"/>
      <family val="2"/>
    </font>
    <font>
      <b/>
      <sz val="10"/>
      <color indexed="8"/>
      <name val="Arial"/>
      <family val="2"/>
    </font>
    <font>
      <b/>
      <sz val="10"/>
      <color indexed="10"/>
      <name val="Arial"/>
      <family val="2"/>
    </font>
    <font>
      <u val="single"/>
      <sz val="10"/>
      <color indexed="12"/>
      <name val="Arial"/>
      <family val="0"/>
    </font>
    <font>
      <u val="single"/>
      <sz val="10"/>
      <color indexed="36"/>
      <name val="Arial"/>
      <family val="0"/>
    </font>
    <font>
      <sz val="10"/>
      <name val="@SimSun"/>
      <family val="0"/>
    </font>
    <font>
      <b/>
      <sz val="8"/>
      <name val="Tahoma"/>
      <family val="0"/>
    </font>
    <font>
      <vertAlign val="superscript"/>
      <sz val="10"/>
      <name val="Arial"/>
      <family val="2"/>
    </font>
    <font>
      <vertAlign val="subscript"/>
      <sz val="10"/>
      <name val="Arial"/>
      <family val="2"/>
    </font>
    <font>
      <sz val="8"/>
      <color indexed="8"/>
      <name val="Arial"/>
      <family val="0"/>
    </font>
    <font>
      <sz val="7.35"/>
      <color indexed="8"/>
      <name val="Arial"/>
      <family val="0"/>
    </font>
    <font>
      <sz val="12"/>
      <color indexed="8"/>
      <name val="Arial"/>
      <family val="0"/>
    </font>
    <font>
      <sz val="10"/>
      <color indexed="8"/>
      <name val="Arial"/>
      <family val="0"/>
    </font>
    <font>
      <sz val="9.2"/>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20"/>
      <name val="Calibri"/>
      <family val="2"/>
    </font>
    <font>
      <sz val="12"/>
      <color indexed="19"/>
      <name val="Calibri"/>
      <family val="2"/>
    </font>
    <font>
      <sz val="12"/>
      <color indexed="62"/>
      <name val="Calibri"/>
      <family val="2"/>
    </font>
    <font>
      <b/>
      <sz val="12"/>
      <color indexed="63"/>
      <name val="Calibri"/>
      <family val="2"/>
    </font>
    <font>
      <b/>
      <sz val="12"/>
      <color indexed="10"/>
      <name val="Calibri"/>
      <family val="2"/>
    </font>
    <font>
      <sz val="12"/>
      <color indexed="10"/>
      <name val="Calibri"/>
      <family val="2"/>
    </font>
    <font>
      <b/>
      <sz val="12"/>
      <color indexed="9"/>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b/>
      <sz val="8"/>
      <color indexed="8"/>
      <name val="Arial"/>
      <family val="0"/>
    </font>
    <font>
      <b/>
      <sz val="12"/>
      <color indexed="8"/>
      <name val="Arial"/>
      <family val="0"/>
    </font>
    <font>
      <sz val="12"/>
      <color theme="1"/>
      <name val="Calibri"/>
      <family val="2"/>
    </font>
    <font>
      <sz val="12"/>
      <color theme="0"/>
      <name val="Calibri"/>
      <family val="2"/>
    </font>
    <font>
      <sz val="12"/>
      <color rgb="FFFF0000"/>
      <name val="Calibri"/>
      <family val="2"/>
    </font>
    <font>
      <sz val="12"/>
      <color rgb="FF0061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sz val="12"/>
      <color rgb="FF9C6500"/>
      <name val="Calibri"/>
      <family val="2"/>
    </font>
    <font>
      <b/>
      <sz val="12"/>
      <color rgb="FF3F3F3F"/>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43"/>
        <bgColor indexed="64"/>
      </patternFill>
    </fill>
    <fill>
      <patternFill patternType="solid">
        <fgColor indexed="11"/>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color indexed="63"/>
      </left>
      <right>
        <color indexed="63"/>
      </right>
      <top style="thin"/>
      <bottom>
        <color indexed="63"/>
      </bottom>
    </border>
    <border>
      <left style="thin"/>
      <right>
        <color indexed="63"/>
      </right>
      <top>
        <color indexed="63"/>
      </top>
      <bottom>
        <color indexed="63"/>
      </bottom>
    </border>
    <border>
      <left style="hair"/>
      <right style="thin"/>
      <top style="hair"/>
      <bottom style="hair"/>
    </border>
    <border>
      <left style="thin"/>
      <right>
        <color indexed="63"/>
      </right>
      <top style="thin"/>
      <bottom>
        <color indexed="63"/>
      </bottom>
    </border>
    <border>
      <left>
        <color indexed="63"/>
      </left>
      <right style="thin"/>
      <top>
        <color indexed="63"/>
      </top>
      <bottom>
        <color indexed="63"/>
      </bottom>
    </border>
    <border>
      <left style="hair"/>
      <right style="hair"/>
      <top>
        <color indexed="63"/>
      </top>
      <bottom style="hair"/>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hair"/>
      <bottom>
        <color indexed="63"/>
      </bottom>
    </border>
    <border>
      <left style="hair"/>
      <right style="thin"/>
      <top>
        <color indexed="63"/>
      </top>
      <bottom style="hair"/>
    </border>
    <border>
      <left style="medium"/>
      <right style="medium"/>
      <top style="medium"/>
      <bottom style="medium"/>
    </border>
    <border>
      <left>
        <color indexed="63"/>
      </left>
      <right style="thin"/>
      <top style="thin"/>
      <bottom style="thin"/>
    </border>
    <border>
      <left style="thin"/>
      <right style="thin"/>
      <top>
        <color indexed="63"/>
      </top>
      <bottom style="thin"/>
    </border>
    <border>
      <left style="hair"/>
      <right style="thin"/>
      <top style="thin"/>
      <bottom style="thin"/>
    </border>
    <border>
      <left style="hair"/>
      <right>
        <color indexed="63"/>
      </right>
      <top style="hair"/>
      <bottom style="hair"/>
    </border>
    <border>
      <left style="medium"/>
      <right style="medium"/>
      <top>
        <color indexed="63"/>
      </top>
      <bottom style="medium"/>
    </border>
    <border>
      <left style="hair"/>
      <right style="hair"/>
      <top style="hair"/>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0" applyNumberFormat="0" applyBorder="0" applyAlignment="0" applyProtection="0"/>
    <xf numFmtId="0" fontId="47" fillId="27" borderId="1" applyNumberFormat="0" applyAlignment="0" applyProtection="0"/>
    <xf numFmtId="0" fontId="48" fillId="0" borderId="2" applyNumberFormat="0" applyFill="0" applyAlignment="0" applyProtection="0"/>
    <xf numFmtId="0" fontId="49" fillId="28" borderId="1" applyNumberFormat="0" applyAlignment="0" applyProtection="0"/>
    <xf numFmtId="0" fontId="50" fillId="29"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91" fontId="0" fillId="0" borderId="0" applyFont="0" applyFill="0" applyBorder="0" applyAlignment="0" applyProtection="0"/>
    <xf numFmtId="190" fontId="0" fillId="0" borderId="0" applyFont="0" applyFill="0" applyBorder="0" applyAlignment="0" applyProtection="0"/>
    <xf numFmtId="0" fontId="51" fillId="30" borderId="0" applyNumberFormat="0" applyBorder="0" applyAlignment="0" applyProtection="0"/>
    <xf numFmtId="9" fontId="0" fillId="0" borderId="0" applyFont="0" applyFill="0" applyBorder="0" applyAlignment="0" applyProtection="0"/>
    <xf numFmtId="0" fontId="0" fillId="31" borderId="3" applyNumberFormat="0" applyFont="0" applyAlignment="0" applyProtection="0"/>
    <xf numFmtId="0" fontId="52" fillId="27" borderId="4"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2" borderId="9" applyNumberFormat="0" applyAlignment="0" applyProtection="0"/>
  </cellStyleXfs>
  <cellXfs count="134">
    <xf numFmtId="0" fontId="0" fillId="0" borderId="0" xfId="0" applyAlignment="1">
      <alignment/>
    </xf>
    <xf numFmtId="1" fontId="0" fillId="0" borderId="0" xfId="0" applyNumberFormat="1" applyAlignment="1">
      <alignment/>
    </xf>
    <xf numFmtId="0" fontId="1" fillId="0" borderId="0" xfId="0" applyFont="1" applyAlignment="1">
      <alignment/>
    </xf>
    <xf numFmtId="1" fontId="1" fillId="0" borderId="0" xfId="0" applyNumberFormat="1" applyFont="1" applyAlignment="1">
      <alignment/>
    </xf>
    <xf numFmtId="0" fontId="4" fillId="0" borderId="0" xfId="0" applyFont="1" applyAlignment="1">
      <alignment/>
    </xf>
    <xf numFmtId="0" fontId="5" fillId="0" borderId="0" xfId="0" applyFont="1" applyAlignment="1">
      <alignment/>
    </xf>
    <xf numFmtId="0" fontId="8" fillId="0" borderId="0" xfId="0" applyFont="1" applyAlignment="1">
      <alignment horizontal="right"/>
    </xf>
    <xf numFmtId="0" fontId="6" fillId="0" borderId="0" xfId="0" applyFont="1" applyAlignment="1">
      <alignment horizontal="right"/>
    </xf>
    <xf numFmtId="0" fontId="5" fillId="0" borderId="0" xfId="0" applyFont="1" applyAlignment="1">
      <alignment horizontal="centerContinuous"/>
    </xf>
    <xf numFmtId="0" fontId="0" fillId="0" borderId="0" xfId="0" applyAlignment="1">
      <alignment horizontal="centerContinuous"/>
    </xf>
    <xf numFmtId="0" fontId="0" fillId="0" borderId="0" xfId="0" applyAlignment="1">
      <alignment horizontal="right"/>
    </xf>
    <xf numFmtId="0" fontId="1" fillId="0" borderId="0" xfId="0" applyFont="1" applyAlignment="1">
      <alignment horizontal="right"/>
    </xf>
    <xf numFmtId="0" fontId="1" fillId="0" borderId="0" xfId="0" applyFont="1" applyAlignment="1">
      <alignment/>
    </xf>
    <xf numFmtId="0" fontId="1" fillId="0" borderId="0" xfId="0" applyFont="1" applyAlignment="1">
      <alignment horizontal="right"/>
    </xf>
    <xf numFmtId="1" fontId="1" fillId="0" borderId="0" xfId="0" applyNumberFormat="1" applyFont="1" applyAlignment="1">
      <alignment/>
    </xf>
    <xf numFmtId="1" fontId="0" fillId="0" borderId="0" xfId="0" applyNumberFormat="1" applyFont="1" applyAlignment="1">
      <alignment/>
    </xf>
    <xf numFmtId="0" fontId="0" fillId="0" borderId="0" xfId="0" applyAlignment="1">
      <alignment horizontal="center"/>
    </xf>
    <xf numFmtId="0" fontId="0" fillId="0" borderId="0" xfId="0" applyBorder="1" applyAlignment="1">
      <alignment/>
    </xf>
    <xf numFmtId="1" fontId="0" fillId="0" borderId="0" xfId="0" applyNumberFormat="1" applyAlignment="1">
      <alignment horizontal="center"/>
    </xf>
    <xf numFmtId="1" fontId="0" fillId="0" borderId="0" xfId="0" applyNumberFormat="1" applyFont="1" applyBorder="1" applyAlignment="1">
      <alignment horizontal="center"/>
    </xf>
    <xf numFmtId="0" fontId="0" fillId="0" borderId="0" xfId="0" applyBorder="1" applyAlignment="1">
      <alignment horizontal="right"/>
    </xf>
    <xf numFmtId="0" fontId="1" fillId="0" borderId="0" xfId="0" applyFont="1" applyAlignment="1">
      <alignment horizontal="center"/>
    </xf>
    <xf numFmtId="0" fontId="9" fillId="0" borderId="0" xfId="0" applyFont="1" applyAlignment="1">
      <alignment/>
    </xf>
    <xf numFmtId="0" fontId="8" fillId="0" borderId="10" xfId="0" applyFont="1" applyBorder="1" applyAlignment="1">
      <alignment horizontal="right"/>
    </xf>
    <xf numFmtId="0" fontId="0" fillId="0" borderId="10" xfId="0" applyBorder="1" applyAlignment="1">
      <alignment/>
    </xf>
    <xf numFmtId="0" fontId="0" fillId="0" borderId="10" xfId="0" applyBorder="1" applyAlignment="1">
      <alignment horizontal="center"/>
    </xf>
    <xf numFmtId="0" fontId="10" fillId="0" borderId="0" xfId="0" applyFont="1" applyAlignment="1">
      <alignment/>
    </xf>
    <xf numFmtId="0" fontId="10" fillId="0" borderId="0" xfId="0" applyFont="1" applyAlignment="1">
      <alignment horizontal="center"/>
    </xf>
    <xf numFmtId="2" fontId="10" fillId="0" borderId="0" xfId="0" applyNumberFormat="1" applyFont="1" applyAlignment="1">
      <alignment/>
    </xf>
    <xf numFmtId="0" fontId="0" fillId="0" borderId="11" xfId="0" applyBorder="1" applyAlignment="1">
      <alignment/>
    </xf>
    <xf numFmtId="0" fontId="0" fillId="0" borderId="0" xfId="0" applyBorder="1" applyAlignment="1">
      <alignment horizontal="center"/>
    </xf>
    <xf numFmtId="0" fontId="6" fillId="0" borderId="12" xfId="0" applyFont="1" applyBorder="1" applyAlignment="1">
      <alignment/>
    </xf>
    <xf numFmtId="0" fontId="6" fillId="0" borderId="0" xfId="0" applyFont="1" applyBorder="1" applyAlignment="1">
      <alignment/>
    </xf>
    <xf numFmtId="0" fontId="6" fillId="0" borderId="0" xfId="0" applyFont="1" applyBorder="1" applyAlignment="1">
      <alignment horizontal="center"/>
    </xf>
    <xf numFmtId="0" fontId="6" fillId="0" borderId="13" xfId="0" applyFont="1" applyBorder="1" applyAlignment="1">
      <alignment horizontal="center"/>
    </xf>
    <xf numFmtId="0" fontId="0" fillId="0" borderId="12" xfId="0" applyBorder="1" applyAlignment="1">
      <alignment/>
    </xf>
    <xf numFmtId="0" fontId="4" fillId="0" borderId="14" xfId="0" applyFont="1" applyBorder="1" applyAlignment="1">
      <alignment/>
    </xf>
    <xf numFmtId="0" fontId="1" fillId="0" borderId="12" xfId="0" applyFont="1" applyBorder="1" applyAlignment="1">
      <alignment/>
    </xf>
    <xf numFmtId="0" fontId="0" fillId="0" borderId="15" xfId="0" applyBorder="1" applyAlignment="1">
      <alignment/>
    </xf>
    <xf numFmtId="1" fontId="0" fillId="0" borderId="16" xfId="0" applyNumberFormat="1" applyBorder="1" applyAlignment="1">
      <alignment/>
    </xf>
    <xf numFmtId="1" fontId="0" fillId="0" borderId="0" xfId="0" applyNumberFormat="1" applyBorder="1" applyAlignment="1">
      <alignment horizontal="center"/>
    </xf>
    <xf numFmtId="195" fontId="0" fillId="0" borderId="0" xfId="0" applyNumberFormat="1" applyBorder="1" applyAlignment="1">
      <alignment horizontal="center"/>
    </xf>
    <xf numFmtId="0" fontId="1" fillId="0" borderId="17" xfId="0" applyFont="1" applyBorder="1" applyAlignment="1">
      <alignment/>
    </xf>
    <xf numFmtId="0" fontId="1" fillId="0" borderId="18" xfId="0" applyFont="1" applyBorder="1" applyAlignment="1">
      <alignment/>
    </xf>
    <xf numFmtId="0" fontId="1" fillId="0" borderId="18" xfId="0" applyFont="1" applyBorder="1" applyAlignment="1">
      <alignment horizontal="right"/>
    </xf>
    <xf numFmtId="0" fontId="1" fillId="0" borderId="18" xfId="0" applyFont="1" applyBorder="1" applyAlignment="1">
      <alignment horizontal="center"/>
    </xf>
    <xf numFmtId="0" fontId="1" fillId="0" borderId="17" xfId="0" applyFont="1" applyBorder="1" applyAlignment="1">
      <alignment/>
    </xf>
    <xf numFmtId="0" fontId="1" fillId="0" borderId="18" xfId="0" applyFont="1" applyBorder="1" applyAlignment="1">
      <alignment/>
    </xf>
    <xf numFmtId="0" fontId="1" fillId="0" borderId="18" xfId="0" applyFont="1" applyBorder="1" applyAlignment="1">
      <alignment horizontal="right"/>
    </xf>
    <xf numFmtId="0" fontId="0" fillId="0" borderId="17" xfId="0" applyBorder="1" applyAlignment="1">
      <alignment/>
    </xf>
    <xf numFmtId="2" fontId="10" fillId="0" borderId="0" xfId="0" applyNumberFormat="1" applyFont="1" applyAlignment="1">
      <alignment horizontal="center"/>
    </xf>
    <xf numFmtId="1" fontId="1" fillId="0" borderId="18" xfId="0" applyNumberFormat="1" applyFont="1" applyBorder="1" applyAlignment="1">
      <alignment horizontal="center"/>
    </xf>
    <xf numFmtId="2" fontId="0" fillId="0" borderId="0" xfId="0" applyNumberFormat="1" applyAlignment="1">
      <alignment horizontal="center"/>
    </xf>
    <xf numFmtId="1" fontId="1" fillId="0" borderId="0" xfId="0" applyNumberFormat="1" applyFont="1" applyAlignment="1">
      <alignment horizontal="center"/>
    </xf>
    <xf numFmtId="1" fontId="1" fillId="0" borderId="10" xfId="0" applyNumberFormat="1" applyFont="1" applyBorder="1" applyAlignment="1">
      <alignment horizontal="center"/>
    </xf>
    <xf numFmtId="0" fontId="1" fillId="0" borderId="10" xfId="0" applyFont="1" applyBorder="1" applyAlignment="1">
      <alignment horizontal="center"/>
    </xf>
    <xf numFmtId="1" fontId="1" fillId="0" borderId="18" xfId="0" applyNumberFormat="1" applyFont="1" applyBorder="1" applyAlignment="1">
      <alignment horizontal="center"/>
    </xf>
    <xf numFmtId="1" fontId="1" fillId="0" borderId="0" xfId="0" applyNumberFormat="1" applyFont="1" applyAlignment="1">
      <alignment horizontal="center"/>
    </xf>
    <xf numFmtId="194" fontId="0" fillId="0" borderId="0" xfId="0" applyNumberFormat="1" applyAlignment="1">
      <alignment horizontal="center"/>
    </xf>
    <xf numFmtId="1" fontId="11" fillId="0" borderId="0" xfId="0" applyNumberFormat="1" applyFont="1" applyAlignment="1">
      <alignment horizontal="center"/>
    </xf>
    <xf numFmtId="0" fontId="11" fillId="0" borderId="0" xfId="0" applyFont="1" applyAlignment="1">
      <alignment horizontal="left"/>
    </xf>
    <xf numFmtId="0" fontId="0" fillId="0" borderId="0" xfId="0" applyFont="1" applyAlignment="1">
      <alignment/>
    </xf>
    <xf numFmtId="0" fontId="0" fillId="0" borderId="12" xfId="0" applyFont="1" applyBorder="1" applyAlignment="1">
      <alignment/>
    </xf>
    <xf numFmtId="3" fontId="1" fillId="0" borderId="19" xfId="0" applyNumberFormat="1" applyFont="1" applyBorder="1" applyAlignment="1">
      <alignment horizontal="center"/>
    </xf>
    <xf numFmtId="0" fontId="1" fillId="0" borderId="19" xfId="0" applyFont="1" applyBorder="1" applyAlignment="1">
      <alignment horizontal="center"/>
    </xf>
    <xf numFmtId="0" fontId="0" fillId="0" borderId="0" xfId="0" applyBorder="1" applyAlignment="1">
      <alignment horizontal="left"/>
    </xf>
    <xf numFmtId="0" fontId="0" fillId="0" borderId="20" xfId="0" applyFont="1" applyBorder="1" applyAlignment="1">
      <alignment/>
    </xf>
    <xf numFmtId="0" fontId="0" fillId="0" borderId="21" xfId="0" applyBorder="1" applyAlignment="1">
      <alignment/>
    </xf>
    <xf numFmtId="1" fontId="0" fillId="0" borderId="21" xfId="0" applyNumberFormat="1" applyFont="1" applyBorder="1" applyAlignment="1">
      <alignment horizontal="center"/>
    </xf>
    <xf numFmtId="3" fontId="1" fillId="0" borderId="21" xfId="0" applyNumberFormat="1" applyFont="1" applyBorder="1" applyAlignment="1">
      <alignment horizontal="center"/>
    </xf>
    <xf numFmtId="0" fontId="0" fillId="0" borderId="21" xfId="0" applyBorder="1" applyAlignment="1">
      <alignment horizontal="center"/>
    </xf>
    <xf numFmtId="0" fontId="1" fillId="0" borderId="21" xfId="0" applyFont="1" applyBorder="1" applyAlignment="1">
      <alignment horizontal="center"/>
    </xf>
    <xf numFmtId="0" fontId="0" fillId="0" borderId="22" xfId="0" applyBorder="1" applyAlignment="1">
      <alignment/>
    </xf>
    <xf numFmtId="1" fontId="1" fillId="0" borderId="19" xfId="0" applyNumberFormat="1" applyFont="1" applyBorder="1" applyAlignment="1">
      <alignment horizontal="center"/>
    </xf>
    <xf numFmtId="0" fontId="0" fillId="0" borderId="23" xfId="0" applyBorder="1" applyAlignment="1">
      <alignment/>
    </xf>
    <xf numFmtId="0" fontId="1" fillId="0" borderId="12" xfId="0" applyFont="1" applyBorder="1" applyAlignment="1">
      <alignment/>
    </xf>
    <xf numFmtId="0" fontId="7" fillId="0" borderId="0" xfId="0" applyFont="1" applyBorder="1" applyAlignment="1">
      <alignment/>
    </xf>
    <xf numFmtId="1" fontId="1" fillId="0" borderId="0" xfId="0" applyNumberFormat="1" applyFont="1" applyBorder="1" applyAlignment="1">
      <alignment horizontal="center"/>
    </xf>
    <xf numFmtId="1" fontId="0" fillId="0" borderId="24" xfId="0" applyNumberFormat="1" applyFont="1" applyBorder="1" applyAlignment="1">
      <alignment horizontal="center"/>
    </xf>
    <xf numFmtId="0" fontId="0" fillId="0" borderId="20" xfId="0" applyBorder="1" applyAlignment="1">
      <alignment/>
    </xf>
    <xf numFmtId="0" fontId="0" fillId="0" borderId="21" xfId="0" applyBorder="1" applyAlignment="1">
      <alignment horizontal="right"/>
    </xf>
    <xf numFmtId="0" fontId="0" fillId="0" borderId="17" xfId="0" applyBorder="1" applyAlignment="1">
      <alignment horizontal="left"/>
    </xf>
    <xf numFmtId="0" fontId="12" fillId="33" borderId="25" xfId="0" applyFont="1" applyFill="1" applyBorder="1" applyAlignment="1" applyProtection="1">
      <alignment horizontal="center"/>
      <protection locked="0"/>
    </xf>
    <xf numFmtId="0" fontId="0" fillId="33" borderId="18" xfId="0" applyFill="1" applyBorder="1" applyAlignment="1" applyProtection="1">
      <alignment horizontal="left"/>
      <protection locked="0"/>
    </xf>
    <xf numFmtId="0" fontId="0" fillId="33" borderId="26" xfId="0" applyFill="1" applyBorder="1" applyAlignment="1">
      <alignment/>
    </xf>
    <xf numFmtId="0" fontId="0" fillId="33" borderId="27" xfId="0" applyFill="1" applyBorder="1" applyAlignment="1" applyProtection="1">
      <alignment horizontal="center"/>
      <protection locked="0"/>
    </xf>
    <xf numFmtId="0" fontId="0" fillId="33" borderId="28" xfId="0" applyFill="1" applyBorder="1" applyAlignment="1" applyProtection="1">
      <alignment horizontal="right"/>
      <protection locked="0"/>
    </xf>
    <xf numFmtId="1" fontId="0" fillId="33" borderId="10" xfId="0" applyNumberFormat="1" applyFont="1" applyFill="1" applyBorder="1" applyAlignment="1" applyProtection="1">
      <alignment horizontal="center"/>
      <protection locked="0"/>
    </xf>
    <xf numFmtId="195" fontId="0" fillId="33" borderId="10" xfId="0" applyNumberFormat="1" applyFont="1" applyFill="1" applyBorder="1" applyAlignment="1" applyProtection="1">
      <alignment horizontal="center"/>
      <protection locked="0"/>
    </xf>
    <xf numFmtId="0" fontId="0" fillId="33" borderId="29" xfId="0" applyFont="1" applyFill="1" applyBorder="1" applyAlignment="1" applyProtection="1">
      <alignment horizontal="center"/>
      <protection locked="0"/>
    </xf>
    <xf numFmtId="0" fontId="0" fillId="33" borderId="13" xfId="0" applyFont="1" applyFill="1" applyBorder="1" applyAlignment="1" applyProtection="1">
      <alignment horizontal="center"/>
      <protection locked="0"/>
    </xf>
    <xf numFmtId="1" fontId="1" fillId="33" borderId="30" xfId="0" applyNumberFormat="1" applyFont="1" applyFill="1" applyBorder="1" applyAlignment="1" applyProtection="1">
      <alignment horizontal="center"/>
      <protection locked="0"/>
    </xf>
    <xf numFmtId="0" fontId="0" fillId="33" borderId="0" xfId="0" applyFill="1" applyBorder="1" applyAlignment="1" applyProtection="1">
      <alignment horizontal="center"/>
      <protection locked="0"/>
    </xf>
    <xf numFmtId="2" fontId="0" fillId="33" borderId="10" xfId="0" applyNumberFormat="1" applyFont="1" applyFill="1" applyBorder="1" applyAlignment="1" applyProtection="1">
      <alignment horizontal="center"/>
      <protection locked="0"/>
    </xf>
    <xf numFmtId="0" fontId="0" fillId="33" borderId="10" xfId="0" applyFont="1" applyFill="1" applyBorder="1" applyAlignment="1" applyProtection="1">
      <alignment horizontal="center"/>
      <protection locked="0"/>
    </xf>
    <xf numFmtId="9" fontId="0" fillId="33" borderId="10" xfId="0" applyNumberFormat="1" applyFont="1" applyFill="1" applyBorder="1" applyAlignment="1" applyProtection="1">
      <alignment horizontal="center"/>
      <protection locked="0"/>
    </xf>
    <xf numFmtId="0" fontId="10" fillId="33" borderId="10" xfId="0" applyFont="1" applyFill="1" applyBorder="1" applyAlignment="1" applyProtection="1">
      <alignment horizontal="center"/>
      <protection locked="0"/>
    </xf>
    <xf numFmtId="3" fontId="10" fillId="33" borderId="10" xfId="0" applyNumberFormat="1" applyFont="1" applyFill="1" applyBorder="1" applyAlignment="1" applyProtection="1">
      <alignment horizontal="center"/>
      <protection locked="0"/>
    </xf>
    <xf numFmtId="195" fontId="10" fillId="33" borderId="31" xfId="0" applyNumberFormat="1" applyFont="1" applyFill="1" applyBorder="1" applyAlignment="1" applyProtection="1">
      <alignment horizontal="center"/>
      <protection locked="0"/>
    </xf>
    <xf numFmtId="0" fontId="0" fillId="33" borderId="31" xfId="0" applyFont="1" applyFill="1" applyBorder="1" applyAlignment="1" applyProtection="1">
      <alignment horizontal="center"/>
      <protection locked="0"/>
    </xf>
    <xf numFmtId="0" fontId="0" fillId="33" borderId="10" xfId="0" applyFill="1" applyBorder="1" applyAlignment="1" applyProtection="1">
      <alignment horizontal="center"/>
      <protection locked="0"/>
    </xf>
    <xf numFmtId="195" fontId="0" fillId="33" borderId="10" xfId="0" applyNumberFormat="1" applyFill="1" applyBorder="1" applyAlignment="1" applyProtection="1">
      <alignment horizontal="center"/>
      <protection locked="0"/>
    </xf>
    <xf numFmtId="0" fontId="0" fillId="0" borderId="0" xfId="0" applyAlignment="1">
      <alignment horizontal="left"/>
    </xf>
    <xf numFmtId="0" fontId="13" fillId="0" borderId="0" xfId="0" applyFont="1" applyAlignment="1">
      <alignment/>
    </xf>
    <xf numFmtId="0" fontId="11" fillId="0" borderId="0" xfId="0" applyFont="1" applyAlignment="1">
      <alignment/>
    </xf>
    <xf numFmtId="195" fontId="1" fillId="0" borderId="0" xfId="0" applyNumberFormat="1" applyFont="1" applyAlignment="1">
      <alignment horizontal="center"/>
    </xf>
    <xf numFmtId="0" fontId="0" fillId="0" borderId="0" xfId="0" applyFill="1" applyBorder="1" applyAlignment="1" applyProtection="1">
      <alignment horizontal="center"/>
      <protection locked="0"/>
    </xf>
    <xf numFmtId="1" fontId="0" fillId="33" borderId="31" xfId="0" applyNumberFormat="1" applyFill="1" applyBorder="1" applyAlignment="1" applyProtection="1">
      <alignment horizontal="center"/>
      <protection locked="0"/>
    </xf>
    <xf numFmtId="0" fontId="4" fillId="0" borderId="0" xfId="0" applyFont="1" applyBorder="1" applyAlignment="1">
      <alignment/>
    </xf>
    <xf numFmtId="0" fontId="2" fillId="0" borderId="0" xfId="0" applyFont="1" applyAlignment="1">
      <alignment/>
    </xf>
    <xf numFmtId="0" fontId="16" fillId="0" borderId="0" xfId="0" applyFont="1" applyAlignment="1">
      <alignment/>
    </xf>
    <xf numFmtId="1" fontId="0" fillId="33" borderId="0" xfId="0" applyNumberFormat="1" applyFont="1" applyFill="1" applyBorder="1" applyAlignment="1" applyProtection="1">
      <alignment horizontal="center"/>
      <protection locked="0"/>
    </xf>
    <xf numFmtId="0" fontId="0" fillId="0" borderId="0" xfId="0" applyFill="1" applyBorder="1" applyAlignment="1">
      <alignment horizontal="center"/>
    </xf>
    <xf numFmtId="0" fontId="11" fillId="34" borderId="0" xfId="0" applyFont="1" applyFill="1" applyAlignment="1">
      <alignment/>
    </xf>
    <xf numFmtId="0" fontId="10" fillId="34" borderId="0" xfId="0" applyFont="1" applyFill="1" applyAlignment="1">
      <alignment/>
    </xf>
    <xf numFmtId="0" fontId="11" fillId="34" borderId="10" xfId="0" applyFont="1" applyFill="1" applyBorder="1" applyAlignment="1" applyProtection="1">
      <alignment horizontal="center"/>
      <protection locked="0"/>
    </xf>
    <xf numFmtId="0" fontId="0" fillId="0" borderId="0" xfId="0" applyFont="1" applyBorder="1" applyAlignment="1">
      <alignment/>
    </xf>
    <xf numFmtId="0" fontId="0" fillId="0" borderId="11" xfId="0" applyFont="1" applyBorder="1" applyAlignment="1">
      <alignment/>
    </xf>
    <xf numFmtId="0" fontId="0" fillId="0" borderId="0" xfId="0" applyFont="1" applyBorder="1" applyAlignment="1">
      <alignment horizontal="left"/>
    </xf>
    <xf numFmtId="0" fontId="1" fillId="0" borderId="12" xfId="0" applyFont="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24" xfId="0" applyBorder="1" applyAlignment="1">
      <alignment horizontal="center" wrapText="1"/>
    </xf>
    <xf numFmtId="0" fontId="0" fillId="0" borderId="0" xfId="0" applyAlignment="1">
      <alignment wrapText="1"/>
    </xf>
    <xf numFmtId="0" fontId="0" fillId="0" borderId="0" xfId="0" applyBorder="1" applyAlignment="1">
      <alignment/>
    </xf>
    <xf numFmtId="0" fontId="6" fillId="0" borderId="12" xfId="0" applyFont="1" applyFill="1" applyBorder="1" applyAlignment="1">
      <alignment/>
    </xf>
    <xf numFmtId="0" fontId="0" fillId="0" borderId="12" xfId="0" applyFont="1" applyFill="1" applyBorder="1" applyAlignment="1">
      <alignment wrapText="1"/>
    </xf>
    <xf numFmtId="0" fontId="6" fillId="0" borderId="0" xfId="0" applyFont="1" applyAlignment="1">
      <alignment/>
    </xf>
    <xf numFmtId="0" fontId="0" fillId="0" borderId="0" xfId="0" applyFill="1" applyAlignment="1">
      <alignment horizontal="center"/>
    </xf>
    <xf numFmtId="0" fontId="6" fillId="0" borderId="0" xfId="0" applyFont="1" applyFill="1" applyAlignment="1">
      <alignment/>
    </xf>
    <xf numFmtId="0" fontId="6" fillId="0" borderId="0" xfId="0" applyFont="1" applyFill="1" applyBorder="1" applyAlignment="1">
      <alignment horizontal="center"/>
    </xf>
    <xf numFmtId="3" fontId="0" fillId="0" borderId="0" xfId="0" applyNumberFormat="1" applyAlignment="1" applyProtection="1">
      <alignment horizontal="center"/>
      <protection/>
    </xf>
    <xf numFmtId="1" fontId="10" fillId="0" borderId="0" xfId="0" applyNumberFormat="1" applyFont="1" applyAlignment="1" applyProtection="1">
      <alignment horizontal="center"/>
      <protection/>
    </xf>
    <xf numFmtId="1" fontId="0" fillId="0" borderId="0" xfId="0" applyNumberFormat="1" applyAlignment="1" applyProtection="1">
      <alignment horizontal="center"/>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Bon" xfId="40"/>
    <cellStyle name="Calcul" xfId="41"/>
    <cellStyle name="Cellule lié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Remarque" xfId="53"/>
    <cellStyle name="Sortie" xfId="54"/>
    <cellStyle name="Texte explicatif" xfId="55"/>
    <cellStyle name="Titre " xfId="56"/>
    <cellStyle name="Titre 1" xfId="57"/>
    <cellStyle name="Titre 2" xfId="58"/>
    <cellStyle name="Titre 3" xfId="59"/>
    <cellStyle name="Titre 4" xfId="60"/>
    <cellStyle name="Total" xfId="61"/>
    <cellStyle name="Vérification de cellule"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Comparaison des co?ts annuels</a:t>
            </a:r>
          </a:p>
        </c:rich>
      </c:tx>
      <c:layout>
        <c:manualLayout>
          <c:xMode val="factor"/>
          <c:yMode val="factor"/>
          <c:x val="-0.00125"/>
          <c:y val="0"/>
        </c:manualLayout>
      </c:layout>
      <c:spPr>
        <a:noFill/>
        <a:ln>
          <a:noFill/>
        </a:ln>
      </c:spPr>
    </c:title>
    <c:plotArea>
      <c:layout>
        <c:manualLayout>
          <c:xMode val="edge"/>
          <c:yMode val="edge"/>
          <c:x val="0.169"/>
          <c:y val="0.16125"/>
          <c:w val="0.824"/>
          <c:h val="0.79075"/>
        </c:manualLayout>
      </c:layout>
      <c:barChart>
        <c:barDir val="col"/>
        <c:grouping val="stacked"/>
        <c:varyColors val="0"/>
        <c:ser>
          <c:idx val="0"/>
          <c:order val="0"/>
          <c:tx>
            <c:strRef>
              <c:f>'Tabelle Grafik'!$A$3</c:f>
              <c:strCache>
                <c:ptCount val="1"/>
                <c:pt idx="0">
                  <c:v>R?mun?ration du capital</c:v>
                </c:pt>
              </c:strCache>
            </c:strRef>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 Grafik'!$B$2:$I$2</c:f>
              <c:strCache>
                <c:ptCount val="8"/>
                <c:pt idx="0">
                  <c:v>Chaudi?re ? mazout</c:v>
                </c:pt>
                <c:pt idx="1">
                  <c:v>Chaudi?re ? gaz</c:v>
                </c:pt>
                <c:pt idx="2">
                  <c:v>PC g?othermique</c:v>
                </c:pt>
                <c:pt idx="3">
                  <c:v>PC air ext?rieur</c:v>
                </c:pt>
                <c:pt idx="4">
                  <c:v>Granul?s</c:v>
                </c:pt>
                <c:pt idx="5">
                  <c:v>Granul?s/soleil</c:v>
                </c:pt>
                <c:pt idx="6">
                  <c:v>Mazout/soleil</c:v>
                </c:pt>
                <c:pt idx="7">
                  <c:v>Gaz/soleil</c:v>
                </c:pt>
              </c:strCache>
            </c:strRef>
          </c:cat>
          <c:val>
            <c:numRef>
              <c:f>'Tabelle Grafik'!$B$3:$I$3</c:f>
              <c:numCache>
                <c:ptCount val="8"/>
                <c:pt idx="0">
                  <c:v>1386.8696955148619</c:v>
                </c:pt>
                <c:pt idx="1">
                  <c:v>1463.2403151534425</c:v>
                </c:pt>
                <c:pt idx="2">
                  <c:v>2048.552638355375</c:v>
                </c:pt>
                <c:pt idx="3">
                  <c:v>1916.0745217261026</c:v>
                </c:pt>
                <c:pt idx="4">
                  <c:v>1926.2090715208265</c:v>
                </c:pt>
                <c:pt idx="5">
                  <c:v>2544.244622446644</c:v>
                </c:pt>
                <c:pt idx="6">
                  <c:v>2151.4262476620597</c:v>
                </c:pt>
                <c:pt idx="7">
                  <c:v>1910.9132722447673</c:v>
                </c:pt>
              </c:numCache>
            </c:numRef>
          </c:val>
        </c:ser>
        <c:ser>
          <c:idx val="1"/>
          <c:order val="1"/>
          <c:tx>
            <c:strRef>
              <c:f>'Tabelle Grafik'!$A$4</c:f>
              <c:strCache>
                <c:ptCount val="1"/>
                <c:pt idx="0">
                  <c:v>Co?ts ?nerg?tiques</c:v>
                </c:pt>
              </c:strCache>
            </c:strRef>
          </c:tx>
          <c:spPr>
            <a:solidFill>
              <a:srgbClr val="80206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 Grafik'!$B$2:$I$2</c:f>
              <c:strCache>
                <c:ptCount val="8"/>
                <c:pt idx="0">
                  <c:v>Chaudi?re ? mazout</c:v>
                </c:pt>
                <c:pt idx="1">
                  <c:v>Chaudi?re ? gaz</c:v>
                </c:pt>
                <c:pt idx="2">
                  <c:v>PC g?othermique</c:v>
                </c:pt>
                <c:pt idx="3">
                  <c:v>PC air ext?rieur</c:v>
                </c:pt>
                <c:pt idx="4">
                  <c:v>Granul?s</c:v>
                </c:pt>
                <c:pt idx="5">
                  <c:v>Granul?s/soleil</c:v>
                </c:pt>
                <c:pt idx="6">
                  <c:v>Mazout/soleil</c:v>
                </c:pt>
                <c:pt idx="7">
                  <c:v>Gaz/soleil</c:v>
                </c:pt>
              </c:strCache>
            </c:strRef>
          </c:cat>
          <c:val>
            <c:numRef>
              <c:f>'Tabelle Grafik'!$B$4:$I$4</c:f>
              <c:numCache>
                <c:ptCount val="8"/>
                <c:pt idx="0">
                  <c:v>3701.4</c:v>
                </c:pt>
                <c:pt idx="1">
                  <c:v>3287.331089108911</c:v>
                </c:pt>
                <c:pt idx="2">
                  <c:v>1761.6</c:v>
                </c:pt>
                <c:pt idx="3">
                  <c:v>2229.2000000000003</c:v>
                </c:pt>
                <c:pt idx="4">
                  <c:v>2622.005628517824</c:v>
                </c:pt>
                <c:pt idx="5">
                  <c:v>2123.6045028142594</c:v>
                </c:pt>
                <c:pt idx="6">
                  <c:v>3172.19</c:v>
                </c:pt>
                <c:pt idx="7">
                  <c:v>2865.231425742574</c:v>
                </c:pt>
              </c:numCache>
            </c:numRef>
          </c:val>
        </c:ser>
        <c:ser>
          <c:idx val="2"/>
          <c:order val="2"/>
          <c:tx>
            <c:strRef>
              <c:f>'Tabelle Grafik'!$A$5</c:f>
              <c:strCache>
                <c:ptCount val="1"/>
                <c:pt idx="0">
                  <c:v>Autres co?ts de chauffage</c:v>
                </c:pt>
              </c:strCache>
            </c:strRef>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 Grafik'!$B$2:$I$2</c:f>
              <c:strCache>
                <c:ptCount val="8"/>
                <c:pt idx="0">
                  <c:v>Chaudi?re ? mazout</c:v>
                </c:pt>
                <c:pt idx="1">
                  <c:v>Chaudi?re ? gaz</c:v>
                </c:pt>
                <c:pt idx="2">
                  <c:v>PC g?othermique</c:v>
                </c:pt>
                <c:pt idx="3">
                  <c:v>PC air ext?rieur</c:v>
                </c:pt>
                <c:pt idx="4">
                  <c:v>Granul?s</c:v>
                </c:pt>
                <c:pt idx="5">
                  <c:v>Granul?s/soleil</c:v>
                </c:pt>
                <c:pt idx="6">
                  <c:v>Mazout/soleil</c:v>
                </c:pt>
                <c:pt idx="7">
                  <c:v>Gaz/soleil</c:v>
                </c:pt>
              </c:strCache>
            </c:strRef>
          </c:cat>
          <c:val>
            <c:numRef>
              <c:f>'Tabelle Grafik'!$B$5:$I$5</c:f>
              <c:numCache>
                <c:ptCount val="8"/>
                <c:pt idx="0">
                  <c:v>938</c:v>
                </c:pt>
                <c:pt idx="1">
                  <c:v>367</c:v>
                </c:pt>
                <c:pt idx="2">
                  <c:v>100</c:v>
                </c:pt>
                <c:pt idx="3">
                  <c:v>200</c:v>
                </c:pt>
                <c:pt idx="4">
                  <c:v>764.4652908067542</c:v>
                </c:pt>
                <c:pt idx="5">
                  <c:v>749.5722326454033</c:v>
                </c:pt>
                <c:pt idx="6">
                  <c:v>921.8</c:v>
                </c:pt>
                <c:pt idx="7">
                  <c:v>367</c:v>
                </c:pt>
              </c:numCache>
            </c:numRef>
          </c:val>
        </c:ser>
        <c:ser>
          <c:idx val="3"/>
          <c:order val="3"/>
          <c:tx>
            <c:strRef>
              <c:f>'Tabelle Grafik'!$A$6</c:f>
              <c:strCache>
                <c:ptCount val="1"/>
                <c:pt idx="0">
                  <c:v>Taxe d'orientation sur le CO2</c:v>
                </c:pt>
              </c:strCache>
            </c:strRef>
          </c:tx>
          <c:spPr>
            <a:solidFill>
              <a:srgbClr val="A0E0E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 Grafik'!$B$2:$I$2</c:f>
              <c:strCache>
                <c:ptCount val="8"/>
                <c:pt idx="0">
                  <c:v>Chaudi?re ? mazout</c:v>
                </c:pt>
                <c:pt idx="1">
                  <c:v>Chaudi?re ? gaz</c:v>
                </c:pt>
                <c:pt idx="2">
                  <c:v>PC g?othermique</c:v>
                </c:pt>
                <c:pt idx="3">
                  <c:v>PC air ext?rieur</c:v>
                </c:pt>
                <c:pt idx="4">
                  <c:v>Granul?s</c:v>
                </c:pt>
                <c:pt idx="5">
                  <c:v>Granul?s/soleil</c:v>
                </c:pt>
                <c:pt idx="6">
                  <c:v>Mazout/soleil</c:v>
                </c:pt>
                <c:pt idx="7">
                  <c:v>Gaz/soleil</c:v>
                </c:pt>
              </c:strCache>
            </c:strRef>
          </c:cat>
          <c:val>
            <c:numRef>
              <c:f>'Tabelle Grafik'!$B$6:$I$6</c:f>
              <c:numCache>
                <c:ptCount val="8"/>
                <c:pt idx="0">
                  <c:v>477</c:v>
                </c:pt>
                <c:pt idx="1">
                  <c:v>349.3069306930693</c:v>
                </c:pt>
                <c:pt idx="2">
                  <c:v>0</c:v>
                </c:pt>
                <c:pt idx="3">
                  <c:v>0</c:v>
                </c:pt>
                <c:pt idx="4">
                  <c:v>0</c:v>
                </c:pt>
                <c:pt idx="5">
                  <c:v>0</c:v>
                </c:pt>
                <c:pt idx="6">
                  <c:v>405.45000000000005</c:v>
                </c:pt>
                <c:pt idx="7">
                  <c:v>296.91089108910893</c:v>
                </c:pt>
              </c:numCache>
            </c:numRef>
          </c:val>
        </c:ser>
        <c:ser>
          <c:idx val="5"/>
          <c:order val="4"/>
          <c:tx>
            <c:strRef>
              <c:f>'Tabelle Grafik'!$A$7</c:f>
              <c:strCache>
                <c:ptCount val="1"/>
                <c:pt idx="0">
                  <c:v>Co?ts externes</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 Grafik'!$B$2:$I$2</c:f>
              <c:strCache>
                <c:ptCount val="8"/>
                <c:pt idx="0">
                  <c:v>Chaudi?re ? mazout</c:v>
                </c:pt>
                <c:pt idx="1">
                  <c:v>Chaudi?re ? gaz</c:v>
                </c:pt>
                <c:pt idx="2">
                  <c:v>PC g?othermique</c:v>
                </c:pt>
                <c:pt idx="3">
                  <c:v>PC air ext?rieur</c:v>
                </c:pt>
                <c:pt idx="4">
                  <c:v>Granul?s</c:v>
                </c:pt>
                <c:pt idx="5">
                  <c:v>Granul?s/soleil</c:v>
                </c:pt>
                <c:pt idx="6">
                  <c:v>Mazout/soleil</c:v>
                </c:pt>
                <c:pt idx="7">
                  <c:v>Gaz/soleil</c:v>
                </c:pt>
              </c:strCache>
            </c:strRef>
          </c:cat>
          <c:val>
            <c:numRef>
              <c:f>'Tabelle Grafik'!$B$7:$I$7</c:f>
              <c:numCache>
                <c:ptCount val="8"/>
                <c:pt idx="0">
                  <c:v>1350</c:v>
                </c:pt>
                <c:pt idx="1">
                  <c:v>882</c:v>
                </c:pt>
                <c:pt idx="2">
                  <c:v>408.33333333333326</c:v>
                </c:pt>
                <c:pt idx="3">
                  <c:v>525</c:v>
                </c:pt>
                <c:pt idx="4">
                  <c:v>537.8048780487806</c:v>
                </c:pt>
                <c:pt idx="5">
                  <c:v>430.24390243902445</c:v>
                </c:pt>
                <c:pt idx="6">
                  <c:v>1147.5</c:v>
                </c:pt>
                <c:pt idx="7">
                  <c:v>749.6999999999998</c:v>
                </c:pt>
              </c:numCache>
            </c:numRef>
          </c:val>
        </c:ser>
        <c:overlap val="100"/>
        <c:axId val="65264425"/>
        <c:axId val="50508914"/>
      </c:barChart>
      <c:catAx>
        <c:axId val="65264425"/>
        <c:scaling>
          <c:orientation val="minMax"/>
        </c:scaling>
        <c:axPos val="b"/>
        <c:delete val="0"/>
        <c:numFmt formatCode="General" sourceLinked="1"/>
        <c:majorTickMark val="cross"/>
        <c:minorTickMark val="none"/>
        <c:tickLblPos val="nextTo"/>
        <c:spPr>
          <a:ln w="3175">
            <a:solidFill>
              <a:srgbClr val="000000"/>
            </a:solidFill>
          </a:ln>
        </c:spPr>
        <c:crossAx val="50508914"/>
        <c:crosses val="autoZero"/>
        <c:auto val="0"/>
        <c:lblOffset val="100"/>
        <c:tickLblSkip val="1"/>
        <c:noMultiLvlLbl val="0"/>
      </c:catAx>
      <c:valAx>
        <c:axId val="50508914"/>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Co?ts annuels [fr./an]</a:t>
                </a:r>
              </a:p>
            </c:rich>
          </c:tx>
          <c:layout>
            <c:manualLayout>
              <c:xMode val="factor"/>
              <c:yMode val="factor"/>
              <c:x val="-0.00775"/>
              <c:y val="0.0485"/>
            </c:manualLayout>
          </c:layout>
          <c:overlay val="0"/>
          <c:spPr>
            <a:noFill/>
            <a:ln>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65264425"/>
        <c:crossesAt val="1"/>
        <c:crossBetween val="between"/>
        <c:dispUnits/>
      </c:valAx>
      <c:spPr>
        <a:solidFill>
          <a:srgbClr val="E3E3E3"/>
        </a:solidFill>
        <a:ln w="3175">
          <a:solidFill>
            <a:srgbClr val="808080"/>
          </a:solidFill>
        </a:ln>
      </c:spPr>
    </c:plotArea>
    <c:legend>
      <c:legendPos val="l"/>
      <c:layout>
        <c:manualLayout>
          <c:xMode val="edge"/>
          <c:yMode val="edge"/>
          <c:x val="0.00775"/>
          <c:y val="0.5615"/>
          <c:w val="0.13675"/>
          <c:h val="0.390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Dommages ? l'environnement</a:t>
            </a:r>
          </a:p>
        </c:rich>
      </c:tx>
      <c:layout>
        <c:manualLayout>
          <c:xMode val="factor"/>
          <c:yMode val="factor"/>
          <c:x val="0.00125"/>
          <c:y val="0"/>
        </c:manualLayout>
      </c:layout>
      <c:spPr>
        <a:noFill/>
        <a:ln>
          <a:noFill/>
        </a:ln>
      </c:spPr>
    </c:title>
    <c:plotArea>
      <c:layout>
        <c:manualLayout>
          <c:xMode val="edge"/>
          <c:yMode val="edge"/>
          <c:x val="0.042"/>
          <c:y val="0.094"/>
          <c:w val="0.9515"/>
          <c:h val="0.72325"/>
        </c:manualLayout>
      </c:layout>
      <c:barChart>
        <c:barDir val="col"/>
        <c:grouping val="clustered"/>
        <c:varyColors val="0"/>
        <c:ser>
          <c:idx val="0"/>
          <c:order val="0"/>
          <c:tx>
            <c:strRef>
              <c:f>'Kostenvergleich '!$A$111:$C$111</c:f>
              <c:strCache>
                <c:ptCount val="1"/>
                <c:pt idx="0">
                  <c:v>CO2 fossile de chemin?e t/ann?e</c:v>
                </c:pt>
              </c:strCache>
            </c:strRef>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'Kostenvergleich '!$D$110:$K$110</c:f>
              <c:strCache/>
            </c:strRef>
          </c:cat>
          <c:val>
            <c:numRef>
              <c:f>'Kostenvergleich '!$D$111:$K$111</c:f>
              <c:numCache/>
            </c:numRef>
          </c:val>
        </c:ser>
        <c:ser>
          <c:idx val="1"/>
          <c:order val="1"/>
          <c:tx>
            <c:strRef>
              <c:f>'Kostenvergleich '!$A$112:$C$112</c:f>
              <c:strCache>
                <c:ptCount val="1"/>
                <c:pt idx="0">
                  <c:v>Syst?me ?quivalent CO2 t/ann?e</c:v>
                </c:pt>
              </c:strCache>
            </c:strRef>
          </c:tx>
          <c:spPr>
            <a:solidFill>
              <a:srgbClr val="80206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'Kostenvergleich '!$D$110:$K$110</c:f>
              <c:strCache/>
            </c:strRef>
          </c:cat>
          <c:val>
            <c:numRef>
              <c:f>'Kostenvergleich '!$D$112:$K$112</c:f>
              <c:numCache/>
            </c:numRef>
          </c:val>
        </c:ser>
        <c:ser>
          <c:idx val="2"/>
          <c:order val="2"/>
          <c:tx>
            <c:strRef>
              <c:f>'Kostenvergleich '!$A$113:$C$113</c:f>
              <c:strCache>
                <c:ptCount val="1"/>
                <c:pt idx="0">
                  <c:v>Points EcoIndicator'99 100 Pt/Ann?e</c:v>
                </c:pt>
              </c:strCache>
            </c:strRef>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'Kostenvergleich '!$D$110:$K$110</c:f>
              <c:strCache/>
            </c:strRef>
          </c:cat>
          <c:val>
            <c:numRef>
              <c:f>'Kostenvergleich '!$D$113:$K$113</c:f>
              <c:numCache/>
            </c:numRef>
          </c:val>
        </c:ser>
        <c:axId val="51927043"/>
        <c:axId val="64690204"/>
      </c:barChart>
      <c:catAx>
        <c:axId val="51927043"/>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Syst?me de chauffage</a:t>
                </a:r>
              </a:p>
            </c:rich>
          </c:tx>
          <c:layout>
            <c:manualLayout>
              <c:xMode val="factor"/>
              <c:yMode val="factor"/>
              <c:x val="-0.04675"/>
              <c:y val="0"/>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4690204"/>
        <c:crosses val="autoZero"/>
        <c:auto val="0"/>
        <c:lblOffset val="100"/>
        <c:tickLblSkip val="1"/>
        <c:noMultiLvlLbl val="0"/>
      </c:catAx>
      <c:valAx>
        <c:axId val="6469020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Emissions en tonnes par ann?e resp. 100 points EcoIndicator par ann?e</a:t>
                </a:r>
              </a:p>
            </c:rich>
          </c:tx>
          <c:layout>
            <c:manualLayout>
              <c:xMode val="factor"/>
              <c:yMode val="factor"/>
              <c:x val="0.0055"/>
              <c:y val="-0.04175"/>
            </c:manualLayout>
          </c:layout>
          <c:overlay val="0"/>
          <c:spPr>
            <a:noFill/>
            <a:ln>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1927043"/>
        <c:crossesAt val="1"/>
        <c:crossBetween val="between"/>
        <c:dispUnits/>
      </c:valAx>
      <c:spPr>
        <a:solidFill>
          <a:srgbClr val="E3E3E3"/>
        </a:solidFill>
        <a:ln w="12700">
          <a:solidFill>
            <a:srgbClr val="808080"/>
          </a:solidFill>
        </a:ln>
      </c:spPr>
    </c:plotArea>
    <c:legend>
      <c:legendPos val="r"/>
      <c:layout>
        <c:manualLayout>
          <c:xMode val="edge"/>
          <c:yMode val="edge"/>
          <c:x val="0.17975"/>
          <c:y val="0.91625"/>
          <c:w val="0.69"/>
          <c:h val="0.074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89</xdr:row>
      <xdr:rowOff>9525</xdr:rowOff>
    </xdr:from>
    <xdr:to>
      <xdr:col>10</xdr:col>
      <xdr:colOff>666750</xdr:colOff>
      <xdr:row>108</xdr:row>
      <xdr:rowOff>104775</xdr:rowOff>
    </xdr:to>
    <xdr:graphicFrame>
      <xdr:nvGraphicFramePr>
        <xdr:cNvPr id="1" name="Chart 6"/>
        <xdr:cNvGraphicFramePr/>
      </xdr:nvGraphicFramePr>
      <xdr:xfrm>
        <a:off x="0" y="14535150"/>
        <a:ext cx="9001125" cy="29908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114</xdr:row>
      <xdr:rowOff>47625</xdr:rowOff>
    </xdr:from>
    <xdr:to>
      <xdr:col>10</xdr:col>
      <xdr:colOff>609600</xdr:colOff>
      <xdr:row>132</xdr:row>
      <xdr:rowOff>47625</xdr:rowOff>
    </xdr:to>
    <xdr:graphicFrame>
      <xdr:nvGraphicFramePr>
        <xdr:cNvPr id="2" name="Chart 9"/>
        <xdr:cNvGraphicFramePr/>
      </xdr:nvGraphicFramePr>
      <xdr:xfrm>
        <a:off x="19050" y="18421350"/>
        <a:ext cx="8924925" cy="28194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232"/>
  <sheetViews>
    <sheetView showZeros="0" tabSelected="1" zoomScale="200" zoomScaleNormal="200" workbookViewId="0" topLeftCell="A68">
      <pane ySplit="21660" topLeftCell="BM107" activePane="topLeft" state="split"/>
      <selection pane="topLeft" activeCell="B84" sqref="B84"/>
      <selection pane="bottomLeft" activeCell="K113" sqref="K113"/>
    </sheetView>
  </sheetViews>
  <sheetFormatPr defaultColWidth="11.421875" defaultRowHeight="12.75"/>
  <cols>
    <col min="1" max="1" width="29.140625" style="0" customWidth="1"/>
    <col min="2" max="2" width="7.00390625" style="0" customWidth="1"/>
    <col min="3" max="3" width="8.8515625" style="0" customWidth="1"/>
    <col min="12" max="12" width="10.8515625" style="24" customWidth="1"/>
    <col min="13" max="13" width="7.421875" style="0" customWidth="1"/>
  </cols>
  <sheetData>
    <row r="1" spans="1:12" ht="18.75">
      <c r="A1" s="5" t="s">
        <v>64</v>
      </c>
      <c r="G1" s="8"/>
      <c r="H1" s="9"/>
      <c r="I1" s="9"/>
      <c r="K1" s="6"/>
      <c r="L1" s="23"/>
    </row>
    <row r="2" spans="1:12" ht="16.5" customHeight="1">
      <c r="A2" s="104" t="s">
        <v>83</v>
      </c>
      <c r="C2" s="103"/>
      <c r="L2" s="7" t="s">
        <v>63</v>
      </c>
    </row>
    <row r="3" spans="1:12" ht="16.5" customHeight="1">
      <c r="A3" s="26"/>
      <c r="C3" s="103"/>
      <c r="L3" s="7"/>
    </row>
    <row r="4" spans="1:12" s="2" customFormat="1" ht="12.75">
      <c r="A4" s="2" t="s">
        <v>77</v>
      </c>
      <c r="D4" s="53"/>
      <c r="E4" s="53"/>
      <c r="F4" s="60" t="s">
        <v>80</v>
      </c>
      <c r="H4" s="53"/>
      <c r="I4" s="53"/>
      <c r="J4" s="53"/>
      <c r="K4" s="53"/>
      <c r="L4" s="54"/>
    </row>
    <row r="5" spans="1:12" s="2" customFormat="1" ht="12.75">
      <c r="A5" s="61" t="s">
        <v>78</v>
      </c>
      <c r="D5" s="53"/>
      <c r="E5" s="53"/>
      <c r="F5" s="53"/>
      <c r="H5" s="53"/>
      <c r="I5" s="53"/>
      <c r="J5" s="53"/>
      <c r="K5" s="53"/>
      <c r="L5" s="54"/>
    </row>
    <row r="6" spans="1:12" s="2" customFormat="1" ht="12.75">
      <c r="A6" s="61" t="s">
        <v>79</v>
      </c>
      <c r="D6" s="53"/>
      <c r="E6" s="53"/>
      <c r="F6" s="16"/>
      <c r="H6" s="53"/>
      <c r="I6" s="59"/>
      <c r="J6" s="53"/>
      <c r="L6" s="55"/>
    </row>
    <row r="7" spans="1:12" s="2" customFormat="1" ht="12.75">
      <c r="A7" s="61" t="s">
        <v>84</v>
      </c>
      <c r="D7" s="53"/>
      <c r="E7" s="53"/>
      <c r="F7" s="53"/>
      <c r="G7" s="53"/>
      <c r="H7" s="53"/>
      <c r="I7" s="53"/>
      <c r="J7" s="53"/>
      <c r="K7" s="53"/>
      <c r="L7" s="54"/>
    </row>
    <row r="8" spans="1:12" ht="16.5" customHeight="1" thickBot="1">
      <c r="A8" s="26"/>
      <c r="C8" s="103"/>
      <c r="L8" s="7"/>
    </row>
    <row r="9" spans="1:12" ht="16.5" thickBot="1">
      <c r="A9" s="36" t="s">
        <v>47</v>
      </c>
      <c r="B9" s="29"/>
      <c r="C9" s="117" t="s">
        <v>24</v>
      </c>
      <c r="E9" s="29"/>
      <c r="F9" s="82">
        <v>200</v>
      </c>
      <c r="G9" s="29" t="s">
        <v>134</v>
      </c>
      <c r="H9" s="81" t="s">
        <v>50</v>
      </c>
      <c r="I9" s="83" t="s">
        <v>55</v>
      </c>
      <c r="J9" s="84"/>
      <c r="K9" s="49"/>
      <c r="L9" s="86"/>
    </row>
    <row r="10" spans="1:12" ht="12.75">
      <c r="A10" s="37" t="s">
        <v>48</v>
      </c>
      <c r="B10" s="17"/>
      <c r="C10" s="116" t="s">
        <v>49</v>
      </c>
      <c r="E10" s="17"/>
      <c r="F10" s="85">
        <v>175</v>
      </c>
      <c r="G10" s="17" t="s">
        <v>135</v>
      </c>
      <c r="H10" s="32" t="s">
        <v>51</v>
      </c>
      <c r="I10" s="17"/>
      <c r="J10" s="17"/>
      <c r="K10" s="85">
        <v>60</v>
      </c>
      <c r="L10" s="38" t="s">
        <v>135</v>
      </c>
    </row>
    <row r="11" spans="1:12" ht="13.5" thickBot="1">
      <c r="A11" s="62"/>
      <c r="B11" s="17"/>
      <c r="C11" s="17" t="s">
        <v>52</v>
      </c>
      <c r="E11" s="17"/>
      <c r="F11" s="19"/>
      <c r="G11" s="63">
        <f>ROUND(K11*F9/3.6,-2)</f>
        <v>13100</v>
      </c>
      <c r="H11" s="17" t="s">
        <v>136</v>
      </c>
      <c r="I11" s="30" t="s">
        <v>137</v>
      </c>
      <c r="J11" s="17"/>
      <c r="K11" s="64">
        <f>F10+K10</f>
        <v>235</v>
      </c>
      <c r="L11" s="38" t="s">
        <v>135</v>
      </c>
    </row>
    <row r="12" spans="1:12" ht="2.25" customHeight="1" thickBot="1">
      <c r="A12" s="66"/>
      <c r="B12" s="67"/>
      <c r="C12" s="67"/>
      <c r="D12" s="67"/>
      <c r="E12" s="67"/>
      <c r="F12" s="68"/>
      <c r="G12" s="69"/>
      <c r="H12" s="67"/>
      <c r="I12" s="70"/>
      <c r="J12" s="67"/>
      <c r="K12" s="71"/>
      <c r="L12" s="72"/>
    </row>
    <row r="13" spans="1:12" s="123" customFormat="1" ht="56.25" customHeight="1">
      <c r="A13" s="119" t="s">
        <v>53</v>
      </c>
      <c r="B13" s="118" t="s">
        <v>115</v>
      </c>
      <c r="C13" s="124"/>
      <c r="D13" s="120" t="s">
        <v>81</v>
      </c>
      <c r="E13" s="121" t="s">
        <v>54</v>
      </c>
      <c r="F13" s="121" t="s">
        <v>26</v>
      </c>
      <c r="G13" s="121" t="s">
        <v>116</v>
      </c>
      <c r="H13" s="121" t="s">
        <v>82</v>
      </c>
      <c r="I13" s="121" t="s">
        <v>117</v>
      </c>
      <c r="J13" s="121" t="s">
        <v>118</v>
      </c>
      <c r="K13" s="121" t="s">
        <v>113</v>
      </c>
      <c r="L13" s="122"/>
    </row>
    <row r="14" spans="1:12" ht="9.75" customHeight="1">
      <c r="A14" s="31"/>
      <c r="B14" s="32" t="s">
        <v>112</v>
      </c>
      <c r="C14" s="33"/>
      <c r="D14" s="33" t="s">
        <v>43</v>
      </c>
      <c r="E14" s="33" t="s">
        <v>139</v>
      </c>
      <c r="F14" s="33" t="s">
        <v>140</v>
      </c>
      <c r="G14" s="33" t="s">
        <v>140</v>
      </c>
      <c r="H14" s="33" t="s">
        <v>45</v>
      </c>
      <c r="I14" s="33" t="s">
        <v>45</v>
      </c>
      <c r="J14" s="33" t="s">
        <v>43</v>
      </c>
      <c r="K14" s="33" t="s">
        <v>139</v>
      </c>
      <c r="L14" s="34"/>
    </row>
    <row r="15" spans="1:12" ht="12.75">
      <c r="A15" s="35"/>
      <c r="B15" s="20"/>
      <c r="C15" s="17"/>
      <c r="D15" s="87">
        <v>3000</v>
      </c>
      <c r="E15" s="87">
        <v>0</v>
      </c>
      <c r="F15" s="87"/>
      <c r="G15" s="87">
        <v>0</v>
      </c>
      <c r="H15" s="88"/>
      <c r="I15" s="88"/>
      <c r="J15" s="88"/>
      <c r="K15" s="89"/>
      <c r="L15" s="90">
        <v>0</v>
      </c>
    </row>
    <row r="16" spans="1:12" ht="13.5" thickBot="1">
      <c r="A16" s="35"/>
      <c r="B16" s="17" t="s">
        <v>56</v>
      </c>
      <c r="C16" s="17"/>
      <c r="D16" s="17"/>
      <c r="E16" s="20"/>
      <c r="F16" s="73">
        <f>(D15*D20*D21)+(E15*E20*E21)+(F15*F20*F21)+(G15*G20*G21)+(H15*H20*H21)+(I15*I20*I21)+(J15*J20*J21)+(K15*K20*K21)+(L15*H20*H21)</f>
        <v>29400</v>
      </c>
      <c r="G16" s="17" t="s">
        <v>136</v>
      </c>
      <c r="H16" s="17" t="s">
        <v>57</v>
      </c>
      <c r="I16" s="17"/>
      <c r="J16" s="65"/>
      <c r="K16" s="73">
        <f>F16/F9*3.6</f>
        <v>529.2</v>
      </c>
      <c r="L16" s="74" t="s">
        <v>135</v>
      </c>
    </row>
    <row r="17" spans="1:12" ht="2.25" customHeight="1" thickBot="1">
      <c r="A17" s="79"/>
      <c r="B17" s="67"/>
      <c r="C17" s="67"/>
      <c r="D17" s="67"/>
      <c r="E17" s="67"/>
      <c r="F17" s="68"/>
      <c r="G17" s="67"/>
      <c r="H17" s="67"/>
      <c r="I17" s="67"/>
      <c r="J17" s="80"/>
      <c r="K17" s="68"/>
      <c r="L17" s="72"/>
    </row>
    <row r="18" spans="1:12" ht="13.5" thickBot="1">
      <c r="A18" s="75" t="s">
        <v>2</v>
      </c>
      <c r="B18" s="76"/>
      <c r="C18" s="17"/>
      <c r="D18" s="17"/>
      <c r="E18" s="17"/>
      <c r="F18" s="91">
        <v>29400</v>
      </c>
      <c r="G18" s="17" t="s">
        <v>33</v>
      </c>
      <c r="H18" s="17"/>
      <c r="I18" s="17"/>
      <c r="J18" s="30"/>
      <c r="K18" s="77"/>
      <c r="L18" s="78"/>
    </row>
    <row r="19" spans="1:12" ht="18" customHeight="1">
      <c r="A19" s="35" t="s">
        <v>58</v>
      </c>
      <c r="B19" s="17"/>
      <c r="C19" s="17"/>
      <c r="D19" s="40">
        <f>$F$18/D20/D21*(1-D23)</f>
        <v>3000</v>
      </c>
      <c r="E19" s="40">
        <f aca="true" t="shared" si="0" ref="E19:J19">$F$18/E20/E21*(1-E23)</f>
        <v>2910.891089108911</v>
      </c>
      <c r="F19" s="40">
        <f t="shared" si="0"/>
        <v>8166.666666666666</v>
      </c>
      <c r="G19" s="40">
        <f t="shared" si="0"/>
        <v>10500</v>
      </c>
      <c r="H19" s="41">
        <f t="shared" si="0"/>
        <v>6.894934333958725</v>
      </c>
      <c r="I19" s="41">
        <f t="shared" si="0"/>
        <v>5.51594746716698</v>
      </c>
      <c r="J19" s="41">
        <f t="shared" si="0"/>
        <v>2550</v>
      </c>
      <c r="K19" s="41">
        <f>$F$18/K20/K21*(1-K23)</f>
        <v>2474.257425742574</v>
      </c>
      <c r="L19"/>
    </row>
    <row r="20" spans="1:12" ht="12.75">
      <c r="A20" s="35" t="s">
        <v>85</v>
      </c>
      <c r="B20" s="17"/>
      <c r="C20" s="30" t="s">
        <v>34</v>
      </c>
      <c r="D20" s="30">
        <v>10</v>
      </c>
      <c r="E20" s="30">
        <v>10.1</v>
      </c>
      <c r="F20" s="30">
        <v>1</v>
      </c>
      <c r="G20" s="30">
        <v>1</v>
      </c>
      <c r="H20" s="92">
        <v>5200</v>
      </c>
      <c r="I20" s="92">
        <v>5200</v>
      </c>
      <c r="J20" s="106">
        <v>10</v>
      </c>
      <c r="K20" s="106">
        <v>10.1</v>
      </c>
      <c r="L20"/>
    </row>
    <row r="21" spans="1:12" ht="25.5">
      <c r="A21" s="126" t="s">
        <v>25</v>
      </c>
      <c r="B21" s="17"/>
      <c r="C21" s="30" t="s">
        <v>35</v>
      </c>
      <c r="D21" s="93">
        <v>0.98</v>
      </c>
      <c r="E21" s="93">
        <v>1</v>
      </c>
      <c r="F21" s="93">
        <v>3.6</v>
      </c>
      <c r="G21" s="93">
        <v>2.8</v>
      </c>
      <c r="H21" s="93">
        <v>0.82</v>
      </c>
      <c r="I21" s="93">
        <v>0.82</v>
      </c>
      <c r="J21" s="93">
        <v>0.98</v>
      </c>
      <c r="K21" s="93">
        <v>1</v>
      </c>
      <c r="L21"/>
    </row>
    <row r="22" spans="1:12" ht="12.75">
      <c r="A22" s="35" t="s">
        <v>59</v>
      </c>
      <c r="B22" s="17"/>
      <c r="C22" s="30" t="s">
        <v>136</v>
      </c>
      <c r="D22" s="87">
        <f>0.013*F18/D21</f>
        <v>390</v>
      </c>
      <c r="E22" s="87">
        <f>0.01*F18/E21</f>
        <v>294</v>
      </c>
      <c r="F22" s="94"/>
      <c r="G22" s="94"/>
      <c r="H22" s="87">
        <f>0.015*F18/H21</f>
        <v>537.8048780487806</v>
      </c>
      <c r="I22" s="87">
        <f>0.015*F18/I21*(1-I23)+100</f>
        <v>530.2439024390244</v>
      </c>
      <c r="J22" s="87">
        <f>0.013*F18/J21*(1-J23)+100</f>
        <v>431.5</v>
      </c>
      <c r="K22" s="87">
        <f>0.01*F18/K21*(1-K23)+100</f>
        <v>349.9</v>
      </c>
      <c r="L22"/>
    </row>
    <row r="23" spans="1:12" ht="12.75">
      <c r="A23" s="35" t="s">
        <v>86</v>
      </c>
      <c r="B23" s="17"/>
      <c r="C23" s="30"/>
      <c r="D23" s="95"/>
      <c r="E23" s="95"/>
      <c r="F23" s="94"/>
      <c r="G23" s="94"/>
      <c r="H23" s="94"/>
      <c r="I23" s="95">
        <v>0.2</v>
      </c>
      <c r="J23" s="95">
        <v>0.15</v>
      </c>
      <c r="K23" s="95">
        <v>0.15</v>
      </c>
      <c r="L23"/>
    </row>
    <row r="24" spans="1:12" ht="14.25">
      <c r="A24" s="125" t="s">
        <v>87</v>
      </c>
      <c r="B24" s="17"/>
      <c r="C24" s="30" t="s">
        <v>119</v>
      </c>
      <c r="D24" s="111">
        <v>10</v>
      </c>
      <c r="E24" s="111">
        <v>2</v>
      </c>
      <c r="F24" s="111">
        <v>2</v>
      </c>
      <c r="G24" s="111">
        <v>6</v>
      </c>
      <c r="H24" s="111">
        <v>10</v>
      </c>
      <c r="I24" s="111">
        <v>10</v>
      </c>
      <c r="J24" s="111">
        <v>10</v>
      </c>
      <c r="K24" s="111">
        <v>3</v>
      </c>
      <c r="L24"/>
    </row>
    <row r="25" spans="4:12" ht="6" customHeight="1">
      <c r="D25" s="1"/>
      <c r="E25" s="1"/>
      <c r="F25" s="1"/>
      <c r="G25" s="1"/>
      <c r="H25" s="1"/>
      <c r="I25" s="1"/>
      <c r="J25" s="1"/>
      <c r="K25" s="1"/>
      <c r="L25" s="39"/>
    </row>
    <row r="26" spans="1:12" ht="12.75" customHeight="1">
      <c r="A26" s="4" t="s">
        <v>88</v>
      </c>
      <c r="C26" s="127" t="s">
        <v>120</v>
      </c>
      <c r="D26" s="16" t="s">
        <v>3</v>
      </c>
      <c r="E26" s="16" t="s">
        <v>54</v>
      </c>
      <c r="F26" s="16" t="s">
        <v>138</v>
      </c>
      <c r="G26" s="16" t="s">
        <v>27</v>
      </c>
      <c r="H26" s="30" t="s">
        <v>82</v>
      </c>
      <c r="I26" s="33" t="s">
        <v>0</v>
      </c>
      <c r="J26" s="33" t="s">
        <v>1</v>
      </c>
      <c r="K26" s="30" t="s">
        <v>113</v>
      </c>
      <c r="L26"/>
    </row>
    <row r="27" spans="3:12" s="26" customFormat="1" ht="12.75">
      <c r="C27" s="27" t="s">
        <v>36</v>
      </c>
      <c r="D27" s="27" t="s">
        <v>37</v>
      </c>
      <c r="E27" s="27" t="s">
        <v>37</v>
      </c>
      <c r="F27" s="27" t="s">
        <v>37</v>
      </c>
      <c r="G27" s="27" t="s">
        <v>37</v>
      </c>
      <c r="H27" s="27" t="s">
        <v>37</v>
      </c>
      <c r="I27" s="27" t="s">
        <v>37</v>
      </c>
      <c r="J27" s="27" t="s">
        <v>37</v>
      </c>
      <c r="K27" s="33" t="s">
        <v>46</v>
      </c>
      <c r="L27"/>
    </row>
    <row r="28" spans="1:12" s="26" customFormat="1" ht="12.75">
      <c r="A28" s="26" t="s">
        <v>89</v>
      </c>
      <c r="C28" s="96">
        <v>30</v>
      </c>
      <c r="D28" s="97">
        <v>3000</v>
      </c>
      <c r="E28" s="97"/>
      <c r="F28" s="96"/>
      <c r="G28" s="96"/>
      <c r="H28" s="96">
        <v>3000</v>
      </c>
      <c r="I28" s="96">
        <v>3000</v>
      </c>
      <c r="J28" s="96">
        <v>3000</v>
      </c>
      <c r="K28" s="97"/>
      <c r="L28"/>
    </row>
    <row r="29" spans="1:12" s="26" customFormat="1" ht="12.75">
      <c r="A29" s="26" t="s">
        <v>90</v>
      </c>
      <c r="C29" s="96">
        <v>25</v>
      </c>
      <c r="D29" s="96"/>
      <c r="E29" s="96">
        <v>4500</v>
      </c>
      <c r="F29" s="96"/>
      <c r="G29" s="96"/>
      <c r="H29" s="96"/>
      <c r="I29" s="96"/>
      <c r="J29" s="96"/>
      <c r="K29" s="96">
        <v>4500</v>
      </c>
      <c r="L29"/>
    </row>
    <row r="30" spans="1:12" s="26" customFormat="1" ht="12.75">
      <c r="A30" s="26" t="s">
        <v>91</v>
      </c>
      <c r="C30" s="96">
        <v>18</v>
      </c>
      <c r="D30" s="96">
        <v>6000</v>
      </c>
      <c r="E30" s="96">
        <v>5000</v>
      </c>
      <c r="F30" s="96">
        <v>10000</v>
      </c>
      <c r="G30" s="96">
        <v>14000</v>
      </c>
      <c r="H30" s="96">
        <v>13000</v>
      </c>
      <c r="I30" s="96">
        <v>13000</v>
      </c>
      <c r="J30" s="96">
        <v>10000</v>
      </c>
      <c r="K30" s="96">
        <v>4500</v>
      </c>
      <c r="L30"/>
    </row>
    <row r="31" spans="1:12" s="26" customFormat="1" ht="12.75">
      <c r="A31" s="26" t="s">
        <v>92</v>
      </c>
      <c r="C31" s="96">
        <v>30</v>
      </c>
      <c r="D31" s="96">
        <v>2500</v>
      </c>
      <c r="E31" s="96">
        <v>2500</v>
      </c>
      <c r="F31" s="96"/>
      <c r="G31" s="96"/>
      <c r="H31" s="96">
        <v>3500</v>
      </c>
      <c r="I31" s="96">
        <v>3500</v>
      </c>
      <c r="J31" s="96">
        <v>2500</v>
      </c>
      <c r="K31" s="96">
        <v>2500</v>
      </c>
      <c r="L31"/>
    </row>
    <row r="32" spans="1:12" s="26" customFormat="1" ht="12.75">
      <c r="A32" s="26" t="s">
        <v>93</v>
      </c>
      <c r="C32" s="96">
        <v>18</v>
      </c>
      <c r="D32" s="96">
        <v>500</v>
      </c>
      <c r="E32" s="96">
        <v>500</v>
      </c>
      <c r="F32" s="96">
        <v>500</v>
      </c>
      <c r="G32" s="96">
        <v>500</v>
      </c>
      <c r="H32" s="96">
        <v>500</v>
      </c>
      <c r="I32" s="96">
        <v>500</v>
      </c>
      <c r="J32" s="96">
        <v>500</v>
      </c>
      <c r="K32" s="96">
        <v>500</v>
      </c>
      <c r="L32"/>
    </row>
    <row r="33" spans="1:12" s="26" customFormat="1" ht="12.75">
      <c r="A33" s="26" t="s">
        <v>94</v>
      </c>
      <c r="C33" s="96">
        <v>20</v>
      </c>
      <c r="D33" s="96">
        <v>2000</v>
      </c>
      <c r="E33" s="96">
        <v>2000</v>
      </c>
      <c r="F33" s="96">
        <v>2500</v>
      </c>
      <c r="G33" s="96">
        <v>2500</v>
      </c>
      <c r="H33" s="96">
        <v>2000</v>
      </c>
      <c r="I33" s="96">
        <v>4000</v>
      </c>
      <c r="J33" s="96">
        <v>3000</v>
      </c>
      <c r="K33" s="96">
        <v>3000</v>
      </c>
      <c r="L33"/>
    </row>
    <row r="34" spans="1:12" s="26" customFormat="1" ht="12.75">
      <c r="A34" s="26" t="s">
        <v>95</v>
      </c>
      <c r="C34" s="96">
        <v>30</v>
      </c>
      <c r="D34" s="96"/>
      <c r="E34" s="96"/>
      <c r="F34" s="96">
        <v>10000</v>
      </c>
      <c r="G34" s="96">
        <v>1800</v>
      </c>
      <c r="H34" s="96"/>
      <c r="I34" s="96"/>
      <c r="J34" s="96"/>
      <c r="K34" s="96"/>
      <c r="L34"/>
    </row>
    <row r="35" spans="1:12" s="26" customFormat="1" ht="12.75">
      <c r="A35" s="26" t="s">
        <v>96</v>
      </c>
      <c r="C35" s="96">
        <v>30</v>
      </c>
      <c r="D35" s="96">
        <v>2000</v>
      </c>
      <c r="E35" s="96">
        <v>2000</v>
      </c>
      <c r="F35" s="96">
        <v>2000</v>
      </c>
      <c r="G35" s="96">
        <v>2000</v>
      </c>
      <c r="H35" s="96">
        <v>2000</v>
      </c>
      <c r="I35" s="96">
        <v>2000</v>
      </c>
      <c r="J35" s="96">
        <v>2000</v>
      </c>
      <c r="K35" s="96">
        <v>2000</v>
      </c>
      <c r="L35"/>
    </row>
    <row r="36" spans="1:12" s="26" customFormat="1" ht="12.75">
      <c r="A36" s="26" t="s">
        <v>4</v>
      </c>
      <c r="C36" s="96">
        <v>30</v>
      </c>
      <c r="D36" s="96">
        <v>1000</v>
      </c>
      <c r="E36" s="96">
        <v>1000</v>
      </c>
      <c r="F36" s="96">
        <v>1000</v>
      </c>
      <c r="G36" s="96">
        <v>1000</v>
      </c>
      <c r="H36" s="96">
        <v>1000</v>
      </c>
      <c r="I36" s="96">
        <v>1000</v>
      </c>
      <c r="J36" s="96">
        <v>1000</v>
      </c>
      <c r="K36" s="96">
        <v>1000</v>
      </c>
      <c r="L36"/>
    </row>
    <row r="37" spans="1:12" s="26" customFormat="1" ht="12.75">
      <c r="A37" s="26" t="s">
        <v>97</v>
      </c>
      <c r="C37" s="96">
        <v>20</v>
      </c>
      <c r="D37" s="96">
        <v>1500</v>
      </c>
      <c r="E37" s="96">
        <v>1500</v>
      </c>
      <c r="F37" s="96">
        <v>1500</v>
      </c>
      <c r="G37" s="96">
        <v>1500</v>
      </c>
      <c r="H37" s="96">
        <v>1500</v>
      </c>
      <c r="I37" s="96">
        <v>1800</v>
      </c>
      <c r="J37" s="96">
        <v>1800</v>
      </c>
      <c r="K37" s="96">
        <v>1800</v>
      </c>
      <c r="L37"/>
    </row>
    <row r="38" spans="1:12" s="26" customFormat="1" ht="12.75">
      <c r="A38" s="26" t="s">
        <v>98</v>
      </c>
      <c r="C38" s="96">
        <v>25</v>
      </c>
      <c r="D38" s="96">
        <v>1500</v>
      </c>
      <c r="E38" s="96">
        <v>1500</v>
      </c>
      <c r="F38" s="96">
        <v>1500</v>
      </c>
      <c r="G38" s="96">
        <v>1500</v>
      </c>
      <c r="H38" s="96">
        <v>1500</v>
      </c>
      <c r="I38" s="96">
        <v>2000</v>
      </c>
      <c r="J38" s="96">
        <v>2000</v>
      </c>
      <c r="K38" s="96">
        <v>2000</v>
      </c>
      <c r="L38"/>
    </row>
    <row r="39" spans="1:12" s="26" customFormat="1" ht="12.75">
      <c r="A39" s="26" t="s">
        <v>99</v>
      </c>
      <c r="C39" s="96">
        <v>18</v>
      </c>
      <c r="D39" s="96">
        <v>2000</v>
      </c>
      <c r="E39" s="96">
        <v>2000</v>
      </c>
      <c r="F39" s="96">
        <v>2000</v>
      </c>
      <c r="G39" s="96">
        <v>2000</v>
      </c>
      <c r="H39" s="96">
        <v>2000</v>
      </c>
      <c r="I39" s="96">
        <v>2500</v>
      </c>
      <c r="J39" s="96">
        <v>2500</v>
      </c>
      <c r="K39" s="96">
        <v>2500</v>
      </c>
      <c r="L39"/>
    </row>
    <row r="40" spans="1:12" s="26" customFormat="1" ht="12.75">
      <c r="A40" s="26" t="s">
        <v>5</v>
      </c>
      <c r="C40" s="96">
        <v>20</v>
      </c>
      <c r="D40" s="96">
        <v>1000</v>
      </c>
      <c r="E40" s="96">
        <v>1500</v>
      </c>
      <c r="F40" s="96">
        <v>3000</v>
      </c>
      <c r="G40" s="96">
        <v>2500</v>
      </c>
      <c r="H40" s="96">
        <v>1000</v>
      </c>
      <c r="I40" s="96">
        <v>1000</v>
      </c>
      <c r="J40" s="96">
        <v>1000</v>
      </c>
      <c r="K40" s="96">
        <v>1500</v>
      </c>
      <c r="L40"/>
    </row>
    <row r="41" spans="1:12" s="26" customFormat="1" ht="12.75">
      <c r="A41" s="26" t="s">
        <v>100</v>
      </c>
      <c r="C41" s="96">
        <v>20</v>
      </c>
      <c r="D41" s="96"/>
      <c r="E41" s="96"/>
      <c r="F41" s="96">
        <v>0</v>
      </c>
      <c r="G41" s="96"/>
      <c r="H41" s="96"/>
      <c r="I41" s="96">
        <v>6000</v>
      </c>
      <c r="J41" s="96">
        <v>5000</v>
      </c>
      <c r="K41" s="96">
        <v>5000</v>
      </c>
      <c r="L41"/>
    </row>
    <row r="42" spans="1:12" s="26" customFormat="1" ht="12.75">
      <c r="A42" s="113" t="s">
        <v>101</v>
      </c>
      <c r="B42" s="114"/>
      <c r="C42" s="115"/>
      <c r="D42" s="115"/>
      <c r="E42" s="115"/>
      <c r="F42" s="115"/>
      <c r="G42" s="115"/>
      <c r="H42" s="115"/>
      <c r="I42" s="115"/>
      <c r="J42" s="115"/>
      <c r="K42" s="115"/>
      <c r="L42"/>
    </row>
    <row r="43" spans="1:12" ht="12.75">
      <c r="A43" t="s">
        <v>102</v>
      </c>
      <c r="D43" s="131">
        <f>SUM(D28:D41)-D42</f>
        <v>23000</v>
      </c>
      <c r="E43" s="131">
        <f aca="true" t="shared" si="1" ref="E43:K43">SUM(E28:E41)-E42</f>
        <v>24000</v>
      </c>
      <c r="F43" s="131">
        <f t="shared" si="1"/>
        <v>34000</v>
      </c>
      <c r="G43" s="131">
        <f t="shared" si="1"/>
        <v>29300</v>
      </c>
      <c r="H43" s="131">
        <f t="shared" si="1"/>
        <v>31000</v>
      </c>
      <c r="I43" s="131">
        <f t="shared" si="1"/>
        <v>40300</v>
      </c>
      <c r="J43" s="131">
        <f t="shared" si="1"/>
        <v>34300</v>
      </c>
      <c r="K43" s="131">
        <f t="shared" si="1"/>
        <v>30800</v>
      </c>
      <c r="L43"/>
    </row>
    <row r="44" spans="1:12" s="26" customFormat="1" ht="12.75">
      <c r="A44" s="26" t="s">
        <v>6</v>
      </c>
      <c r="D44" s="132">
        <f>(D$28*$C$28+D$29*$C$29+D$30*$C$30+D$31*$C$31+D$32*$C$32+D$33*$C$33+D$34*$C$34+D$35*$C$35+D$36*$C$36+D$37*$C$37+D$38*$C$38+D$39*$C$39+D$40*$C$40+D$41*$C$41)/(D$43+D42)</f>
        <v>23.282608695652176</v>
      </c>
      <c r="E44" s="132">
        <f aca="true" t="shared" si="2" ref="E44:K44">(E$28*$C$28+E$29*$C$29+E$30*$C$30+E$31*$C$31+E$32*$C$32+E$33*$C$33+E$34*$C$34+E$35*$C$35+E$36*$C$36+E$37*$C$37+E$38*$C$38+E$39*$C$39+E$40*$C$40+E$41*$C$41)/(E$43+E42)</f>
        <v>22.916666666666668</v>
      </c>
      <c r="F44" s="132">
        <f t="shared" si="2"/>
        <v>23.308823529411764</v>
      </c>
      <c r="G44" s="132">
        <f t="shared" si="2"/>
        <v>20.7679180887372</v>
      </c>
      <c r="H44" s="132">
        <f t="shared" si="2"/>
        <v>22.306451612903224</v>
      </c>
      <c r="I44" s="132">
        <f t="shared" si="2"/>
        <v>21.811414392059554</v>
      </c>
      <c r="J44" s="132">
        <f t="shared" si="2"/>
        <v>22.011661807580175</v>
      </c>
      <c r="K44" s="132">
        <f t="shared" si="2"/>
        <v>22.353896103896105</v>
      </c>
      <c r="L44"/>
    </row>
    <row r="45" spans="1:13" s="26" customFormat="1" ht="12.75">
      <c r="A45" s="26" t="s">
        <v>121</v>
      </c>
      <c r="B45" s="98">
        <v>3</v>
      </c>
      <c r="C45" s="26" t="s">
        <v>38</v>
      </c>
      <c r="D45" s="50">
        <f>$B$45/100*POWER(1+$B$45/100,D44)/(POWER(1+$B$45/100,D44)-1)*100</f>
        <v>6.029868241368965</v>
      </c>
      <c r="E45" s="50">
        <f aca="true" t="shared" si="3" ref="E45:K45">$B$45/100*POWER(1+$B$45/100,E44)/(POWER(1+$B$45/100,E44)-1)*100</f>
        <v>6.096834646472677</v>
      </c>
      <c r="F45" s="50">
        <f t="shared" si="3"/>
        <v>6.02515481869228</v>
      </c>
      <c r="G45" s="50">
        <f t="shared" si="3"/>
        <v>6.539503487119805</v>
      </c>
      <c r="H45" s="50">
        <f t="shared" si="3"/>
        <v>6.213577650067182</v>
      </c>
      <c r="I45" s="50">
        <f t="shared" si="3"/>
        <v>6.3132620904383225</v>
      </c>
      <c r="J45" s="50">
        <f t="shared" si="3"/>
        <v>6.272379730793178</v>
      </c>
      <c r="K45" s="50">
        <f t="shared" si="3"/>
        <v>6.204263870924569</v>
      </c>
      <c r="L45"/>
      <c r="M45" s="28"/>
    </row>
    <row r="46" spans="1:13" s="2" customFormat="1" ht="12">
      <c r="A46" s="42" t="s">
        <v>103</v>
      </c>
      <c r="B46" s="43"/>
      <c r="C46" s="44" t="s">
        <v>7</v>
      </c>
      <c r="D46" s="51">
        <f>D43*D45/100</f>
        <v>1386.8696955148619</v>
      </c>
      <c r="E46" s="51">
        <f aca="true" t="shared" si="4" ref="E46:K46">E43*E45/100</f>
        <v>1463.2403151534425</v>
      </c>
      <c r="F46" s="51">
        <f t="shared" si="4"/>
        <v>2048.552638355375</v>
      </c>
      <c r="G46" s="51">
        <f t="shared" si="4"/>
        <v>1916.0745217261026</v>
      </c>
      <c r="H46" s="51">
        <f t="shared" si="4"/>
        <v>1926.2090715208265</v>
      </c>
      <c r="I46" s="51">
        <f t="shared" si="4"/>
        <v>2544.244622446644</v>
      </c>
      <c r="J46" s="51">
        <f t="shared" si="4"/>
        <v>2151.4262476620597</v>
      </c>
      <c r="K46" s="51">
        <f t="shared" si="4"/>
        <v>1910.9132722447673</v>
      </c>
      <c r="L46"/>
      <c r="M46" s="3"/>
    </row>
    <row r="47" spans="1:12" ht="15">
      <c r="A47" s="4" t="s">
        <v>104</v>
      </c>
      <c r="D47" s="16" t="s">
        <v>3</v>
      </c>
      <c r="E47" s="16" t="s">
        <v>54</v>
      </c>
      <c r="F47" s="128" t="s">
        <v>30</v>
      </c>
      <c r="G47" s="16" t="s">
        <v>27</v>
      </c>
      <c r="H47" s="30" t="s">
        <v>82</v>
      </c>
      <c r="I47" s="33" t="s">
        <v>0</v>
      </c>
      <c r="J47" s="33" t="s">
        <v>1</v>
      </c>
      <c r="K47" s="112" t="s">
        <v>113</v>
      </c>
      <c r="L47"/>
    </row>
    <row r="48" spans="1:12" ht="15">
      <c r="A48" s="4"/>
      <c r="C48" s="10" t="s">
        <v>35</v>
      </c>
      <c r="D48" s="52">
        <f aca="true" t="shared" si="5" ref="D48:K48">D21</f>
        <v>0.98</v>
      </c>
      <c r="E48" s="52">
        <f t="shared" si="5"/>
        <v>1</v>
      </c>
      <c r="F48" s="52">
        <f t="shared" si="5"/>
        <v>3.6</v>
      </c>
      <c r="G48" s="52">
        <f t="shared" si="5"/>
        <v>2.8</v>
      </c>
      <c r="H48" s="52">
        <f t="shared" si="5"/>
        <v>0.82</v>
      </c>
      <c r="I48" s="52">
        <f t="shared" si="5"/>
        <v>0.82</v>
      </c>
      <c r="J48" s="52">
        <f t="shared" si="5"/>
        <v>0.98</v>
      </c>
      <c r="K48" s="52">
        <f t="shared" si="5"/>
        <v>1</v>
      </c>
      <c r="L48"/>
    </row>
    <row r="49" spans="1:12" ht="12">
      <c r="A49" t="s">
        <v>105</v>
      </c>
      <c r="C49" s="10" t="s">
        <v>136</v>
      </c>
      <c r="D49" s="18">
        <f aca="true" t="shared" si="6" ref="D49:J49">D19*D20</f>
        <v>30000</v>
      </c>
      <c r="E49" s="18">
        <f t="shared" si="6"/>
        <v>29400</v>
      </c>
      <c r="F49" s="18">
        <f t="shared" si="6"/>
        <v>8166.666666666666</v>
      </c>
      <c r="G49" s="18">
        <f t="shared" si="6"/>
        <v>10500</v>
      </c>
      <c r="H49" s="18">
        <f t="shared" si="6"/>
        <v>35853.65853658537</v>
      </c>
      <c r="I49" s="18">
        <f t="shared" si="6"/>
        <v>28682.926829268297</v>
      </c>
      <c r="J49" s="18">
        <f t="shared" si="6"/>
        <v>25500</v>
      </c>
      <c r="K49" s="18">
        <f>K19*K20</f>
        <v>24989.999999999996</v>
      </c>
      <c r="L49"/>
    </row>
    <row r="50" spans="1:12" ht="12">
      <c r="A50" s="22" t="s">
        <v>104</v>
      </c>
      <c r="D50" s="16"/>
      <c r="E50" s="16"/>
      <c r="F50" s="16"/>
      <c r="G50" s="16"/>
      <c r="H50" s="16"/>
      <c r="I50" s="16"/>
      <c r="J50" s="16"/>
      <c r="L50"/>
    </row>
    <row r="51" spans="1:12" ht="12">
      <c r="A51" t="s">
        <v>11</v>
      </c>
      <c r="B51" s="94">
        <v>120</v>
      </c>
      <c r="C51" t="s">
        <v>122</v>
      </c>
      <c r="D51" s="18">
        <f>D19*B51/100</f>
        <v>3600</v>
      </c>
      <c r="E51" s="18"/>
      <c r="F51" s="18"/>
      <c r="G51" s="18"/>
      <c r="H51" s="18"/>
      <c r="I51" s="18"/>
      <c r="J51" s="18">
        <f>J19*B51/100</f>
        <v>3060</v>
      </c>
      <c r="K51" s="18"/>
      <c r="L51"/>
    </row>
    <row r="52" spans="1:12" ht="12">
      <c r="A52" t="s">
        <v>12</v>
      </c>
      <c r="B52" s="94">
        <v>300</v>
      </c>
      <c r="C52" t="s">
        <v>40</v>
      </c>
      <c r="D52" s="18"/>
      <c r="E52" s="18">
        <f>B52</f>
        <v>300</v>
      </c>
      <c r="F52" s="18"/>
      <c r="G52" s="18"/>
      <c r="H52" s="18"/>
      <c r="I52" s="18"/>
      <c r="J52" s="18"/>
      <c r="K52" s="18">
        <f>B52</f>
        <v>300</v>
      </c>
      <c r="L52"/>
    </row>
    <row r="53" spans="1:12" ht="12">
      <c r="A53" t="s">
        <v>13</v>
      </c>
      <c r="B53" s="94">
        <v>10</v>
      </c>
      <c r="C53" t="s">
        <v>41</v>
      </c>
      <c r="D53" s="18"/>
      <c r="E53" s="18">
        <f>E19*B53/10</f>
        <v>2910.891089108911</v>
      </c>
      <c r="F53" s="18"/>
      <c r="G53" s="18"/>
      <c r="H53" s="18"/>
      <c r="I53" s="18"/>
      <c r="J53" s="18"/>
      <c r="K53" s="18">
        <f>K19*B53/10</f>
        <v>2474.257425742574</v>
      </c>
      <c r="L53"/>
    </row>
    <row r="54" spans="1:12" ht="12">
      <c r="A54" t="s">
        <v>14</v>
      </c>
      <c r="B54" s="94">
        <v>125</v>
      </c>
      <c r="C54" t="s">
        <v>40</v>
      </c>
      <c r="D54" s="18"/>
      <c r="E54" s="18"/>
      <c r="F54" s="18">
        <f>B54</f>
        <v>125</v>
      </c>
      <c r="G54" s="18">
        <f>B54</f>
        <v>125</v>
      </c>
      <c r="H54" s="18"/>
      <c r="I54" s="18"/>
      <c r="J54" s="18"/>
      <c r="K54" s="18"/>
      <c r="L54"/>
    </row>
    <row r="55" spans="1:12" ht="12">
      <c r="A55" t="s">
        <v>15</v>
      </c>
      <c r="B55" s="94">
        <v>26</v>
      </c>
      <c r="C55" t="s">
        <v>41</v>
      </c>
      <c r="D55" s="133">
        <f aca="true" t="shared" si="7" ref="D55:K55">D22*$B55*0.67/100</f>
        <v>67.938</v>
      </c>
      <c r="E55" s="133">
        <f t="shared" si="7"/>
        <v>51.214800000000004</v>
      </c>
      <c r="F55" s="133">
        <f t="shared" si="7"/>
        <v>0</v>
      </c>
      <c r="G55" s="133">
        <f t="shared" si="7"/>
        <v>0</v>
      </c>
      <c r="H55" s="133">
        <f t="shared" si="7"/>
        <v>93.68560975609756</v>
      </c>
      <c r="I55" s="133">
        <f t="shared" si="7"/>
        <v>92.36848780487806</v>
      </c>
      <c r="J55" s="133">
        <f t="shared" si="7"/>
        <v>75.16730000000001</v>
      </c>
      <c r="K55" s="133">
        <f t="shared" si="7"/>
        <v>60.95258</v>
      </c>
      <c r="L55"/>
    </row>
    <row r="56" spans="1:12" ht="12">
      <c r="A56" t="s">
        <v>16</v>
      </c>
      <c r="B56" s="94">
        <v>26</v>
      </c>
      <c r="C56" t="s">
        <v>41</v>
      </c>
      <c r="D56" s="133">
        <f aca="true" t="shared" si="8" ref="D56:K56">D22*$B56*0.33/100</f>
        <v>33.462</v>
      </c>
      <c r="E56" s="133">
        <f t="shared" si="8"/>
        <v>25.2252</v>
      </c>
      <c r="F56" s="133">
        <f t="shared" si="8"/>
        <v>0</v>
      </c>
      <c r="G56" s="133">
        <f t="shared" si="8"/>
        <v>0</v>
      </c>
      <c r="H56" s="133">
        <f t="shared" si="8"/>
        <v>46.14365853658537</v>
      </c>
      <c r="I56" s="133">
        <f t="shared" si="8"/>
        <v>45.494926829268294</v>
      </c>
      <c r="J56" s="133">
        <f t="shared" si="8"/>
        <v>37.0227</v>
      </c>
      <c r="K56" s="133">
        <f t="shared" si="8"/>
        <v>30.02142</v>
      </c>
      <c r="L56"/>
    </row>
    <row r="57" spans="1:12" ht="12">
      <c r="A57" t="s">
        <v>17</v>
      </c>
      <c r="B57" s="94">
        <v>24</v>
      </c>
      <c r="C57" t="s">
        <v>41</v>
      </c>
      <c r="D57" s="133"/>
      <c r="E57" s="133"/>
      <c r="F57" s="133">
        <f>F19*B57/100*0.67</f>
        <v>1313.2</v>
      </c>
      <c r="G57" s="133">
        <f>G19*B57*0.67/100</f>
        <v>1688.4</v>
      </c>
      <c r="H57" s="133"/>
      <c r="I57" s="133"/>
      <c r="J57" s="133"/>
      <c r="K57" s="133"/>
      <c r="L57"/>
    </row>
    <row r="58" spans="1:12" ht="12">
      <c r="A58" t="s">
        <v>18</v>
      </c>
      <c r="B58" s="94">
        <v>12</v>
      </c>
      <c r="C58" t="s">
        <v>41</v>
      </c>
      <c r="D58" s="133"/>
      <c r="E58" s="133"/>
      <c r="F58" s="133">
        <f>F19*B58*0.33/100</f>
        <v>323.4</v>
      </c>
      <c r="G58" s="133">
        <f>G19*B58*0.33/100</f>
        <v>415.8</v>
      </c>
      <c r="H58" s="133"/>
      <c r="I58" s="133"/>
      <c r="J58" s="133"/>
      <c r="K58" s="133"/>
      <c r="L58"/>
    </row>
    <row r="59" spans="1:12" ht="12">
      <c r="A59" t="s">
        <v>28</v>
      </c>
      <c r="B59" s="99">
        <v>360</v>
      </c>
      <c r="C59" t="s">
        <v>44</v>
      </c>
      <c r="D59" s="18"/>
      <c r="E59" s="18"/>
      <c r="F59" s="18"/>
      <c r="G59" s="18"/>
      <c r="H59" s="18">
        <f>H19*B59</f>
        <v>2482.176360225141</v>
      </c>
      <c r="I59" s="18">
        <f>I19*B59</f>
        <v>1985.741088180113</v>
      </c>
      <c r="J59" s="18"/>
      <c r="K59" s="18"/>
      <c r="L59"/>
    </row>
    <row r="60" spans="1:12" s="2" customFormat="1" ht="12">
      <c r="A60" s="42" t="s">
        <v>106</v>
      </c>
      <c r="B60" s="43"/>
      <c r="C60" s="44" t="s">
        <v>7</v>
      </c>
      <c r="D60" s="51">
        <f aca="true" t="shared" si="9" ref="D60:K60">SUM(D51:D59)</f>
        <v>3701.4</v>
      </c>
      <c r="E60" s="51">
        <f t="shared" si="9"/>
        <v>3287.331089108911</v>
      </c>
      <c r="F60" s="51">
        <f t="shared" si="9"/>
        <v>1761.6</v>
      </c>
      <c r="G60" s="51">
        <f t="shared" si="9"/>
        <v>2229.2000000000003</v>
      </c>
      <c r="H60" s="51">
        <f t="shared" si="9"/>
        <v>2622.005628517824</v>
      </c>
      <c r="I60" s="51">
        <f t="shared" si="9"/>
        <v>2123.6045028142594</v>
      </c>
      <c r="J60" s="51">
        <f t="shared" si="9"/>
        <v>3172.19</v>
      </c>
      <c r="K60" s="51">
        <f t="shared" si="9"/>
        <v>2865.231425742574</v>
      </c>
      <c r="L60"/>
    </row>
    <row r="61" spans="4:12" ht="6.75" customHeight="1">
      <c r="D61" s="16"/>
      <c r="E61" s="16"/>
      <c r="F61" s="16"/>
      <c r="G61" s="16"/>
      <c r="H61" s="16"/>
      <c r="I61" s="16"/>
      <c r="J61" s="16"/>
      <c r="K61" s="16"/>
      <c r="L61"/>
    </row>
    <row r="62" spans="1:12" ht="15">
      <c r="A62" s="4" t="s">
        <v>61</v>
      </c>
      <c r="D62" s="16"/>
      <c r="E62" s="16"/>
      <c r="F62" s="16"/>
      <c r="G62" s="16"/>
      <c r="H62" s="16"/>
      <c r="I62" s="16"/>
      <c r="J62" s="16"/>
      <c r="K62" s="16"/>
      <c r="L62"/>
    </row>
    <row r="63" spans="1:12" ht="12">
      <c r="A63" t="s">
        <v>107</v>
      </c>
      <c r="D63" s="100">
        <v>400</v>
      </c>
      <c r="E63" s="100">
        <v>300</v>
      </c>
      <c r="F63" s="100">
        <v>100</v>
      </c>
      <c r="G63" s="100">
        <v>200</v>
      </c>
      <c r="H63" s="100">
        <v>500</v>
      </c>
      <c r="I63" s="100">
        <v>500</v>
      </c>
      <c r="J63" s="100">
        <v>400</v>
      </c>
      <c r="K63" s="100">
        <v>300</v>
      </c>
      <c r="L63"/>
    </row>
    <row r="64" spans="1:12" ht="12">
      <c r="A64" t="s">
        <v>10</v>
      </c>
      <c r="D64" s="100">
        <v>40</v>
      </c>
      <c r="E64" s="100">
        <v>20</v>
      </c>
      <c r="F64" s="100"/>
      <c r="G64" s="100"/>
      <c r="H64" s="100"/>
      <c r="I64" s="100"/>
      <c r="J64" s="100">
        <v>40</v>
      </c>
      <c r="K64" s="100">
        <v>20</v>
      </c>
      <c r="L64"/>
    </row>
    <row r="65" spans="1:12" ht="12">
      <c r="A65" t="s">
        <v>19</v>
      </c>
      <c r="D65" s="100">
        <v>190</v>
      </c>
      <c r="E65" s="100">
        <v>47</v>
      </c>
      <c r="F65" s="100"/>
      <c r="G65" s="100"/>
      <c r="H65" s="100">
        <v>190</v>
      </c>
      <c r="I65" s="100">
        <v>190</v>
      </c>
      <c r="J65" s="100">
        <v>190</v>
      </c>
      <c r="K65" s="100">
        <v>47</v>
      </c>
      <c r="L65"/>
    </row>
    <row r="66" spans="1:12" ht="12">
      <c r="A66" t="s">
        <v>20</v>
      </c>
      <c r="D66" s="100">
        <v>200</v>
      </c>
      <c r="E66" s="100"/>
      <c r="F66" s="100"/>
      <c r="G66" s="100"/>
      <c r="H66" s="100"/>
      <c r="I66" s="100"/>
      <c r="J66" s="100">
        <v>200</v>
      </c>
      <c r="K66" s="100"/>
      <c r="L66"/>
    </row>
    <row r="67" spans="1:12" ht="12">
      <c r="A67" t="s">
        <v>21</v>
      </c>
      <c r="D67" s="107">
        <f>$B$45*D51/100</f>
        <v>108</v>
      </c>
      <c r="E67" s="107"/>
      <c r="F67" s="107"/>
      <c r="G67" s="107"/>
      <c r="H67" s="107">
        <f>$B$45*H59/100</f>
        <v>74.46529080675423</v>
      </c>
      <c r="I67" s="107">
        <f>$B$45*I59/100</f>
        <v>59.57223264540338</v>
      </c>
      <c r="J67" s="107">
        <f>$B$45*J51/100</f>
        <v>91.8</v>
      </c>
      <c r="K67" s="107"/>
      <c r="L67"/>
    </row>
    <row r="68" spans="1:12" s="2" customFormat="1" ht="12">
      <c r="A68" s="42" t="s">
        <v>108</v>
      </c>
      <c r="B68" s="43"/>
      <c r="C68" s="44" t="s">
        <v>7</v>
      </c>
      <c r="D68" s="51">
        <f aca="true" t="shared" si="10" ref="D68:K68">SUM(D63:D67)</f>
        <v>938</v>
      </c>
      <c r="E68" s="51">
        <f t="shared" si="10"/>
        <v>367</v>
      </c>
      <c r="F68" s="51">
        <f t="shared" si="10"/>
        <v>100</v>
      </c>
      <c r="G68" s="51">
        <f t="shared" si="10"/>
        <v>200</v>
      </c>
      <c r="H68" s="51">
        <f t="shared" si="10"/>
        <v>764.4652908067542</v>
      </c>
      <c r="I68" s="51">
        <f t="shared" si="10"/>
        <v>749.5722326454033</v>
      </c>
      <c r="J68" s="51">
        <f t="shared" si="10"/>
        <v>921.8</v>
      </c>
      <c r="K68" s="51">
        <f t="shared" si="10"/>
        <v>367</v>
      </c>
      <c r="L68"/>
    </row>
    <row r="69" spans="4:12" ht="4.5" customHeight="1">
      <c r="D69" s="16"/>
      <c r="E69" s="16"/>
      <c r="F69" s="16"/>
      <c r="G69" s="16"/>
      <c r="H69" s="16"/>
      <c r="I69" s="16"/>
      <c r="J69" s="16"/>
      <c r="K69" s="16"/>
      <c r="L69"/>
    </row>
    <row r="70" spans="1:12" ht="15">
      <c r="A70" s="4" t="s">
        <v>109</v>
      </c>
      <c r="D70" s="16" t="s">
        <v>3</v>
      </c>
      <c r="E70" s="16" t="s">
        <v>54</v>
      </c>
      <c r="F70" s="128" t="s">
        <v>30</v>
      </c>
      <c r="G70" s="16" t="s">
        <v>27</v>
      </c>
      <c r="H70" s="30" t="s">
        <v>82</v>
      </c>
      <c r="I70" s="33" t="s">
        <v>0</v>
      </c>
      <c r="J70" s="33" t="s">
        <v>1</v>
      </c>
      <c r="K70" s="112" t="s">
        <v>113</v>
      </c>
      <c r="L70"/>
    </row>
    <row r="71" spans="1:12" ht="12">
      <c r="A71" s="61" t="s">
        <v>29</v>
      </c>
      <c r="D71" s="18">
        <f aca="true" t="shared" si="11" ref="D71:J71">D46</f>
        <v>1386.8696955148619</v>
      </c>
      <c r="E71" s="18">
        <f t="shared" si="11"/>
        <v>1463.2403151534425</v>
      </c>
      <c r="F71" s="18">
        <f t="shared" si="11"/>
        <v>2048.552638355375</v>
      </c>
      <c r="G71" s="18">
        <f t="shared" si="11"/>
        <v>1916.0745217261026</v>
      </c>
      <c r="H71" s="18">
        <f t="shared" si="11"/>
        <v>1926.2090715208265</v>
      </c>
      <c r="I71" s="18">
        <f t="shared" si="11"/>
        <v>2544.244622446644</v>
      </c>
      <c r="J71" s="18">
        <f t="shared" si="11"/>
        <v>2151.4262476620597</v>
      </c>
      <c r="K71" s="18">
        <f>K46</f>
        <v>1910.9132722447673</v>
      </c>
      <c r="L71"/>
    </row>
    <row r="72" spans="1:12" ht="12">
      <c r="A72" t="s">
        <v>60</v>
      </c>
      <c r="D72" s="18">
        <f aca="true" t="shared" si="12" ref="D72:J72">D60</f>
        <v>3701.4</v>
      </c>
      <c r="E72" s="18">
        <f t="shared" si="12"/>
        <v>3287.331089108911</v>
      </c>
      <c r="F72" s="18">
        <f t="shared" si="12"/>
        <v>1761.6</v>
      </c>
      <c r="G72" s="18">
        <f t="shared" si="12"/>
        <v>2229.2000000000003</v>
      </c>
      <c r="H72" s="18">
        <f t="shared" si="12"/>
        <v>2622.005628517824</v>
      </c>
      <c r="I72" s="18">
        <f t="shared" si="12"/>
        <v>2123.6045028142594</v>
      </c>
      <c r="J72" s="18">
        <f t="shared" si="12"/>
        <v>3172.19</v>
      </c>
      <c r="K72" s="18">
        <f>K60</f>
        <v>2865.231425742574</v>
      </c>
      <c r="L72"/>
    </row>
    <row r="73" spans="1:12" ht="12">
      <c r="A73" t="s">
        <v>61</v>
      </c>
      <c r="D73" s="18">
        <f aca="true" t="shared" si="13" ref="D73:J73">D68</f>
        <v>938</v>
      </c>
      <c r="E73" s="18">
        <f t="shared" si="13"/>
        <v>367</v>
      </c>
      <c r="F73" s="18">
        <f t="shared" si="13"/>
        <v>100</v>
      </c>
      <c r="G73" s="18">
        <f t="shared" si="13"/>
        <v>200</v>
      </c>
      <c r="H73" s="18">
        <f t="shared" si="13"/>
        <v>764.4652908067542</v>
      </c>
      <c r="I73" s="18">
        <f t="shared" si="13"/>
        <v>749.5722326454033</v>
      </c>
      <c r="J73" s="18">
        <f t="shared" si="13"/>
        <v>921.8</v>
      </c>
      <c r="K73" s="18">
        <f>K68</f>
        <v>367</v>
      </c>
      <c r="L73"/>
    </row>
    <row r="74" spans="1:12" s="2" customFormat="1" ht="12">
      <c r="A74" s="42" t="s">
        <v>110</v>
      </c>
      <c r="B74" s="43"/>
      <c r="C74" s="45" t="s">
        <v>7</v>
      </c>
      <c r="D74" s="51">
        <f>SUM(D71:D73)</f>
        <v>6026.269695514862</v>
      </c>
      <c r="E74" s="51">
        <f aca="true" t="shared" si="14" ref="E74:K74">SUM(E71:E73)</f>
        <v>5117.571404262353</v>
      </c>
      <c r="F74" s="51">
        <f t="shared" si="14"/>
        <v>3910.152638355375</v>
      </c>
      <c r="G74" s="51">
        <f t="shared" si="14"/>
        <v>4345.274521726103</v>
      </c>
      <c r="H74" s="51">
        <f t="shared" si="14"/>
        <v>5312.679990845405</v>
      </c>
      <c r="I74" s="51">
        <f t="shared" si="14"/>
        <v>5417.421357906307</v>
      </c>
      <c r="J74" s="51">
        <f t="shared" si="14"/>
        <v>6245.4162476620595</v>
      </c>
      <c r="K74" s="51">
        <f t="shared" si="14"/>
        <v>5143.144697987342</v>
      </c>
      <c r="L74"/>
    </row>
    <row r="75" spans="1:12" ht="12">
      <c r="A75" t="s">
        <v>22</v>
      </c>
      <c r="C75" s="16" t="s">
        <v>38</v>
      </c>
      <c r="D75" s="16">
        <v>100</v>
      </c>
      <c r="E75" s="18">
        <f aca="true" t="shared" si="15" ref="E75:K75">E74/$D$74*100</f>
        <v>84.92104839036956</v>
      </c>
      <c r="F75" s="18">
        <f t="shared" si="15"/>
        <v>64.88512522540374</v>
      </c>
      <c r="G75" s="18">
        <f t="shared" si="15"/>
        <v>72.10554358295872</v>
      </c>
      <c r="H75" s="18">
        <f t="shared" si="15"/>
        <v>88.15868288801352</v>
      </c>
      <c r="I75" s="18">
        <f t="shared" si="15"/>
        <v>89.89676253517662</v>
      </c>
      <c r="J75" s="18">
        <f t="shared" si="15"/>
        <v>103.63652082000745</v>
      </c>
      <c r="K75" s="18">
        <f t="shared" si="15"/>
        <v>85.34541196878727</v>
      </c>
      <c r="L75"/>
    </row>
    <row r="76" spans="3:12" ht="12">
      <c r="C76" s="16"/>
      <c r="D76" s="16"/>
      <c r="E76" s="18"/>
      <c r="F76" s="18"/>
      <c r="G76" s="18"/>
      <c r="H76" s="18"/>
      <c r="I76" s="18"/>
      <c r="J76" s="18"/>
      <c r="K76" s="18"/>
      <c r="L76"/>
    </row>
    <row r="77" spans="1:12" s="2" customFormat="1" ht="12">
      <c r="A77" s="2" t="s">
        <v>31</v>
      </c>
      <c r="C77" s="21" t="s">
        <v>41</v>
      </c>
      <c r="D77" s="105">
        <f>D74/$F$18*100</f>
        <v>20.497515971138988</v>
      </c>
      <c r="E77" s="105">
        <f aca="true" t="shared" si="16" ref="E77:J77">E74/$F$18*100</f>
        <v>17.406705456674672</v>
      </c>
      <c r="F77" s="105">
        <f t="shared" si="16"/>
        <v>13.299838905970663</v>
      </c>
      <c r="G77" s="105">
        <f t="shared" si="16"/>
        <v>14.779845311993547</v>
      </c>
      <c r="H77" s="105">
        <f t="shared" si="16"/>
        <v>18.070340104916344</v>
      </c>
      <c r="I77" s="105">
        <f t="shared" si="16"/>
        <v>18.426603258184716</v>
      </c>
      <c r="J77" s="105">
        <f t="shared" si="16"/>
        <v>21.242912407013808</v>
      </c>
      <c r="K77" s="105">
        <f>K74/$F$18*100</f>
        <v>17.493689448936536</v>
      </c>
      <c r="L77"/>
    </row>
    <row r="78" spans="4:14" s="2" customFormat="1" ht="5.25" customHeight="1">
      <c r="D78" s="53"/>
      <c r="E78" s="53"/>
      <c r="F78" s="53"/>
      <c r="G78" s="53"/>
      <c r="H78" s="53"/>
      <c r="I78" s="53"/>
      <c r="J78" s="53"/>
      <c r="K78" s="53"/>
      <c r="L78" s="54"/>
      <c r="N78" s="11"/>
    </row>
    <row r="79" ht="9.75" customHeight="1"/>
    <row r="80" spans="1:12" ht="15">
      <c r="A80" s="4" t="s">
        <v>69</v>
      </c>
      <c r="D80" s="16"/>
      <c r="E80" s="16"/>
      <c r="F80" s="16"/>
      <c r="G80" s="16"/>
      <c r="H80" s="16"/>
      <c r="I80" s="16"/>
      <c r="J80" s="16"/>
      <c r="K80" s="16"/>
      <c r="L80" s="25"/>
    </row>
    <row r="81" spans="4:12" s="2" customFormat="1" ht="12">
      <c r="D81" s="16" t="s">
        <v>3</v>
      </c>
      <c r="E81" s="16" t="s">
        <v>54</v>
      </c>
      <c r="F81" s="128" t="s">
        <v>30</v>
      </c>
      <c r="G81" s="16" t="s">
        <v>27</v>
      </c>
      <c r="H81" s="30" t="s">
        <v>82</v>
      </c>
      <c r="I81" s="33" t="s">
        <v>0</v>
      </c>
      <c r="J81" s="33" t="s">
        <v>1</v>
      </c>
      <c r="K81" s="112" t="s">
        <v>113</v>
      </c>
      <c r="L81"/>
    </row>
    <row r="82" spans="1:12" ht="12">
      <c r="A82" t="s">
        <v>70</v>
      </c>
      <c r="C82" s="13" t="s">
        <v>7</v>
      </c>
      <c r="D82" s="53">
        <f aca="true" t="shared" si="17" ref="D82:J82">D74</f>
        <v>6026.269695514862</v>
      </c>
      <c r="E82" s="53">
        <f t="shared" si="17"/>
        <v>5117.571404262353</v>
      </c>
      <c r="F82" s="53">
        <f t="shared" si="17"/>
        <v>3910.152638355375</v>
      </c>
      <c r="G82" s="53">
        <f t="shared" si="17"/>
        <v>4345.274521726103</v>
      </c>
      <c r="H82" s="53">
        <f t="shared" si="17"/>
        <v>5312.679990845405</v>
      </c>
      <c r="I82" s="53">
        <f t="shared" si="17"/>
        <v>5417.421357906307</v>
      </c>
      <c r="J82" s="53">
        <f t="shared" si="17"/>
        <v>6245.4162476620595</v>
      </c>
      <c r="K82" s="53">
        <f>K74</f>
        <v>5143.144697987342</v>
      </c>
      <c r="L82"/>
    </row>
    <row r="83" spans="1:12" ht="12">
      <c r="A83" t="s">
        <v>123</v>
      </c>
      <c r="B83" s="94">
        <v>60</v>
      </c>
      <c r="C83" s="102" t="s">
        <v>42</v>
      </c>
      <c r="D83" s="18">
        <f aca="true" t="shared" si="18" ref="D83:J83">$B83*D111</f>
        <v>477</v>
      </c>
      <c r="E83" s="18">
        <f t="shared" si="18"/>
        <v>349.3069306930693</v>
      </c>
      <c r="F83" s="18">
        <f t="shared" si="18"/>
        <v>0</v>
      </c>
      <c r="G83" s="18">
        <f t="shared" si="18"/>
        <v>0</v>
      </c>
      <c r="H83" s="18">
        <f t="shared" si="18"/>
        <v>0</v>
      </c>
      <c r="I83" s="18">
        <f t="shared" si="18"/>
        <v>0</v>
      </c>
      <c r="J83" s="18">
        <f t="shared" si="18"/>
        <v>405.45000000000005</v>
      </c>
      <c r="K83" s="18">
        <f>$B83*K111</f>
        <v>296.91089108910893</v>
      </c>
      <c r="L83"/>
    </row>
    <row r="84" spans="1:12" ht="12">
      <c r="A84" t="s">
        <v>127</v>
      </c>
      <c r="C84" s="10" t="s">
        <v>41</v>
      </c>
      <c r="D84" s="101">
        <v>4.5</v>
      </c>
      <c r="E84" s="101">
        <v>3</v>
      </c>
      <c r="F84" s="101">
        <v>5</v>
      </c>
      <c r="G84" s="101">
        <v>5</v>
      </c>
      <c r="H84" s="101">
        <v>1.5</v>
      </c>
      <c r="I84" s="101">
        <v>1.5</v>
      </c>
      <c r="J84" s="101">
        <v>4.5</v>
      </c>
      <c r="K84" s="101">
        <v>3</v>
      </c>
      <c r="L84"/>
    </row>
    <row r="85" spans="3:12" ht="12">
      <c r="C85" s="10" t="s">
        <v>39</v>
      </c>
      <c r="D85" s="18">
        <f aca="true" t="shared" si="19" ref="D85:K85">D49*D84/100</f>
        <v>1350</v>
      </c>
      <c r="E85" s="18">
        <f t="shared" si="19"/>
        <v>882</v>
      </c>
      <c r="F85" s="18">
        <f t="shared" si="19"/>
        <v>408.33333333333326</v>
      </c>
      <c r="G85" s="18">
        <f t="shared" si="19"/>
        <v>525</v>
      </c>
      <c r="H85" s="18">
        <f t="shared" si="19"/>
        <v>537.8048780487806</v>
      </c>
      <c r="I85" s="18">
        <f t="shared" si="19"/>
        <v>430.24390243902445</v>
      </c>
      <c r="J85" s="18">
        <f t="shared" si="19"/>
        <v>1147.5</v>
      </c>
      <c r="K85" s="18">
        <f t="shared" si="19"/>
        <v>749.6999999999998</v>
      </c>
      <c r="L85"/>
    </row>
    <row r="86" spans="4:12" ht="5.25" customHeight="1">
      <c r="D86" s="16"/>
      <c r="E86" s="16"/>
      <c r="F86" s="16"/>
      <c r="G86" s="16"/>
      <c r="H86" s="16"/>
      <c r="I86" s="16"/>
      <c r="J86" s="16"/>
      <c r="K86" s="16"/>
      <c r="L86"/>
    </row>
    <row r="87" spans="1:12" s="12" customFormat="1" ht="12">
      <c r="A87" s="46" t="s">
        <v>23</v>
      </c>
      <c r="B87" s="47"/>
      <c r="C87" s="48" t="s">
        <v>7</v>
      </c>
      <c r="D87" s="56">
        <f aca="true" t="shared" si="20" ref="D87:J87">SUM(D82:D83)+D85</f>
        <v>7853.269695514862</v>
      </c>
      <c r="E87" s="56">
        <f t="shared" si="20"/>
        <v>6348.878334955422</v>
      </c>
      <c r="F87" s="56">
        <f t="shared" si="20"/>
        <v>4318.485971688709</v>
      </c>
      <c r="G87" s="56">
        <f t="shared" si="20"/>
        <v>4870.274521726103</v>
      </c>
      <c r="H87" s="56">
        <f t="shared" si="20"/>
        <v>5850.484868894186</v>
      </c>
      <c r="I87" s="56">
        <f t="shared" si="20"/>
        <v>5847.665260345331</v>
      </c>
      <c r="J87" s="56">
        <f t="shared" si="20"/>
        <v>7798.366247662059</v>
      </c>
      <c r="K87" s="56">
        <f>SUM(K82:K83)+K85</f>
        <v>6189.755589076451</v>
      </c>
      <c r="L87"/>
    </row>
    <row r="88" spans="3:12" ht="12">
      <c r="C88" s="10"/>
      <c r="D88" s="18"/>
      <c r="E88" s="18"/>
      <c r="F88" s="18"/>
      <c r="G88" s="18"/>
      <c r="H88" s="18"/>
      <c r="I88" s="18"/>
      <c r="J88" s="18"/>
      <c r="K88" s="18"/>
      <c r="L88"/>
    </row>
    <row r="89" spans="1:12" s="12" customFormat="1" ht="12">
      <c r="A89" s="2" t="s">
        <v>32</v>
      </c>
      <c r="C89" s="13" t="s">
        <v>41</v>
      </c>
      <c r="D89" s="57">
        <f>D87/$F$18*100</f>
        <v>26.711801685424703</v>
      </c>
      <c r="E89" s="57">
        <f aca="true" t="shared" si="21" ref="E89:J89">E87/$F$18*100</f>
        <v>21.59482426855586</v>
      </c>
      <c r="F89" s="57">
        <f t="shared" si="21"/>
        <v>14.688727794859552</v>
      </c>
      <c r="G89" s="57">
        <f t="shared" si="21"/>
        <v>16.565559597707832</v>
      </c>
      <c r="H89" s="57">
        <f t="shared" si="21"/>
        <v>19.899608397599273</v>
      </c>
      <c r="I89" s="57">
        <f t="shared" si="21"/>
        <v>19.89001789233106</v>
      </c>
      <c r="J89" s="57">
        <f t="shared" si="21"/>
        <v>26.525055264156666</v>
      </c>
      <c r="K89" s="57">
        <f>K87/$F$18*100</f>
        <v>21.053590439035546</v>
      </c>
      <c r="L89" s="17"/>
    </row>
    <row r="90" spans="4:12" ht="12">
      <c r="D90" s="16"/>
      <c r="E90" s="16"/>
      <c r="F90" s="16"/>
      <c r="G90" s="16"/>
      <c r="H90" s="16"/>
      <c r="I90" s="16"/>
      <c r="J90" s="16"/>
      <c r="K90" s="16"/>
      <c r="L90" s="30"/>
    </row>
    <row r="91" spans="4:12" ht="12">
      <c r="D91" s="16"/>
      <c r="E91" s="16"/>
      <c r="F91" s="16"/>
      <c r="G91" s="16"/>
      <c r="H91" s="16"/>
      <c r="I91" s="16"/>
      <c r="J91" s="16"/>
      <c r="K91" s="16"/>
      <c r="L91" s="30"/>
    </row>
    <row r="92" spans="4:12" ht="12">
      <c r="D92" s="16"/>
      <c r="E92" s="16"/>
      <c r="F92" s="16"/>
      <c r="G92" s="16"/>
      <c r="H92" s="16"/>
      <c r="I92" s="16"/>
      <c r="J92" s="16"/>
      <c r="K92" s="16"/>
      <c r="L92" s="30"/>
    </row>
    <row r="93" spans="4:12" ht="12">
      <c r="D93" s="16"/>
      <c r="E93" s="16"/>
      <c r="F93" s="16"/>
      <c r="G93" s="16"/>
      <c r="H93" s="16"/>
      <c r="I93" s="16"/>
      <c r="J93" s="16"/>
      <c r="K93" s="16"/>
      <c r="L93" s="30"/>
    </row>
    <row r="94" spans="4:12" ht="12">
      <c r="D94" s="16"/>
      <c r="E94" s="16"/>
      <c r="F94" s="16"/>
      <c r="G94" s="16"/>
      <c r="H94" s="16"/>
      <c r="I94" s="16"/>
      <c r="J94" s="16"/>
      <c r="K94" s="16"/>
      <c r="L94" s="30"/>
    </row>
    <row r="95" spans="4:12" ht="12">
      <c r="D95" s="16"/>
      <c r="E95" s="16"/>
      <c r="F95" s="16"/>
      <c r="G95" s="16"/>
      <c r="H95" s="16"/>
      <c r="I95" s="16"/>
      <c r="J95" s="16"/>
      <c r="K95" s="16"/>
      <c r="L95" s="30"/>
    </row>
    <row r="96" spans="4:12" ht="12">
      <c r="D96" s="16"/>
      <c r="E96" s="16"/>
      <c r="F96" s="16"/>
      <c r="G96" s="16"/>
      <c r="H96" s="16"/>
      <c r="I96" s="16"/>
      <c r="J96" s="16"/>
      <c r="K96" s="16"/>
      <c r="L96" s="30"/>
    </row>
    <row r="97" spans="4:12" ht="12">
      <c r="D97" s="16"/>
      <c r="E97" s="16"/>
      <c r="F97" s="16"/>
      <c r="G97" s="16"/>
      <c r="H97" s="16"/>
      <c r="I97" s="16"/>
      <c r="J97" s="16"/>
      <c r="K97" s="16"/>
      <c r="L97" s="30"/>
    </row>
    <row r="98" spans="4:12" ht="12">
      <c r="D98" s="16"/>
      <c r="E98" s="16"/>
      <c r="F98" s="16"/>
      <c r="G98" s="16"/>
      <c r="H98" s="16"/>
      <c r="I98" s="16"/>
      <c r="J98" s="16"/>
      <c r="K98" s="16"/>
      <c r="L98" s="30"/>
    </row>
    <row r="99" spans="4:12" ht="12">
      <c r="D99" s="16"/>
      <c r="E99" s="16"/>
      <c r="F99" s="16"/>
      <c r="G99" s="16"/>
      <c r="H99" s="16"/>
      <c r="I99" s="16"/>
      <c r="J99" s="16"/>
      <c r="K99" s="16"/>
      <c r="L99" s="30"/>
    </row>
    <row r="100" spans="4:12" ht="12">
      <c r="D100" s="16"/>
      <c r="E100" s="16"/>
      <c r="F100" s="16"/>
      <c r="G100" s="16"/>
      <c r="H100" s="16"/>
      <c r="I100" s="16"/>
      <c r="J100" s="16"/>
      <c r="K100" s="16"/>
      <c r="L100" s="30"/>
    </row>
    <row r="101" spans="4:12" ht="12">
      <c r="D101" s="16"/>
      <c r="E101" s="16"/>
      <c r="F101" s="16"/>
      <c r="G101" s="16"/>
      <c r="H101" s="16"/>
      <c r="I101" s="16"/>
      <c r="J101" s="16"/>
      <c r="K101" s="16"/>
      <c r="L101" s="30"/>
    </row>
    <row r="102" spans="4:12" ht="12">
      <c r="D102" s="16"/>
      <c r="E102" s="16"/>
      <c r="F102" s="16"/>
      <c r="G102" s="16"/>
      <c r="H102" s="16"/>
      <c r="I102" s="16"/>
      <c r="J102" s="16"/>
      <c r="K102" s="16"/>
      <c r="L102" s="30"/>
    </row>
    <row r="103" spans="4:12" ht="12">
      <c r="D103" s="16"/>
      <c r="E103" s="16"/>
      <c r="F103" s="16"/>
      <c r="G103" s="16"/>
      <c r="H103" s="16"/>
      <c r="I103" s="16"/>
      <c r="J103" s="16"/>
      <c r="K103" s="16"/>
      <c r="L103" s="30"/>
    </row>
    <row r="104" spans="4:12" ht="12">
      <c r="D104" s="16"/>
      <c r="E104" s="16"/>
      <c r="F104" s="16"/>
      <c r="G104" s="16"/>
      <c r="H104" s="16"/>
      <c r="I104" s="16"/>
      <c r="J104" s="16"/>
      <c r="K104" s="16"/>
      <c r="L104" s="30"/>
    </row>
    <row r="105" spans="4:12" ht="12">
      <c r="D105" s="16"/>
      <c r="E105" s="16"/>
      <c r="F105" s="16"/>
      <c r="G105" s="16"/>
      <c r="H105" s="16"/>
      <c r="I105" s="16"/>
      <c r="J105" s="16"/>
      <c r="K105" s="16"/>
      <c r="L105" s="30"/>
    </row>
    <row r="106" spans="4:12" ht="12">
      <c r="D106" s="16"/>
      <c r="E106" s="16"/>
      <c r="F106" s="16"/>
      <c r="G106" s="16"/>
      <c r="H106" s="16"/>
      <c r="I106" s="16"/>
      <c r="J106" s="16"/>
      <c r="K106" s="16"/>
      <c r="L106" s="30"/>
    </row>
    <row r="107" spans="4:12" ht="12">
      <c r="D107" s="16"/>
      <c r="E107" s="16"/>
      <c r="F107" s="16"/>
      <c r="G107" s="16"/>
      <c r="H107" s="16"/>
      <c r="I107" s="16"/>
      <c r="J107" s="16"/>
      <c r="K107" s="16"/>
      <c r="L107" s="30"/>
    </row>
    <row r="108" spans="4:12" ht="12">
      <c r="D108" s="16"/>
      <c r="E108" s="16"/>
      <c r="F108" s="16"/>
      <c r="G108" s="16"/>
      <c r="H108" s="16"/>
      <c r="I108" s="16"/>
      <c r="J108" s="16"/>
      <c r="K108" s="16"/>
      <c r="L108" s="30"/>
    </row>
    <row r="109" spans="4:12" ht="12">
      <c r="D109" s="16"/>
      <c r="E109" s="16"/>
      <c r="F109" s="16"/>
      <c r="G109" s="16"/>
      <c r="H109" s="16"/>
      <c r="I109" s="16"/>
      <c r="J109" s="16"/>
      <c r="K109" s="16"/>
      <c r="L109" s="30"/>
    </row>
    <row r="110" spans="1:12" ht="15">
      <c r="A110" s="108" t="s">
        <v>65</v>
      </c>
      <c r="B110" s="17"/>
      <c r="C110" s="17"/>
      <c r="D110" s="127" t="s">
        <v>8</v>
      </c>
      <c r="E110" s="127" t="s">
        <v>9</v>
      </c>
      <c r="F110" s="129" t="s">
        <v>128</v>
      </c>
      <c r="G110" s="127" t="s">
        <v>129</v>
      </c>
      <c r="H110" s="33" t="s">
        <v>82</v>
      </c>
      <c r="I110" s="33" t="s">
        <v>0</v>
      </c>
      <c r="J110" s="33" t="s">
        <v>1</v>
      </c>
      <c r="K110" s="130" t="s">
        <v>113</v>
      </c>
      <c r="L110" s="17"/>
    </row>
    <row r="111" spans="1:12" ht="12">
      <c r="A111" s="116" t="s">
        <v>124</v>
      </c>
      <c r="C111" t="s">
        <v>67</v>
      </c>
      <c r="D111" s="58">
        <f>2.65*D19/1000</f>
        <v>7.95</v>
      </c>
      <c r="E111" s="58">
        <f>2*E19/1000</f>
        <v>5.821782178217822</v>
      </c>
      <c r="F111" s="58">
        <v>0</v>
      </c>
      <c r="G111" s="58">
        <v>0</v>
      </c>
      <c r="H111" s="58">
        <v>0</v>
      </c>
      <c r="I111" s="58">
        <v>0</v>
      </c>
      <c r="J111" s="58">
        <f>2.65*J19/1000</f>
        <v>6.7575</v>
      </c>
      <c r="K111" s="58">
        <f>2*K19/1000</f>
        <v>4.9485148514851485</v>
      </c>
      <c r="L111" s="17"/>
    </row>
    <row r="112" spans="1:12" ht="12">
      <c r="A112" s="17" t="s">
        <v>125</v>
      </c>
      <c r="C112" t="s">
        <v>67</v>
      </c>
      <c r="D112" s="58">
        <f>0.089075*3.6*F18/1000*1/D21</f>
        <v>9.620099999999999</v>
      </c>
      <c r="E112" s="58">
        <f>0.071056*3.6*F18/1000*1.02/E48</f>
        <v>7.6709783807999985</v>
      </c>
      <c r="F112" s="58">
        <f>0.043526*3.6*F18/1000*3.9/F21</f>
        <v>4.990691160000001</v>
      </c>
      <c r="G112" s="58">
        <f>0.060496*3.6*F18/1000*2.8/G21</f>
        <v>6.40289664</v>
      </c>
      <c r="H112" s="58">
        <f>0.018376*3.6*F18/1000*0.82/H21</f>
        <v>1.9449158400000002</v>
      </c>
      <c r="I112" s="58">
        <f>0.018376*3.6*F18/1000*(1-I23)*0.82/I21+0.009707*3.6*F18/1000*(I23)</f>
        <v>1.7614104480000001</v>
      </c>
      <c r="J112" s="58">
        <f>0.089075*3.6*F18/1000*(1-J23)*1/J21+0.009707*3.6*F18/1000*(J23)</f>
        <v>8.331193331999998</v>
      </c>
      <c r="K112" s="58">
        <f>0.071056*3.6*F18/1000*(1-K23)*1/K21+0.009707*3.6*F18/1000*(K23)</f>
        <v>6.546590315999999</v>
      </c>
      <c r="L112" s="17"/>
    </row>
    <row r="113" spans="1:12" ht="12">
      <c r="A113" s="17" t="s">
        <v>66</v>
      </c>
      <c r="C113" t="s">
        <v>68</v>
      </c>
      <c r="D113" s="58">
        <f>0.004362*3.6*F18/100*1/D21</f>
        <v>4.71096</v>
      </c>
      <c r="E113" s="58">
        <f>3.6*0.003699*F18/100*1.02/E48</f>
        <v>3.9933220320000005</v>
      </c>
      <c r="F113" s="58">
        <f>0.002111*3.6*F18/100*3.9/F21</f>
        <v>2.4204726</v>
      </c>
      <c r="G113" s="58">
        <f>0.002862*3.6*F18/100*2.8/G21</f>
        <v>3.0291408</v>
      </c>
      <c r="H113" s="58">
        <f>0.002393*3.6*F18/100*0.82/H21</f>
        <v>2.5327512000000003</v>
      </c>
      <c r="I113" s="58">
        <f>(0.002393*3.6*F18*(1-I23)*0.82/I21+0.001326*3.6*F18*(I23))/100</f>
        <v>2.3068886400000004</v>
      </c>
      <c r="J113" s="58">
        <f>(0.004362*3.6*F18*(1-J23)*1/J21+0.001326*3.6*F18*(J23))/100</f>
        <v>4.21483176</v>
      </c>
      <c r="K113" s="58">
        <f>(0.003699*3.6*F18*(1-K23)*1/K21+0.001326*3.6*F18*(K23))/100</f>
        <v>3.53828412</v>
      </c>
      <c r="L113" s="17"/>
    </row>
    <row r="114" spans="4:12" ht="12">
      <c r="D114" s="16"/>
      <c r="E114" s="16"/>
      <c r="F114" s="16"/>
      <c r="G114" s="16"/>
      <c r="H114" s="16"/>
      <c r="I114" s="16"/>
      <c r="J114" s="16"/>
      <c r="L114" s="17"/>
    </row>
    <row r="115" spans="4:12" ht="12">
      <c r="D115" s="16"/>
      <c r="E115" s="16"/>
      <c r="F115" s="16"/>
      <c r="G115" s="16"/>
      <c r="H115" s="16"/>
      <c r="I115" s="16"/>
      <c r="J115" s="16"/>
      <c r="K115" s="16"/>
      <c r="L115" s="30"/>
    </row>
    <row r="116" ht="12">
      <c r="L116" s="17"/>
    </row>
    <row r="117" ht="12">
      <c r="L117" s="17"/>
    </row>
    <row r="118" ht="12">
      <c r="L118" s="17"/>
    </row>
    <row r="119" ht="12">
      <c r="L119" s="17"/>
    </row>
    <row r="120" ht="12">
      <c r="L120" s="17"/>
    </row>
    <row r="121" ht="12">
      <c r="L121" s="17"/>
    </row>
    <row r="122" ht="12">
      <c r="L122" s="17"/>
    </row>
    <row r="123" ht="12">
      <c r="L123" s="17"/>
    </row>
    <row r="124" ht="12">
      <c r="L124" s="17"/>
    </row>
    <row r="125" ht="12">
      <c r="L125" s="17"/>
    </row>
    <row r="126" ht="12">
      <c r="L126" s="17"/>
    </row>
    <row r="127" ht="12">
      <c r="L127" s="17"/>
    </row>
    <row r="128" ht="12">
      <c r="L128" s="17"/>
    </row>
    <row r="129" ht="12" customHeight="1">
      <c r="L129" s="17"/>
    </row>
    <row r="130" ht="12">
      <c r="L130" s="17"/>
    </row>
    <row r="131" ht="12">
      <c r="L131" s="17"/>
    </row>
    <row r="132" ht="18" customHeight="1">
      <c r="L132" s="17"/>
    </row>
    <row r="133" spans="1:12" ht="12">
      <c r="A133" s="2"/>
      <c r="L133" s="17"/>
    </row>
    <row r="134" spans="1:12" ht="12">
      <c r="A134" s="109"/>
      <c r="L134" s="17"/>
    </row>
    <row r="135" spans="1:12" ht="12">
      <c r="A135" s="2" t="s">
        <v>111</v>
      </c>
      <c r="L135" s="17"/>
    </row>
    <row r="136" spans="1:12" ht="12">
      <c r="A136" s="109" t="s">
        <v>130</v>
      </c>
      <c r="L136" s="17"/>
    </row>
    <row r="137" spans="1:12" ht="12">
      <c r="A137" s="109" t="s">
        <v>131</v>
      </c>
      <c r="L137" s="17"/>
    </row>
    <row r="138" spans="1:12" ht="12">
      <c r="A138" s="109" t="s">
        <v>132</v>
      </c>
      <c r="L138" s="17"/>
    </row>
    <row r="139" spans="1:12" ht="12">
      <c r="A139" s="109" t="s">
        <v>76</v>
      </c>
      <c r="L139" s="17"/>
    </row>
    <row r="140" spans="1:12" ht="12">
      <c r="A140" s="109" t="s">
        <v>133</v>
      </c>
      <c r="L140" s="17"/>
    </row>
    <row r="141" spans="1:12" ht="12">
      <c r="A141" t="s">
        <v>114</v>
      </c>
      <c r="L141" s="17"/>
    </row>
    <row r="142" spans="1:12" ht="12">
      <c r="A142" t="s">
        <v>71</v>
      </c>
      <c r="L142" s="17"/>
    </row>
    <row r="143" spans="1:12" ht="12">
      <c r="A143" s="109" t="s">
        <v>72</v>
      </c>
      <c r="L143" s="17"/>
    </row>
    <row r="144" spans="1:12" ht="12">
      <c r="A144" t="s">
        <v>73</v>
      </c>
      <c r="L144" s="17"/>
    </row>
    <row r="145" spans="1:12" ht="12">
      <c r="A145" t="s">
        <v>74</v>
      </c>
      <c r="L145" s="17"/>
    </row>
    <row r="146" ht="12">
      <c r="L146" s="17"/>
    </row>
    <row r="147" spans="1:12" ht="12.75">
      <c r="A147" s="110" t="s">
        <v>75</v>
      </c>
      <c r="L147" s="17"/>
    </row>
    <row r="148" ht="12">
      <c r="L148" s="17"/>
    </row>
    <row r="149" ht="12">
      <c r="L149" s="17"/>
    </row>
    <row r="150" ht="12">
      <c r="L150" s="17"/>
    </row>
    <row r="151" ht="12">
      <c r="L151" s="17"/>
    </row>
    <row r="152" ht="12">
      <c r="L152" s="17"/>
    </row>
    <row r="153" ht="12">
      <c r="L153" s="17"/>
    </row>
    <row r="154" ht="12">
      <c r="L154" s="17"/>
    </row>
    <row r="155" ht="12">
      <c r="L155" s="17"/>
    </row>
    <row r="156" ht="12">
      <c r="L156" s="17"/>
    </row>
    <row r="157" ht="12">
      <c r="L157" s="17"/>
    </row>
    <row r="158" ht="12">
      <c r="L158" s="17"/>
    </row>
    <row r="159" ht="12">
      <c r="L159" s="17"/>
    </row>
    <row r="160" ht="12">
      <c r="L160" s="17"/>
    </row>
    <row r="161" ht="12">
      <c r="L161" s="17"/>
    </row>
    <row r="162" ht="12">
      <c r="L162" s="17"/>
    </row>
    <row r="163" ht="12">
      <c r="L163" s="17"/>
    </row>
    <row r="164" ht="12">
      <c r="L164" s="17"/>
    </row>
    <row r="165" ht="12">
      <c r="L165" s="17"/>
    </row>
    <row r="166" ht="12">
      <c r="L166" s="17"/>
    </row>
    <row r="167" ht="12">
      <c r="L167" s="17"/>
    </row>
    <row r="168" ht="12">
      <c r="L168" s="17"/>
    </row>
    <row r="169" ht="12">
      <c r="L169" s="17"/>
    </row>
    <row r="170" ht="12">
      <c r="L170" s="17"/>
    </row>
    <row r="171" ht="12">
      <c r="L171" s="17"/>
    </row>
    <row r="172" ht="12">
      <c r="L172" s="17"/>
    </row>
    <row r="173" ht="12">
      <c r="L173" s="17"/>
    </row>
    <row r="174" ht="12">
      <c r="L174" s="17"/>
    </row>
    <row r="175" ht="12">
      <c r="L175" s="17"/>
    </row>
    <row r="176" ht="12">
      <c r="L176" s="17"/>
    </row>
    <row r="177" ht="12">
      <c r="L177" s="17"/>
    </row>
    <row r="178" ht="12">
      <c r="L178" s="17"/>
    </row>
    <row r="179" ht="12">
      <c r="L179" s="17"/>
    </row>
    <row r="180" ht="12">
      <c r="L180" s="17"/>
    </row>
    <row r="181" ht="12">
      <c r="L181" s="17"/>
    </row>
    <row r="182" ht="12">
      <c r="L182" s="17"/>
    </row>
    <row r="183" ht="12">
      <c r="L183" s="17"/>
    </row>
    <row r="184" ht="12">
      <c r="L184" s="17"/>
    </row>
    <row r="185" ht="12">
      <c r="L185" s="17"/>
    </row>
    <row r="186" ht="12">
      <c r="L186" s="17"/>
    </row>
    <row r="187" ht="12">
      <c r="L187" s="17"/>
    </row>
    <row r="188" ht="12">
      <c r="L188" s="17"/>
    </row>
    <row r="189" ht="12">
      <c r="L189" s="17"/>
    </row>
    <row r="190" ht="12">
      <c r="L190" s="17"/>
    </row>
    <row r="191" ht="12">
      <c r="L191" s="17"/>
    </row>
    <row r="192" ht="12">
      <c r="L192" s="17"/>
    </row>
    <row r="193" ht="12">
      <c r="L193" s="17"/>
    </row>
    <row r="194" ht="12">
      <c r="L194" s="17"/>
    </row>
    <row r="195" ht="12">
      <c r="L195" s="17"/>
    </row>
    <row r="196" ht="12">
      <c r="L196" s="17"/>
    </row>
    <row r="197" ht="12">
      <c r="L197" s="17"/>
    </row>
    <row r="198" ht="12">
      <c r="L198" s="17"/>
    </row>
    <row r="199" ht="12">
      <c r="L199" s="17"/>
    </row>
    <row r="200" ht="12">
      <c r="L200" s="17"/>
    </row>
    <row r="201" ht="12">
      <c r="L201" s="17"/>
    </row>
    <row r="202" ht="12">
      <c r="L202" s="17"/>
    </row>
    <row r="203" ht="12">
      <c r="L203" s="17"/>
    </row>
    <row r="204" ht="12">
      <c r="L204" s="17"/>
    </row>
    <row r="205" ht="12">
      <c r="L205" s="17"/>
    </row>
    <row r="206" ht="12">
      <c r="L206" s="17"/>
    </row>
    <row r="207" ht="12">
      <c r="L207" s="17"/>
    </row>
    <row r="208" ht="12">
      <c r="L208" s="17"/>
    </row>
    <row r="209" ht="12">
      <c r="L209" s="17"/>
    </row>
    <row r="210" ht="12">
      <c r="L210" s="17"/>
    </row>
    <row r="211" ht="12">
      <c r="L211" s="17"/>
    </row>
    <row r="212" ht="12">
      <c r="L212" s="17"/>
    </row>
    <row r="213" ht="12">
      <c r="L213" s="17"/>
    </row>
    <row r="214" ht="12">
      <c r="L214" s="17"/>
    </row>
    <row r="215" ht="12">
      <c r="L215" s="17"/>
    </row>
    <row r="216" ht="12">
      <c r="L216" s="17"/>
    </row>
    <row r="217" ht="12">
      <c r="L217" s="17"/>
    </row>
    <row r="218" ht="12">
      <c r="L218" s="17"/>
    </row>
    <row r="219" ht="12">
      <c r="L219" s="17"/>
    </row>
    <row r="220" ht="12">
      <c r="L220" s="17"/>
    </row>
    <row r="221" ht="12">
      <c r="L221" s="17"/>
    </row>
    <row r="222" ht="12">
      <c r="L222" s="17"/>
    </row>
    <row r="223" ht="12">
      <c r="L223" s="17"/>
    </row>
    <row r="224" ht="12">
      <c r="L224" s="17"/>
    </row>
    <row r="225" ht="12">
      <c r="L225" s="17"/>
    </row>
    <row r="226" ht="12">
      <c r="L226" s="17"/>
    </row>
    <row r="227" ht="12">
      <c r="L227" s="17"/>
    </row>
    <row r="228" ht="12">
      <c r="L228" s="17"/>
    </row>
    <row r="229" ht="12">
      <c r="L229" s="17"/>
    </row>
    <row r="230" ht="12">
      <c r="L230" s="17"/>
    </row>
    <row r="231" ht="12">
      <c r="L231" s="17"/>
    </row>
    <row r="232" ht="12">
      <c r="L232" s="17"/>
    </row>
  </sheetData>
  <sheetProtection password="DCC1" sheet="1" objects="1"/>
  <printOptions gridLines="1"/>
  <pageMargins left="0.7900000000000001" right="0" top="0.59" bottom="0.33" header="0.26" footer="0.16"/>
  <pageSetup fitToHeight="0" horizontalDpi="600" verticalDpi="600" orientation="portrait" paperSize="9" scale="55"/>
  <headerFooter alignWithMargins="0">
    <oddHeader>&amp;CComparaison des coûts annuels des systèmes de chauffage dans batiments</oddHeader>
    <oddFooter>&amp;CSeite &amp;P</oddFooter>
  </headerFooter>
  <rowBreaks count="1" manualBreakCount="1">
    <brk id="78" max="11" man="1"/>
  </rowBreaks>
  <drawing r:id="rId3"/>
  <legacyDrawing r:id="rId2"/>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sheetProtection/>
  <printOptions gridLines="1"/>
  <pageMargins left="0.75" right="0.75" top="1" bottom="1" header="0.511811023" footer="0.511811023"/>
  <pageSetup orientation="portrait"/>
  <headerFooter alignWithMargins="0">
    <oddHeader>&amp;C&amp;A</oddHeader>
    <oddFooter>&amp;CSeite &amp;P</oddFooter>
  </headerFooter>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sheetProtection/>
  <printOptions gridLines="1"/>
  <pageMargins left="0.75" right="0.75" top="1" bottom="1" header="0.511811023" footer="0.511811023"/>
  <pageSetup orientation="portrait"/>
  <headerFooter alignWithMargins="0">
    <oddHeader>&amp;C&amp;A</oddHeader>
    <oddFooter>&amp;CSeite &amp;P</oddFooter>
  </headerFooter>
</worksheet>
</file>

<file path=xl/worksheets/sheet12.xml><?xml version="1.0" encoding="utf-8"?>
<worksheet xmlns="http://schemas.openxmlformats.org/spreadsheetml/2006/main" xmlns:r="http://schemas.openxmlformats.org/officeDocument/2006/relationships">
  <dimension ref="A1:A1"/>
  <sheetViews>
    <sheetView workbookViewId="0" topLeftCell="F1">
      <selection activeCell="A1" sqref="A1"/>
    </sheetView>
  </sheetViews>
  <sheetFormatPr defaultColWidth="11.421875" defaultRowHeight="12.75"/>
  <sheetData/>
  <sheetProtection/>
  <printOptions gridLines="1"/>
  <pageMargins left="0.75" right="0.75" top="1" bottom="1" header="0.511811023" footer="0.511811023"/>
  <pageSetup orientation="portrait"/>
  <headerFooter alignWithMargins="0">
    <oddHeader>&amp;C&amp;A</oddHeader>
    <oddFooter>&amp;CSeite &amp;P</oddFooter>
  </headerFooter>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sheetProtection/>
  <printOptions gridLines="1"/>
  <pageMargins left="0.75" right="0.75" top="1" bottom="1" header="0.511811023" footer="0.511811023"/>
  <pageSetup orientation="portrait"/>
  <headerFooter alignWithMargins="0">
    <oddHeader>&amp;C&amp;A</oddHeader>
    <oddFooter>&amp;CSeite &amp;P</oddFooter>
  </headerFooter>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sheetProtection/>
  <printOptions gridLines="1"/>
  <pageMargins left="0.75" right="0.75" top="1" bottom="1" header="0.511811023" footer="0.511811023"/>
  <pageSetup orientation="portrait"/>
  <headerFooter alignWithMargins="0">
    <oddHeader>&amp;C&amp;A</oddHeader>
    <oddFooter>&amp;CSeite &amp;P</oddFooter>
  </headerFooter>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sheetProtection/>
  <printOptions gridLines="1"/>
  <pageMargins left="0.75" right="0.75" top="1" bottom="1" header="0.511811023" footer="0.511811023"/>
  <pageSetup orientation="portrait"/>
  <headerFooter alignWithMargins="0">
    <oddHeader>&amp;C&amp;A</oddHeader>
    <oddFooter>&amp;CSeite &amp;P</oddFooter>
  </headerFooter>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sheetProtection/>
  <printOptions gridLines="1"/>
  <pageMargins left="0.75" right="0.75" top="1" bottom="1" header="0.511811023" footer="0.511811023"/>
  <pageSetup orientation="portrait"/>
  <headerFooter alignWithMargins="0">
    <oddHeader>&amp;C&amp;A</oddHeader>
    <oddFooter>&amp;CSeite &amp;P</oddFooter>
  </headerFooter>
</worksheet>
</file>

<file path=xl/worksheets/sheet2.xml><?xml version="1.0" encoding="utf-8"?>
<worksheet xmlns="http://schemas.openxmlformats.org/spreadsheetml/2006/main" xmlns:r="http://schemas.openxmlformats.org/officeDocument/2006/relationships">
  <dimension ref="A2:J10"/>
  <sheetViews>
    <sheetView workbookViewId="0" topLeftCell="A1">
      <selection activeCell="A2" sqref="A2:I7"/>
    </sheetView>
  </sheetViews>
  <sheetFormatPr defaultColWidth="11.421875" defaultRowHeight="12.75"/>
  <cols>
    <col min="1" max="1" width="19.8515625" style="0" customWidth="1"/>
    <col min="2" max="10" width="9.7109375" style="0" customWidth="1"/>
  </cols>
  <sheetData>
    <row r="2" spans="2:9" ht="12">
      <c r="B2" s="127" t="s">
        <v>8</v>
      </c>
      <c r="C2" s="127" t="s">
        <v>9</v>
      </c>
      <c r="D2" s="129" t="s">
        <v>128</v>
      </c>
      <c r="E2" s="127" t="s">
        <v>129</v>
      </c>
      <c r="F2" s="33" t="s">
        <v>82</v>
      </c>
      <c r="G2" s="33" t="s">
        <v>0</v>
      </c>
      <c r="H2" s="33" t="s">
        <v>1</v>
      </c>
      <c r="I2" s="130" t="s">
        <v>113</v>
      </c>
    </row>
    <row r="3" spans="1:9" ht="12">
      <c r="A3" t="s">
        <v>29</v>
      </c>
      <c r="B3" s="15">
        <f>'Kostenvergleich '!D46</f>
        <v>1386.8696955148619</v>
      </c>
      <c r="C3" s="15">
        <f>'Kostenvergleich '!E46</f>
        <v>1463.2403151534425</v>
      </c>
      <c r="D3" s="15">
        <f>'Kostenvergleich '!F46</f>
        <v>2048.552638355375</v>
      </c>
      <c r="E3" s="15">
        <f>'Kostenvergleich '!G46</f>
        <v>1916.0745217261026</v>
      </c>
      <c r="F3" s="15">
        <f>'Kostenvergleich '!H46</f>
        <v>1926.2090715208265</v>
      </c>
      <c r="G3" s="15">
        <f>'Kostenvergleich '!I46</f>
        <v>2544.244622446644</v>
      </c>
      <c r="H3" s="15">
        <f>'Kostenvergleich '!J46</f>
        <v>2151.4262476620597</v>
      </c>
      <c r="I3" s="15">
        <f>'Kostenvergleich '!K46</f>
        <v>1910.9132722447673</v>
      </c>
    </row>
    <row r="4" spans="1:9" ht="12">
      <c r="A4" t="s">
        <v>60</v>
      </c>
      <c r="B4" s="15">
        <f>'Kostenvergleich '!D72</f>
        <v>3701.4</v>
      </c>
      <c r="C4" s="15">
        <f>'Kostenvergleich '!E72</f>
        <v>3287.331089108911</v>
      </c>
      <c r="D4" s="15">
        <f>'Kostenvergleich '!F72</f>
        <v>1761.6</v>
      </c>
      <c r="E4" s="15">
        <f>'Kostenvergleich '!G72</f>
        <v>2229.2000000000003</v>
      </c>
      <c r="F4" s="15">
        <f>'Kostenvergleich '!H72</f>
        <v>2622.005628517824</v>
      </c>
      <c r="G4" s="15">
        <f>'Kostenvergleich '!I72</f>
        <v>2123.6045028142594</v>
      </c>
      <c r="H4" s="15">
        <f>'Kostenvergleich '!J72</f>
        <v>3172.19</v>
      </c>
      <c r="I4" s="15">
        <f>'Kostenvergleich '!K72</f>
        <v>2865.231425742574</v>
      </c>
    </row>
    <row r="5" spans="1:9" ht="12">
      <c r="A5" t="s">
        <v>61</v>
      </c>
      <c r="B5" s="15">
        <f>'Kostenvergleich '!D73</f>
        <v>938</v>
      </c>
      <c r="C5" s="15">
        <f>'Kostenvergleich '!E73</f>
        <v>367</v>
      </c>
      <c r="D5" s="15">
        <f>'Kostenvergleich '!F73</f>
        <v>100</v>
      </c>
      <c r="E5" s="15">
        <f>'Kostenvergleich '!G73</f>
        <v>200</v>
      </c>
      <c r="F5" s="15">
        <f>'Kostenvergleich '!H73</f>
        <v>764.4652908067542</v>
      </c>
      <c r="G5" s="15">
        <f>'Kostenvergleich '!I73</f>
        <v>749.5722326454033</v>
      </c>
      <c r="H5" s="15">
        <f>'Kostenvergleich '!J73</f>
        <v>921.8</v>
      </c>
      <c r="I5" s="15">
        <f>'Kostenvergleich '!K73</f>
        <v>367</v>
      </c>
    </row>
    <row r="6" spans="1:9" ht="12">
      <c r="A6" t="s">
        <v>62</v>
      </c>
      <c r="B6" s="15">
        <f>'Kostenvergleich '!D83</f>
        <v>477</v>
      </c>
      <c r="C6" s="15">
        <f>'Kostenvergleich '!E83</f>
        <v>349.3069306930693</v>
      </c>
      <c r="D6" s="15">
        <f>'Kostenvergleich '!F83</f>
        <v>0</v>
      </c>
      <c r="E6" s="15">
        <f>'Kostenvergleich '!G83</f>
        <v>0</v>
      </c>
      <c r="F6" s="15">
        <f>'Kostenvergleich '!H83</f>
        <v>0</v>
      </c>
      <c r="G6" s="15">
        <f>'Kostenvergleich '!I83</f>
        <v>0</v>
      </c>
      <c r="H6" s="15">
        <f>'Kostenvergleich '!J83</f>
        <v>405.45000000000005</v>
      </c>
      <c r="I6" s="15">
        <f>'Kostenvergleich '!K83</f>
        <v>296.91089108910893</v>
      </c>
    </row>
    <row r="7" spans="1:9" ht="12">
      <c r="A7" t="s">
        <v>126</v>
      </c>
      <c r="B7" s="15">
        <f>'Kostenvergleich '!D85</f>
        <v>1350</v>
      </c>
      <c r="C7" s="15">
        <f>'Kostenvergleich '!E85</f>
        <v>882</v>
      </c>
      <c r="D7" s="15">
        <f>'Kostenvergleich '!F85</f>
        <v>408.33333333333326</v>
      </c>
      <c r="E7" s="15">
        <f>'Kostenvergleich '!G85</f>
        <v>525</v>
      </c>
      <c r="F7" s="15">
        <f>'Kostenvergleich '!H85</f>
        <v>537.8048780487806</v>
      </c>
      <c r="G7" s="15">
        <f>'Kostenvergleich '!I85</f>
        <v>430.24390243902445</v>
      </c>
      <c r="H7" s="15">
        <f>'Kostenvergleich '!J85</f>
        <v>1147.5</v>
      </c>
      <c r="I7" s="15">
        <f>'Kostenvergleich '!K85</f>
        <v>749.6999999999998</v>
      </c>
    </row>
    <row r="8" ht="12">
      <c r="J8" s="14"/>
    </row>
    <row r="9" ht="12">
      <c r="J9" s="1"/>
    </row>
    <row r="10" ht="12">
      <c r="J10" s="14"/>
    </row>
  </sheetData>
  <sheetProtection/>
  <printOptions gridLines="1"/>
  <pageMargins left="0.75" right="0.75" top="1" bottom="1" header="0.511811023" footer="0.511811023"/>
  <pageSetup orientation="portrait" paperSize="10"/>
  <headerFooter alignWithMargins="0">
    <oddHeader>&amp;C&amp;A</oddHeader>
    <oddFooter>&amp;CSeite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sheetProtection/>
  <printOptions gridLines="1"/>
  <pageMargins left="0.75" right="0.75" top="1" bottom="1" header="0.511811023" footer="0.511811023"/>
  <pageSetup orientation="portrait"/>
  <headerFooter alignWithMargins="0">
    <oddHeader>&amp;C&amp;A</oddHeader>
    <oddFooter>&amp;CSeite &amp;P</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sheetProtection/>
  <printOptions gridLines="1"/>
  <pageMargins left="0.75" right="0.75" top="1" bottom="1" header="0.511811023" footer="0.511811023"/>
  <pageSetup orientation="portrait"/>
  <headerFooter alignWithMargins="0">
    <oddHeader>&amp;C&amp;A</oddHeader>
    <oddFooter>&amp;CSeite &amp;P</oddFoot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sheetProtection/>
  <printOptions gridLines="1"/>
  <pageMargins left="0.75" right="0.75" top="1" bottom="1" header="0.511811023" footer="0.511811023"/>
  <pageSetup orientation="portrait"/>
  <headerFooter alignWithMargins="0">
    <oddHeader>&amp;C&amp;A</oddHeader>
    <oddFooter>&amp;CSeite &amp;P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sheetProtection/>
  <printOptions gridLines="1"/>
  <pageMargins left="0.75" right="0.75" top="1" bottom="1" header="0.511811023" footer="0.511811023"/>
  <pageSetup orientation="portrait"/>
  <headerFooter alignWithMargins="0">
    <oddHeader>&amp;C&amp;A</oddHeader>
    <oddFooter>&amp;CSeite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sheetProtection/>
  <printOptions gridLines="1"/>
  <pageMargins left="0.75" right="0.75" top="1" bottom="1" header="0.511811023" footer="0.511811023"/>
  <pageSetup orientation="portrait"/>
  <headerFooter alignWithMargins="0">
    <oddHeader>&amp;C&amp;A</oddHeader>
    <oddFooter>&amp;CSeite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sheetProtection/>
  <printOptions gridLines="1"/>
  <pageMargins left="0.75" right="0.75" top="1" bottom="1" header="0.511811023" footer="0.511811023"/>
  <pageSetup orientation="portrait"/>
  <headerFooter alignWithMargins="0">
    <oddHeader>&amp;C&amp;A</oddHeader>
    <oddFooter>&amp;CSeite &amp;P</oddFooter>
  </headerFooter>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sheetProtection/>
  <printOptions gridLines="1"/>
  <pageMargins left="0.75" right="0.75" top="1" bottom="1" header="0.511811023" footer="0.511811023"/>
  <pageSetup orientation="portrait"/>
  <headerFooter alignWithMargins="0">
    <oddHeader>&amp;C&amp;A</oddHeader>
    <oddFooter>&amp;CSeite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Vergleich Jahreskosten Heizsysteme</dc:title>
  <dc:subject/>
  <dc:creator>Häfeli</dc:creator>
  <cp:keywords/>
  <dc:description/>
  <cp:lastModifiedBy>André Freymond</cp:lastModifiedBy>
  <cp:lastPrinted>2010-01-21T15:00:50Z</cp:lastPrinted>
  <dcterms:created xsi:type="dcterms:W3CDTF">1999-07-09T08:48:38Z</dcterms:created>
  <dcterms:modified xsi:type="dcterms:W3CDTF">2014-04-10T07:35:10Z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2142456109</vt:i4>
  </property>
  <property fmtid="{D5CDD505-2E9C-101B-9397-08002B2CF9AE}" pid="3" name="_EmailSubject">
    <vt:lpwstr>Übersetzung</vt:lpwstr>
  </property>
  <property fmtid="{D5CDD505-2E9C-101B-9397-08002B2CF9AE}" pid="4" name="_AuthorEmail">
    <vt:lpwstr>benoit.lemonnier@hispeed.ch</vt:lpwstr>
  </property>
  <property fmtid="{D5CDD505-2E9C-101B-9397-08002B2CF9AE}" pid="5" name="_AuthorEmailDisplayName">
    <vt:lpwstr>Benoît Lemonnier</vt:lpwstr>
  </property>
</Properties>
</file>