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DieseArbeitsmappe" defaultThemeVersion="124226"/>
  <mc:AlternateContent xmlns:mc="http://schemas.openxmlformats.org/markup-compatibility/2006">
    <mc:Choice Requires="x15">
      <x15ac:absPath xmlns:x15ac="http://schemas.microsoft.com/office/spreadsheetml/2010/11/ac" url="T:\ta\60 FuE\6040 ZIG\604050 Projekte\60405010 Laufende\11510013800_1121543_Heizkostenvergleichsrechner\08-Tool\_neueVersion\"/>
    </mc:Choice>
  </mc:AlternateContent>
  <xr:revisionPtr revIDLastSave="0" documentId="8_{6CC4C0DB-5975-4530-A405-27B3EF67904B}" xr6:coauthVersionLast="47" xr6:coauthVersionMax="47" xr10:uidLastSave="{00000000-0000-0000-0000-000000000000}"/>
  <bookViews>
    <workbookView xWindow="-45495" yWindow="1440" windowWidth="33015" windowHeight="18030" tabRatio="871" xr2:uid="{64BDB2E1-8EBF-4865-9A6C-FF6E67BE86A3}"/>
  </bookViews>
  <sheets>
    <sheet name="Erläuterungen" sheetId="10" r:id="rId1"/>
    <sheet name="Projektdaten" sheetId="1" r:id="rId2"/>
    <sheet name="Vergleich" sheetId="17" r:id="rId3"/>
    <sheet name="Resultate" sheetId="16" r:id="rId4"/>
    <sheet name="Investitionskosten" sheetId="7" r:id="rId5"/>
    <sheet name="Unterhaltskosten" sheetId="8" r:id="rId6"/>
    <sheet name="Energiepreise" sheetId="23" r:id="rId7"/>
    <sheet name="Grundlagen" sheetId="9" r:id="rId8"/>
    <sheet name="Versionierung" sheetId="15" r:id="rId9"/>
    <sheet name="Impressum" sheetId="26" r:id="rId10"/>
    <sheet name="Sprache" sheetId="4" state="hidden" r:id="rId11"/>
    <sheet name="Auswahllisten" sheetId="5" state="hidden" r:id="rId12"/>
    <sheet name="Standardwerte" sheetId="2" state="hidden" r:id="rId13"/>
    <sheet name="Investition_Basis" sheetId="13" state="hidden" r:id="rId14"/>
    <sheet name="Investition_gewählt" sheetId="11" state="hidden" r:id="rId15"/>
    <sheet name="Unterhalt" sheetId="14" state="hidden" r:id="rId16"/>
    <sheet name="Faktoren" sheetId="20" state="hidden" r:id="rId17"/>
    <sheet name="Energie" sheetId="21" state="hidden" r:id="rId18"/>
    <sheet name="Variante_A" sheetId="19" state="hidden" r:id="rId19"/>
    <sheet name="Variante_B" sheetId="22" state="hidden" r:id="rId20"/>
    <sheet name="Variante_C" sheetId="24" state="hidden" r:id="rId21"/>
    <sheet name="Variante_D" sheetId="25" state="hidden" r:id="rId22"/>
    <sheet name="Klimastation" sheetId="6" state="hidden" r:id="rId23"/>
  </sheets>
  <definedNames>
    <definedName name="Art">Auswahllisten!$E$2:$E$29</definedName>
    <definedName name="ArtWärmeerzeuger">Auswahllisten!$E$9:$E$22</definedName>
    <definedName name="Bauvorhaben">Auswahllisten!$E$31:$E$33</definedName>
    <definedName name="DatenInklWW">Auswahllisten!$E$76:$E$78</definedName>
    <definedName name="DatenInklWW_Ersatz">Auswahllisten!$E$122:$E$124</definedName>
    <definedName name="Datenvorhanden_Ersatz">Auswahllisten!$E$116:$E$118</definedName>
    <definedName name="Datenvorhanden_Neubau">Auswahllisten!$E$46:$E$48</definedName>
    <definedName name="_xlnm.Print_Area" localSheetId="0">Erläuterungen!$A$1:$C$37</definedName>
    <definedName name="_xlnm.Print_Area" localSheetId="7">Grundlagen!$A$1:$AD$83</definedName>
    <definedName name="_xlnm.Print_Area" localSheetId="4">Investitionskosten!$A$1:$AF$147</definedName>
    <definedName name="_xlnm.Print_Area" localSheetId="1">Projektdaten!$A$1:$N$65</definedName>
    <definedName name="_xlnm.Print_Area" localSheetId="3">Resultate!$A$1:$W$122</definedName>
    <definedName name="_xlnm.Print_Area" localSheetId="5">Unterhaltskosten!$A$1:$AF$65</definedName>
    <definedName name="_xlnm.Print_Area" localSheetId="2">Vergleich!$A$1:$Y$111</definedName>
    <definedName name="_xlnm.Print_Area" localSheetId="8">Versionierung!$A$1:$J$73</definedName>
    <definedName name="Gebäudenutzung">Auswahllisten!$E$40:$E$43</definedName>
    <definedName name="Gebäudenutzung_Ersatz">Auswahllisten!$E$110:$E$113</definedName>
    <definedName name="Gebäudenutzung_Neubau">Auswahllisten!$E$40:$E$43</definedName>
    <definedName name="JahrVerbrauch">Auswahllisten!$E$57:$E$73</definedName>
    <definedName name="Klimastation">Klimastation!$C$9:$C$49</definedName>
    <definedName name="Kostenstufen">Auswahllisten!$E$25:$E$29</definedName>
    <definedName name="MitWarmwasser">Auswahllisten!$E$52:$E$54</definedName>
    <definedName name="Sprache">Sprache!$C$3:$C$5</definedName>
    <definedName name="Standard">Auswahllisten!$E$35:$E$38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0" i="5" l="1"/>
  <c r="M264" i="21"/>
  <c r="N264" i="21"/>
  <c r="O264" i="21"/>
  <c r="P264" i="21"/>
  <c r="Q264" i="21"/>
  <c r="R264" i="21"/>
  <c r="S264" i="21"/>
  <c r="T264" i="21"/>
  <c r="M263" i="21"/>
  <c r="N263" i="21"/>
  <c r="O263" i="21"/>
  <c r="P263" i="21"/>
  <c r="Q263" i="21"/>
  <c r="R263" i="21"/>
  <c r="S263" i="21"/>
  <c r="T263" i="21"/>
  <c r="M262" i="21"/>
  <c r="N262" i="21"/>
  <c r="O262" i="21"/>
  <c r="P262" i="21"/>
  <c r="Q262" i="21"/>
  <c r="R262" i="21"/>
  <c r="S262" i="21"/>
  <c r="T262" i="21"/>
  <c r="O18" i="2" l="1"/>
  <c r="N18" i="2"/>
  <c r="M18" i="2"/>
  <c r="L18" i="2"/>
  <c r="K18" i="2"/>
  <c r="J18" i="2"/>
  <c r="I18" i="2"/>
  <c r="H18" i="2"/>
  <c r="G18" i="2"/>
  <c r="F18" i="2"/>
  <c r="E18" i="2"/>
  <c r="D18" i="2"/>
  <c r="D17" i="2"/>
  <c r="E17" i="2"/>
  <c r="F17" i="2"/>
  <c r="G17" i="2"/>
  <c r="M48" i="2"/>
  <c r="L48" i="2"/>
  <c r="J48" i="2"/>
  <c r="H48" i="2"/>
  <c r="G48" i="2" s="1"/>
  <c r="F48" i="2"/>
  <c r="E48" i="2"/>
  <c r="A200" i="25"/>
  <c r="A195" i="25"/>
  <c r="Z195" i="25"/>
  <c r="Z196" i="25" s="1"/>
  <c r="A200" i="22"/>
  <c r="A195" i="22"/>
  <c r="A200" i="24"/>
  <c r="A195" i="24"/>
  <c r="Z195" i="22"/>
  <c r="Z196" i="22" s="1"/>
  <c r="A200" i="19"/>
  <c r="A195" i="19"/>
  <c r="Z195" i="19"/>
  <c r="Z196" i="19" s="1"/>
  <c r="R120" i="11"/>
  <c r="Q120" i="11"/>
  <c r="P120" i="11"/>
  <c r="O120" i="11"/>
  <c r="N120" i="11"/>
  <c r="M120" i="11"/>
  <c r="L120" i="11"/>
  <c r="K120" i="11"/>
  <c r="J120" i="11"/>
  <c r="I120" i="11"/>
  <c r="H120" i="11"/>
  <c r="G120" i="11"/>
  <c r="F120" i="11"/>
  <c r="DI120" i="20"/>
  <c r="DN120" i="20"/>
  <c r="DS120" i="20"/>
  <c r="DX120" i="20"/>
  <c r="EC120" i="20"/>
  <c r="EH120" i="20"/>
  <c r="EM120" i="20"/>
  <c r="ER120" i="20"/>
  <c r="EW120" i="20"/>
  <c r="FB120" i="20"/>
  <c r="FG120" i="20"/>
  <c r="FL120" i="20"/>
  <c r="FQ120" i="20"/>
  <c r="FV120" i="20"/>
  <c r="GA120" i="20"/>
  <c r="GF120" i="20"/>
  <c r="GK120" i="20"/>
  <c r="GP120" i="20"/>
  <c r="GN120" i="20"/>
  <c r="GI120" i="20"/>
  <c r="GD120" i="20"/>
  <c r="FY120" i="20"/>
  <c r="FT120" i="20"/>
  <c r="FO120" i="20"/>
  <c r="FJ120" i="20"/>
  <c r="FE120" i="20"/>
  <c r="EZ120" i="20"/>
  <c r="EU120" i="20"/>
  <c r="EP120" i="20"/>
  <c r="EK120" i="20"/>
  <c r="EF120" i="20"/>
  <c r="EA120" i="20"/>
  <c r="DV120" i="20"/>
  <c r="DQ120" i="20"/>
  <c r="DL120" i="20"/>
  <c r="DG120" i="20"/>
  <c r="DD120" i="20"/>
  <c r="DB120" i="20"/>
  <c r="CY120" i="20"/>
  <c r="CW120" i="20"/>
  <c r="C39" i="8"/>
  <c r="B39" i="8"/>
  <c r="B48" i="8"/>
  <c r="B44" i="8"/>
  <c r="B34" i="8"/>
  <c r="B29" i="8"/>
  <c r="B23" i="8"/>
  <c r="B19" i="8"/>
  <c r="B15" i="8"/>
  <c r="B10" i="8"/>
  <c r="B6" i="8"/>
  <c r="X165" i="21"/>
  <c r="A128" i="11"/>
  <c r="Q85" i="2"/>
  <c r="Q86" i="2"/>
  <c r="Q87" i="2"/>
  <c r="Q88" i="2"/>
  <c r="Q89" i="2"/>
  <c r="Q90" i="2"/>
  <c r="Q91" i="2"/>
  <c r="Q94" i="2"/>
  <c r="Q95" i="2"/>
  <c r="Q96" i="2"/>
  <c r="Q97" i="2"/>
  <c r="Q106" i="2"/>
  <c r="Q107" i="2"/>
  <c r="Q108" i="2"/>
  <c r="Q109" i="2"/>
  <c r="Q110" i="2"/>
  <c r="Q111" i="2"/>
  <c r="Q112" i="2"/>
  <c r="Q113" i="2"/>
  <c r="Q114" i="2"/>
  <c r="Q115" i="2"/>
  <c r="Q116" i="2"/>
  <c r="Q117" i="2"/>
  <c r="Q118" i="2"/>
  <c r="Q119" i="2"/>
  <c r="Q120" i="2"/>
  <c r="O88" i="25" a="1"/>
  <c r="O84" i="19" a="1"/>
  <c r="D88" i="19" a="1"/>
  <c r="D85" i="19" a="1"/>
  <c r="D88" i="22" a="1"/>
  <c r="O83" i="22" a="1"/>
  <c r="D83" i="24" a="1"/>
  <c r="D89" i="19" a="1"/>
  <c r="D84" i="25" a="1"/>
  <c r="D84" i="24" a="1"/>
  <c r="O88" i="24" a="1"/>
  <c r="O88" i="19" a="1"/>
  <c r="D85" i="24" a="1"/>
  <c r="O89" i="22" a="1"/>
  <c r="D83" i="22" a="1"/>
  <c r="D82" i="24" a="1"/>
  <c r="O86" i="19" a="1"/>
  <c r="D87" i="22" a="1"/>
  <c r="O83" i="25" a="1"/>
  <c r="D84" i="22" a="1"/>
  <c r="O82" i="19" a="1"/>
  <c r="D86" i="22" a="1"/>
  <c r="O85" i="19" a="1"/>
  <c r="D87" i="24" a="1"/>
  <c r="D88" i="25" a="1"/>
  <c r="D88" i="24" a="1"/>
  <c r="D85" i="25" a="1"/>
  <c r="D86" i="24" a="1"/>
  <c r="D89" i="22" a="1"/>
  <c r="D82" i="25" a="1"/>
  <c r="D87" i="25" a="1"/>
  <c r="O82" i="24" a="1"/>
  <c r="D82" i="22" a="1"/>
  <c r="O85" i="22" a="1"/>
  <c r="O87" i="24" a="1"/>
  <c r="D86" i="19" a="1"/>
  <c r="O82" i="22" a="1"/>
  <c r="O86" i="24" a="1"/>
  <c r="O87" i="22" a="1"/>
  <c r="O86" i="25" a="1"/>
  <c r="O85" i="25" a="1"/>
  <c r="O86" i="22" a="1"/>
  <c r="O84" i="24" a="1"/>
  <c r="D83" i="25" a="1"/>
  <c r="D89" i="25" a="1"/>
  <c r="O89" i="19" a="1"/>
  <c r="D89" i="24" a="1"/>
  <c r="O85" i="24" a="1"/>
  <c r="D86" i="25" a="1"/>
  <c r="D85" i="22" a="1"/>
  <c r="D196" i="19" a="1"/>
  <c r="O83" i="24" a="1"/>
  <c r="D84" i="19" a="1"/>
  <c r="D83" i="19" a="1"/>
  <c r="O88" i="22" a="1"/>
  <c r="O82" i="25" a="1"/>
  <c r="O83" i="19" a="1"/>
  <c r="O89" i="24" a="1"/>
  <c r="O84" i="22" a="1"/>
  <c r="O87" i="19" a="1"/>
  <c r="O89" i="25" a="1"/>
  <c r="O87" i="25" a="1"/>
  <c r="O84" i="25" a="1"/>
  <c r="D82" i="19" a="1"/>
  <c r="D87" i="19" a="1"/>
  <c r="D211" i="19" a="1"/>
  <c r="Z197" i="25" l="1"/>
  <c r="D211" i="19"/>
  <c r="Z197" i="22"/>
  <c r="D196" i="19"/>
  <c r="Z197" i="19"/>
  <c r="O84" i="25"/>
  <c r="D84" i="25"/>
  <c r="D88" i="25"/>
  <c r="D82" i="25"/>
  <c r="D86" i="25"/>
  <c r="O88" i="25"/>
  <c r="O82" i="25"/>
  <c r="O86" i="25"/>
  <c r="D83" i="25"/>
  <c r="D87" i="25"/>
  <c r="D89" i="25"/>
  <c r="O83" i="25"/>
  <c r="O85" i="25"/>
  <c r="O87" i="25"/>
  <c r="O89" i="25"/>
  <c r="D85" i="25"/>
  <c r="O82" i="24"/>
  <c r="O84" i="24"/>
  <c r="O86" i="24"/>
  <c r="D82" i="24"/>
  <c r="O88" i="24"/>
  <c r="D84" i="24"/>
  <c r="D86" i="24"/>
  <c r="D88" i="24"/>
  <c r="D83" i="24"/>
  <c r="D87" i="24"/>
  <c r="O83" i="24"/>
  <c r="O85" i="24"/>
  <c r="O87" i="24"/>
  <c r="O89" i="24"/>
  <c r="D89" i="24"/>
  <c r="D85" i="24"/>
  <c r="D88" i="22"/>
  <c r="O84" i="22"/>
  <c r="D84" i="22"/>
  <c r="D87" i="22"/>
  <c r="O88" i="22"/>
  <c r="D86" i="22"/>
  <c r="D83" i="22"/>
  <c r="O82" i="22"/>
  <c r="D82" i="22"/>
  <c r="D85" i="22"/>
  <c r="D89" i="22"/>
  <c r="O86" i="22"/>
  <c r="O83" i="22"/>
  <c r="O85" i="22"/>
  <c r="O87" i="22"/>
  <c r="O89" i="22"/>
  <c r="O82" i="19"/>
  <c r="D82" i="19"/>
  <c r="D85" i="19"/>
  <c r="O84" i="19"/>
  <c r="D83" i="19"/>
  <c r="D89" i="19"/>
  <c r="D87" i="19"/>
  <c r="O86" i="19"/>
  <c r="O88" i="19"/>
  <c r="O83" i="19"/>
  <c r="O85" i="19"/>
  <c r="O87" i="19"/>
  <c r="O89" i="19"/>
  <c r="D84" i="19"/>
  <c r="D86" i="19"/>
  <c r="D88" i="19"/>
  <c r="N38" i="16"/>
  <c r="M38" i="16"/>
  <c r="L38" i="16"/>
  <c r="K38" i="16"/>
  <c r="O196" i="19" a="1"/>
  <c r="O196" i="22" a="1"/>
  <c r="D196" i="22" a="1"/>
  <c r="D196" i="25" a="1"/>
  <c r="O196" i="25" a="1"/>
  <c r="O196" i="25" l="1"/>
  <c r="D196" i="25"/>
  <c r="Z198" i="25"/>
  <c r="D196" i="22"/>
  <c r="O196" i="22"/>
  <c r="Z198" i="22"/>
  <c r="O196" i="19"/>
  <c r="Z198" i="19"/>
  <c r="L98" i="21"/>
  <c r="K98" i="21"/>
  <c r="J98" i="21"/>
  <c r="I98" i="21"/>
  <c r="K85" i="21"/>
  <c r="I85" i="21"/>
  <c r="A190" i="25"/>
  <c r="A185" i="25"/>
  <c r="A179" i="25"/>
  <c r="A175" i="25"/>
  <c r="A171" i="25"/>
  <c r="Z164" i="25"/>
  <c r="Z165" i="25" s="1"/>
  <c r="Z166" i="25" s="1"/>
  <c r="Z167" i="25" s="1"/>
  <c r="E158" i="25"/>
  <c r="AI32" i="25"/>
  <c r="AI30" i="25"/>
  <c r="N83" i="16" s="1"/>
  <c r="AI29" i="25"/>
  <c r="AI28" i="25"/>
  <c r="AI25" i="25"/>
  <c r="AI22" i="25"/>
  <c r="N75" i="16" s="1"/>
  <c r="AI20" i="25"/>
  <c r="N73" i="16" s="1"/>
  <c r="AI18" i="25"/>
  <c r="N71" i="16" s="1"/>
  <c r="BT14" i="25"/>
  <c r="BU14" i="25" s="1"/>
  <c r="BA14" i="25"/>
  <c r="C13" i="25"/>
  <c r="BT12" i="25"/>
  <c r="BA12" i="25"/>
  <c r="BB12" i="25" s="1"/>
  <c r="C11" i="25"/>
  <c r="AS10" i="25"/>
  <c r="AS9" i="25"/>
  <c r="AS6" i="25"/>
  <c r="AS5" i="25"/>
  <c r="AS3" i="25"/>
  <c r="O3" i="25"/>
  <c r="O4" i="25" s="1"/>
  <c r="O5" i="25" s="1"/>
  <c r="O6" i="25" s="1"/>
  <c r="O7" i="25" s="1"/>
  <c r="O8" i="25" s="1"/>
  <c r="O9" i="25" s="1"/>
  <c r="O10" i="25" s="1"/>
  <c r="O11" i="25" s="1"/>
  <c r="O12" i="25" s="1"/>
  <c r="O13" i="25" s="1"/>
  <c r="O14" i="25" s="1"/>
  <c r="A190" i="24"/>
  <c r="A185" i="24"/>
  <c r="A179" i="24"/>
  <c r="A175" i="24"/>
  <c r="A171" i="24"/>
  <c r="Z164" i="24"/>
  <c r="Z165" i="24" s="1"/>
  <c r="Z166" i="24" s="1"/>
  <c r="Z167" i="24" s="1"/>
  <c r="E158" i="24"/>
  <c r="AI32" i="24"/>
  <c r="AI30" i="24"/>
  <c r="L83" i="16" s="1"/>
  <c r="AI29" i="24"/>
  <c r="AI28" i="24"/>
  <c r="AI25" i="24"/>
  <c r="L78" i="16" s="1"/>
  <c r="AI22" i="24"/>
  <c r="L75" i="16" s="1"/>
  <c r="AI20" i="24"/>
  <c r="AI18" i="24"/>
  <c r="L71" i="16" s="1"/>
  <c r="BT14" i="24"/>
  <c r="BU14" i="24" s="1"/>
  <c r="BV14" i="24" s="1"/>
  <c r="BA14" i="24"/>
  <c r="BB14" i="24" s="1"/>
  <c r="C13" i="24"/>
  <c r="BT12" i="24"/>
  <c r="BA12" i="24"/>
  <c r="BB12" i="24" s="1"/>
  <c r="C11" i="24"/>
  <c r="AS10" i="24"/>
  <c r="AS9" i="24"/>
  <c r="AS6" i="24"/>
  <c r="AS5" i="24"/>
  <c r="AS3" i="24"/>
  <c r="O3" i="24"/>
  <c r="O4" i="24" s="1"/>
  <c r="O5" i="24" s="1"/>
  <c r="O6" i="24" s="1"/>
  <c r="O7" i="24" s="1"/>
  <c r="O8" i="24" s="1"/>
  <c r="O9" i="24" s="1"/>
  <c r="O10" i="24" s="1"/>
  <c r="O11" i="24" s="1"/>
  <c r="O12" i="24" s="1"/>
  <c r="O13" i="24" s="1"/>
  <c r="O14" i="24" s="1"/>
  <c r="K47" i="21"/>
  <c r="K55" i="21" s="1"/>
  <c r="I47" i="21"/>
  <c r="I55" i="21" s="1"/>
  <c r="L34" i="21"/>
  <c r="K34" i="21"/>
  <c r="J34" i="21"/>
  <c r="I34" i="21"/>
  <c r="V108" i="17"/>
  <c r="Q108" i="17"/>
  <c r="BX14" i="22"/>
  <c r="BT14" i="22"/>
  <c r="BU14" i="22" s="1"/>
  <c r="BV14" i="22" s="1"/>
  <c r="BT12" i="22"/>
  <c r="BU12" i="22" s="1"/>
  <c r="BV12" i="22" s="1"/>
  <c r="BB14" i="22"/>
  <c r="BC14" i="22" s="1"/>
  <c r="BE14" i="22" s="1"/>
  <c r="BA14" i="22"/>
  <c r="BA12" i="22"/>
  <c r="BB12" i="22" s="1"/>
  <c r="BC12" i="22" s="1"/>
  <c r="BU14" i="19"/>
  <c r="BV14" i="19" s="1"/>
  <c r="BX14" i="19" s="1"/>
  <c r="BT14" i="19"/>
  <c r="BT12" i="19"/>
  <c r="BU12" i="19" s="1"/>
  <c r="BV12" i="19" s="1"/>
  <c r="BA14" i="19"/>
  <c r="BB14" i="19" s="1"/>
  <c r="BC14" i="19" s="1"/>
  <c r="BE14" i="19" s="1"/>
  <c r="BA12" i="19"/>
  <c r="BB12" i="19" s="1"/>
  <c r="BC12" i="19" s="1"/>
  <c r="F148" i="21"/>
  <c r="H148" i="21"/>
  <c r="J148" i="21"/>
  <c r="L148" i="21"/>
  <c r="N148" i="21"/>
  <c r="P148" i="21"/>
  <c r="R148" i="21"/>
  <c r="T148" i="21"/>
  <c r="M149" i="21"/>
  <c r="N149" i="21"/>
  <c r="O149" i="21"/>
  <c r="P149" i="21"/>
  <c r="Q149" i="21"/>
  <c r="R149" i="21"/>
  <c r="S149" i="21"/>
  <c r="T149" i="21"/>
  <c r="M150" i="21"/>
  <c r="N150" i="21"/>
  <c r="O150" i="21"/>
  <c r="P150" i="21"/>
  <c r="Q150" i="21"/>
  <c r="R150" i="21"/>
  <c r="S150" i="21"/>
  <c r="T150" i="21"/>
  <c r="M151" i="21"/>
  <c r="N151" i="21"/>
  <c r="O151" i="21"/>
  <c r="P151" i="21"/>
  <c r="Q151" i="21"/>
  <c r="R151" i="21"/>
  <c r="S151" i="21"/>
  <c r="T151" i="21"/>
  <c r="R2" i="21"/>
  <c r="G86" i="2"/>
  <c r="G87" i="2"/>
  <c r="G88" i="2"/>
  <c r="G89" i="2"/>
  <c r="G90" i="2"/>
  <c r="G91" i="2"/>
  <c r="G94" i="2"/>
  <c r="G95" i="2"/>
  <c r="G96" i="2"/>
  <c r="G97" i="2"/>
  <c r="G100" i="2"/>
  <c r="E216" i="21" s="1"/>
  <c r="F216" i="21" s="1"/>
  <c r="G216" i="21" s="1"/>
  <c r="H216" i="21" s="1"/>
  <c r="I216" i="21" s="1"/>
  <c r="J216" i="21" s="1"/>
  <c r="K216" i="21" s="1"/>
  <c r="L216" i="21" s="1"/>
  <c r="M216" i="21" s="1"/>
  <c r="N216" i="21" s="1"/>
  <c r="O216" i="21" s="1"/>
  <c r="P216" i="21" s="1"/>
  <c r="Q216" i="21" s="1"/>
  <c r="R216" i="21" s="1"/>
  <c r="S216" i="21" s="1"/>
  <c r="T216" i="21" s="1"/>
  <c r="G103" i="2"/>
  <c r="E217" i="21" s="1"/>
  <c r="F217" i="21" s="1"/>
  <c r="G217" i="21" s="1"/>
  <c r="H217" i="21" s="1"/>
  <c r="I217" i="21" s="1"/>
  <c r="J217" i="21" s="1"/>
  <c r="K217" i="21" s="1"/>
  <c r="L217" i="21" s="1"/>
  <c r="M217" i="21" s="1"/>
  <c r="N217" i="21" s="1"/>
  <c r="O217" i="21" s="1"/>
  <c r="P217" i="21" s="1"/>
  <c r="Q217" i="21" s="1"/>
  <c r="R217" i="21" s="1"/>
  <c r="S217" i="21" s="1"/>
  <c r="T217" i="21" s="1"/>
  <c r="G106" i="2"/>
  <c r="G107" i="2"/>
  <c r="G108" i="2"/>
  <c r="G109" i="2"/>
  <c r="G110" i="2"/>
  <c r="G111" i="2"/>
  <c r="G112" i="2"/>
  <c r="G113" i="2"/>
  <c r="G114" i="2"/>
  <c r="G115" i="2"/>
  <c r="G116" i="2"/>
  <c r="G117" i="2"/>
  <c r="G118" i="2"/>
  <c r="G119" i="2"/>
  <c r="G120" i="2"/>
  <c r="G123" i="2"/>
  <c r="E221" i="21" s="1"/>
  <c r="F221" i="21" s="1"/>
  <c r="G221" i="21" s="1"/>
  <c r="H221" i="21" s="1"/>
  <c r="I221" i="21" s="1"/>
  <c r="J221" i="21" s="1"/>
  <c r="K221" i="21" s="1"/>
  <c r="L221" i="21" s="1"/>
  <c r="M221" i="21" s="1"/>
  <c r="N221" i="21" s="1"/>
  <c r="O221" i="21" s="1"/>
  <c r="P221" i="21" s="1"/>
  <c r="Q221" i="21" s="1"/>
  <c r="R221" i="21" s="1"/>
  <c r="S221" i="21" s="1"/>
  <c r="T221" i="21" s="1"/>
  <c r="G124" i="2"/>
  <c r="E222" i="21" s="1"/>
  <c r="F222" i="21" s="1"/>
  <c r="G222" i="21" s="1"/>
  <c r="H222" i="21" s="1"/>
  <c r="I222" i="21" s="1"/>
  <c r="J222" i="21" s="1"/>
  <c r="K222" i="21" s="1"/>
  <c r="L222" i="21" s="1"/>
  <c r="M222" i="21" s="1"/>
  <c r="N222" i="21" s="1"/>
  <c r="O222" i="21" s="1"/>
  <c r="P222" i="21" s="1"/>
  <c r="Q222" i="21" s="1"/>
  <c r="R222" i="21" s="1"/>
  <c r="S222" i="21" s="1"/>
  <c r="T222" i="21" s="1"/>
  <c r="G125" i="2"/>
  <c r="E223" i="21" s="1"/>
  <c r="F223" i="21" s="1"/>
  <c r="G223" i="21" s="1"/>
  <c r="H223" i="21" s="1"/>
  <c r="I223" i="21" s="1"/>
  <c r="J223" i="21" s="1"/>
  <c r="K223" i="21" s="1"/>
  <c r="L223" i="21" s="1"/>
  <c r="M223" i="21" s="1"/>
  <c r="N223" i="21" s="1"/>
  <c r="O223" i="21" s="1"/>
  <c r="P223" i="21" s="1"/>
  <c r="Q223" i="21" s="1"/>
  <c r="R223" i="21" s="1"/>
  <c r="S223" i="21" s="1"/>
  <c r="T223" i="21" s="1"/>
  <c r="G126" i="2"/>
  <c r="E224" i="21" s="1"/>
  <c r="F224" i="21" s="1"/>
  <c r="G224" i="21" s="1"/>
  <c r="H224" i="21" s="1"/>
  <c r="I224" i="21" s="1"/>
  <c r="J224" i="21" s="1"/>
  <c r="K224" i="21" s="1"/>
  <c r="L224" i="21" s="1"/>
  <c r="M224" i="21" s="1"/>
  <c r="N224" i="21" s="1"/>
  <c r="O224" i="21" s="1"/>
  <c r="P224" i="21" s="1"/>
  <c r="Q224" i="21" s="1"/>
  <c r="R224" i="21" s="1"/>
  <c r="S224" i="21" s="1"/>
  <c r="T224" i="21" s="1"/>
  <c r="E86" i="2"/>
  <c r="E87" i="2"/>
  <c r="E88" i="2"/>
  <c r="E89" i="2"/>
  <c r="E90" i="2"/>
  <c r="E91" i="2"/>
  <c r="E94" i="2"/>
  <c r="E95" i="2"/>
  <c r="E96" i="2"/>
  <c r="E97" i="2"/>
  <c r="E100" i="2"/>
  <c r="E103" i="2"/>
  <c r="E106" i="2"/>
  <c r="E107" i="2"/>
  <c r="E108" i="2"/>
  <c r="E109" i="2"/>
  <c r="E110" i="2"/>
  <c r="E111" i="2"/>
  <c r="E112" i="2"/>
  <c r="E113" i="2"/>
  <c r="E114" i="2"/>
  <c r="E115" i="2"/>
  <c r="E116" i="2"/>
  <c r="E117" i="2"/>
  <c r="E118" i="2"/>
  <c r="E119" i="2"/>
  <c r="E120" i="2"/>
  <c r="E123" i="2"/>
  <c r="E124" i="2"/>
  <c r="E190" i="21" s="1"/>
  <c r="F190" i="21" s="1"/>
  <c r="G190" i="21" s="1"/>
  <c r="H190" i="21" s="1"/>
  <c r="I190" i="21" s="1"/>
  <c r="J190" i="21" s="1"/>
  <c r="K190" i="21" s="1"/>
  <c r="L190" i="21" s="1"/>
  <c r="M190" i="21" s="1"/>
  <c r="N190" i="21" s="1"/>
  <c r="O190" i="21" s="1"/>
  <c r="P190" i="21" s="1"/>
  <c r="Q190" i="21" s="1"/>
  <c r="R190" i="21" s="1"/>
  <c r="S190" i="21" s="1"/>
  <c r="T190" i="21" s="1"/>
  <c r="E125" i="2"/>
  <c r="E191" i="21" s="1"/>
  <c r="F191" i="21" s="1"/>
  <c r="G191" i="21" s="1"/>
  <c r="H191" i="21" s="1"/>
  <c r="I191" i="21" s="1"/>
  <c r="J191" i="21" s="1"/>
  <c r="K191" i="21" s="1"/>
  <c r="L191" i="21" s="1"/>
  <c r="M191" i="21" s="1"/>
  <c r="N191" i="21" s="1"/>
  <c r="O191" i="21" s="1"/>
  <c r="P191" i="21" s="1"/>
  <c r="Q191" i="21" s="1"/>
  <c r="R191" i="21" s="1"/>
  <c r="S191" i="21" s="1"/>
  <c r="T191" i="21" s="1"/>
  <c r="E126" i="2"/>
  <c r="E192" i="21" s="1"/>
  <c r="F192" i="21" s="1"/>
  <c r="G192" i="21" s="1"/>
  <c r="H192" i="21" s="1"/>
  <c r="I192" i="21" s="1"/>
  <c r="J192" i="21" s="1"/>
  <c r="K192" i="21" s="1"/>
  <c r="L192" i="21" s="1"/>
  <c r="M192" i="21" s="1"/>
  <c r="N192" i="21" s="1"/>
  <c r="O192" i="21" s="1"/>
  <c r="P192" i="21" s="1"/>
  <c r="Q192" i="21" s="1"/>
  <c r="R192" i="21" s="1"/>
  <c r="S192" i="21" s="1"/>
  <c r="T192" i="21" s="1"/>
  <c r="G85" i="2"/>
  <c r="E85" i="2"/>
  <c r="D86" i="2"/>
  <c r="R86" i="2" s="1"/>
  <c r="F86" i="2"/>
  <c r="H86" i="2"/>
  <c r="I86" i="2"/>
  <c r="D87" i="2"/>
  <c r="R87" i="2" s="1"/>
  <c r="F87" i="2"/>
  <c r="H87" i="2"/>
  <c r="I87" i="2"/>
  <c r="D88" i="2"/>
  <c r="R88" i="2" s="1"/>
  <c r="F88" i="2"/>
  <c r="H88" i="2"/>
  <c r="I88" i="2"/>
  <c r="D89" i="2"/>
  <c r="R89" i="2" s="1"/>
  <c r="F89" i="2"/>
  <c r="H89" i="2"/>
  <c r="I89" i="2"/>
  <c r="D90" i="2"/>
  <c r="R90" i="2" s="1"/>
  <c r="F90" i="2"/>
  <c r="H90" i="2"/>
  <c r="I90" i="2"/>
  <c r="D91" i="2"/>
  <c r="R91" i="2" s="1"/>
  <c r="F91" i="2"/>
  <c r="H91" i="2"/>
  <c r="I91" i="2"/>
  <c r="D94" i="2"/>
  <c r="R94" i="2" s="1"/>
  <c r="F94" i="2"/>
  <c r="H94" i="2"/>
  <c r="I94" i="2"/>
  <c r="D95" i="2"/>
  <c r="R95" i="2" s="1"/>
  <c r="F95" i="2"/>
  <c r="H95" i="2"/>
  <c r="I95" i="2"/>
  <c r="D96" i="2"/>
  <c r="R96" i="2" s="1"/>
  <c r="F96" i="2"/>
  <c r="H96" i="2"/>
  <c r="I96" i="2"/>
  <c r="D97" i="2"/>
  <c r="R97" i="2" s="1"/>
  <c r="F97" i="2"/>
  <c r="H97" i="2"/>
  <c r="I97" i="2"/>
  <c r="D100" i="2"/>
  <c r="R100" i="2" s="1"/>
  <c r="F100" i="2"/>
  <c r="E200" i="21" s="1"/>
  <c r="F200" i="21" s="1"/>
  <c r="G200" i="21" s="1"/>
  <c r="H200" i="21" s="1"/>
  <c r="I200" i="21" s="1"/>
  <c r="J200" i="21" s="1"/>
  <c r="K200" i="21" s="1"/>
  <c r="L200" i="21" s="1"/>
  <c r="M200" i="21" s="1"/>
  <c r="N200" i="21" s="1"/>
  <c r="O200" i="21" s="1"/>
  <c r="P200" i="21" s="1"/>
  <c r="Q200" i="21" s="1"/>
  <c r="R200" i="21" s="1"/>
  <c r="S200" i="21" s="1"/>
  <c r="T200" i="21" s="1"/>
  <c r="H100" i="2"/>
  <c r="E232" i="21" s="1"/>
  <c r="F232" i="21" s="1"/>
  <c r="G232" i="21" s="1"/>
  <c r="H232" i="21" s="1"/>
  <c r="I232" i="21" s="1"/>
  <c r="J232" i="21" s="1"/>
  <c r="K232" i="21" s="1"/>
  <c r="L232" i="21" s="1"/>
  <c r="M232" i="21" s="1"/>
  <c r="N232" i="21" s="1"/>
  <c r="O232" i="21" s="1"/>
  <c r="P232" i="21" s="1"/>
  <c r="Q232" i="21" s="1"/>
  <c r="R232" i="21" s="1"/>
  <c r="S232" i="21" s="1"/>
  <c r="T232" i="21" s="1"/>
  <c r="I100" i="2"/>
  <c r="E248" i="21" s="1"/>
  <c r="F248" i="21" s="1"/>
  <c r="G248" i="21" s="1"/>
  <c r="H248" i="21" s="1"/>
  <c r="I248" i="21" s="1"/>
  <c r="J248" i="21" s="1"/>
  <c r="K248" i="21" s="1"/>
  <c r="L248" i="21" s="1"/>
  <c r="M248" i="21" s="1"/>
  <c r="N248" i="21" s="1"/>
  <c r="O248" i="21" s="1"/>
  <c r="P248" i="21" s="1"/>
  <c r="Q248" i="21" s="1"/>
  <c r="R248" i="21" s="1"/>
  <c r="S248" i="21" s="1"/>
  <c r="T248" i="21" s="1"/>
  <c r="D103" i="2"/>
  <c r="R103" i="2" s="1"/>
  <c r="F103" i="2"/>
  <c r="E201" i="21" s="1"/>
  <c r="F201" i="21" s="1"/>
  <c r="G201" i="21" s="1"/>
  <c r="H201" i="21" s="1"/>
  <c r="I201" i="21" s="1"/>
  <c r="J201" i="21" s="1"/>
  <c r="K201" i="21" s="1"/>
  <c r="L201" i="21" s="1"/>
  <c r="M201" i="21" s="1"/>
  <c r="N201" i="21" s="1"/>
  <c r="O201" i="21" s="1"/>
  <c r="P201" i="21" s="1"/>
  <c r="Q201" i="21" s="1"/>
  <c r="R201" i="21" s="1"/>
  <c r="S201" i="21" s="1"/>
  <c r="T201" i="21" s="1"/>
  <c r="H103" i="2"/>
  <c r="E233" i="21" s="1"/>
  <c r="F233" i="21" s="1"/>
  <c r="G233" i="21" s="1"/>
  <c r="H233" i="21" s="1"/>
  <c r="I233" i="21" s="1"/>
  <c r="J233" i="21" s="1"/>
  <c r="K233" i="21" s="1"/>
  <c r="L233" i="21" s="1"/>
  <c r="M233" i="21" s="1"/>
  <c r="N233" i="21" s="1"/>
  <c r="O233" i="21" s="1"/>
  <c r="P233" i="21" s="1"/>
  <c r="Q233" i="21" s="1"/>
  <c r="R233" i="21" s="1"/>
  <c r="S233" i="21" s="1"/>
  <c r="T233" i="21" s="1"/>
  <c r="I103" i="2"/>
  <c r="E249" i="21" s="1"/>
  <c r="F249" i="21" s="1"/>
  <c r="G249" i="21" s="1"/>
  <c r="H249" i="21" s="1"/>
  <c r="I249" i="21" s="1"/>
  <c r="J249" i="21" s="1"/>
  <c r="K249" i="21" s="1"/>
  <c r="L249" i="21" s="1"/>
  <c r="M249" i="21" s="1"/>
  <c r="N249" i="21" s="1"/>
  <c r="O249" i="21" s="1"/>
  <c r="P249" i="21" s="1"/>
  <c r="Q249" i="21" s="1"/>
  <c r="R249" i="21" s="1"/>
  <c r="S249" i="21" s="1"/>
  <c r="T249" i="21" s="1"/>
  <c r="D106" i="2"/>
  <c r="R106" i="2" s="1"/>
  <c r="F106" i="2"/>
  <c r="H106" i="2"/>
  <c r="I106" i="2"/>
  <c r="D107" i="2"/>
  <c r="R107" i="2" s="1"/>
  <c r="F107" i="2"/>
  <c r="H107" i="2"/>
  <c r="I107" i="2"/>
  <c r="D108" i="2"/>
  <c r="R108" i="2" s="1"/>
  <c r="F108" i="2"/>
  <c r="H108" i="2"/>
  <c r="I108" i="2"/>
  <c r="D109" i="2"/>
  <c r="R109" i="2" s="1"/>
  <c r="F109" i="2"/>
  <c r="H109" i="2"/>
  <c r="I109" i="2"/>
  <c r="D110" i="2"/>
  <c r="R110" i="2" s="1"/>
  <c r="F110" i="2"/>
  <c r="H110" i="2"/>
  <c r="I110" i="2"/>
  <c r="D111" i="2"/>
  <c r="R111" i="2" s="1"/>
  <c r="F111" i="2"/>
  <c r="H111" i="2"/>
  <c r="I111" i="2"/>
  <c r="D112" i="2"/>
  <c r="R112" i="2" s="1"/>
  <c r="F112" i="2"/>
  <c r="H112" i="2"/>
  <c r="I112" i="2"/>
  <c r="D113" i="2"/>
  <c r="R113" i="2" s="1"/>
  <c r="F113" i="2"/>
  <c r="H113" i="2"/>
  <c r="I113" i="2"/>
  <c r="D114" i="2"/>
  <c r="R114" i="2" s="1"/>
  <c r="F114" i="2"/>
  <c r="H114" i="2"/>
  <c r="I114" i="2"/>
  <c r="D115" i="2"/>
  <c r="R115" i="2" s="1"/>
  <c r="F115" i="2"/>
  <c r="H115" i="2"/>
  <c r="I115" i="2"/>
  <c r="D116" i="2"/>
  <c r="R116" i="2" s="1"/>
  <c r="F116" i="2"/>
  <c r="H116" i="2"/>
  <c r="I116" i="2"/>
  <c r="D117" i="2"/>
  <c r="R117" i="2" s="1"/>
  <c r="F117" i="2"/>
  <c r="H117" i="2"/>
  <c r="I117" i="2"/>
  <c r="D118" i="2"/>
  <c r="R118" i="2" s="1"/>
  <c r="F118" i="2"/>
  <c r="H118" i="2"/>
  <c r="I118" i="2"/>
  <c r="D119" i="2"/>
  <c r="R119" i="2" s="1"/>
  <c r="F119" i="2"/>
  <c r="H119" i="2"/>
  <c r="I119" i="2"/>
  <c r="D120" i="2"/>
  <c r="R120" i="2" s="1"/>
  <c r="F120" i="2"/>
  <c r="H120" i="2"/>
  <c r="I120" i="2"/>
  <c r="D123" i="2"/>
  <c r="R123" i="2" s="1"/>
  <c r="F123" i="2"/>
  <c r="E205" i="21" s="1"/>
  <c r="F205" i="21" s="1"/>
  <c r="G205" i="21" s="1"/>
  <c r="H205" i="21" s="1"/>
  <c r="I205" i="21" s="1"/>
  <c r="J205" i="21" s="1"/>
  <c r="K205" i="21" s="1"/>
  <c r="L205" i="21" s="1"/>
  <c r="M205" i="21" s="1"/>
  <c r="N205" i="21" s="1"/>
  <c r="O205" i="21" s="1"/>
  <c r="P205" i="21" s="1"/>
  <c r="Q205" i="21" s="1"/>
  <c r="R205" i="21" s="1"/>
  <c r="S205" i="21" s="1"/>
  <c r="T205" i="21" s="1"/>
  <c r="H123" i="2"/>
  <c r="E237" i="21" s="1"/>
  <c r="F237" i="21" s="1"/>
  <c r="G237" i="21" s="1"/>
  <c r="H237" i="21" s="1"/>
  <c r="I237" i="21" s="1"/>
  <c r="J237" i="21" s="1"/>
  <c r="K237" i="21" s="1"/>
  <c r="L237" i="21" s="1"/>
  <c r="M237" i="21" s="1"/>
  <c r="N237" i="21" s="1"/>
  <c r="O237" i="21" s="1"/>
  <c r="P237" i="21" s="1"/>
  <c r="Q237" i="21" s="1"/>
  <c r="R237" i="21" s="1"/>
  <c r="S237" i="21" s="1"/>
  <c r="T237" i="21" s="1"/>
  <c r="I123" i="2"/>
  <c r="E253" i="21" s="1"/>
  <c r="F253" i="21" s="1"/>
  <c r="G253" i="21" s="1"/>
  <c r="H253" i="21" s="1"/>
  <c r="I253" i="21" s="1"/>
  <c r="J253" i="21" s="1"/>
  <c r="K253" i="21" s="1"/>
  <c r="L253" i="21" s="1"/>
  <c r="M253" i="21" s="1"/>
  <c r="N253" i="21" s="1"/>
  <c r="O253" i="21" s="1"/>
  <c r="P253" i="21" s="1"/>
  <c r="Q253" i="21" s="1"/>
  <c r="R253" i="21" s="1"/>
  <c r="S253" i="21" s="1"/>
  <c r="T253" i="21" s="1"/>
  <c r="D124" i="2"/>
  <c r="R124" i="2" s="1"/>
  <c r="F124" i="2"/>
  <c r="E206" i="21" s="1"/>
  <c r="F206" i="21" s="1"/>
  <c r="G206" i="21" s="1"/>
  <c r="H206" i="21" s="1"/>
  <c r="I206" i="21" s="1"/>
  <c r="J206" i="21" s="1"/>
  <c r="K206" i="21" s="1"/>
  <c r="L206" i="21" s="1"/>
  <c r="M206" i="21" s="1"/>
  <c r="N206" i="21" s="1"/>
  <c r="O206" i="21" s="1"/>
  <c r="P206" i="21" s="1"/>
  <c r="Q206" i="21" s="1"/>
  <c r="R206" i="21" s="1"/>
  <c r="S206" i="21" s="1"/>
  <c r="T206" i="21" s="1"/>
  <c r="H124" i="2"/>
  <c r="E238" i="21" s="1"/>
  <c r="F238" i="21" s="1"/>
  <c r="G238" i="21" s="1"/>
  <c r="H238" i="21" s="1"/>
  <c r="I238" i="21" s="1"/>
  <c r="J238" i="21" s="1"/>
  <c r="K238" i="21" s="1"/>
  <c r="L238" i="21" s="1"/>
  <c r="M238" i="21" s="1"/>
  <c r="N238" i="21" s="1"/>
  <c r="O238" i="21" s="1"/>
  <c r="P238" i="21" s="1"/>
  <c r="Q238" i="21" s="1"/>
  <c r="R238" i="21" s="1"/>
  <c r="S238" i="21" s="1"/>
  <c r="T238" i="21" s="1"/>
  <c r="I124" i="2"/>
  <c r="E254" i="21" s="1"/>
  <c r="F254" i="21" s="1"/>
  <c r="G254" i="21" s="1"/>
  <c r="H254" i="21" s="1"/>
  <c r="I254" i="21" s="1"/>
  <c r="J254" i="21" s="1"/>
  <c r="K254" i="21" s="1"/>
  <c r="L254" i="21" s="1"/>
  <c r="M254" i="21" s="1"/>
  <c r="N254" i="21" s="1"/>
  <c r="O254" i="21" s="1"/>
  <c r="P254" i="21" s="1"/>
  <c r="Q254" i="21" s="1"/>
  <c r="R254" i="21" s="1"/>
  <c r="S254" i="21" s="1"/>
  <c r="T254" i="21" s="1"/>
  <c r="D125" i="2"/>
  <c r="R125" i="2" s="1"/>
  <c r="F125" i="2"/>
  <c r="E207" i="21" s="1"/>
  <c r="F207" i="21" s="1"/>
  <c r="G207" i="21" s="1"/>
  <c r="H207" i="21" s="1"/>
  <c r="I207" i="21" s="1"/>
  <c r="J207" i="21" s="1"/>
  <c r="K207" i="21" s="1"/>
  <c r="L207" i="21" s="1"/>
  <c r="M207" i="21" s="1"/>
  <c r="N207" i="21" s="1"/>
  <c r="O207" i="21" s="1"/>
  <c r="P207" i="21" s="1"/>
  <c r="Q207" i="21" s="1"/>
  <c r="R207" i="21" s="1"/>
  <c r="S207" i="21" s="1"/>
  <c r="T207" i="21" s="1"/>
  <c r="H125" i="2"/>
  <c r="E239" i="21" s="1"/>
  <c r="F239" i="21" s="1"/>
  <c r="G239" i="21" s="1"/>
  <c r="H239" i="21" s="1"/>
  <c r="I239" i="21" s="1"/>
  <c r="J239" i="21" s="1"/>
  <c r="K239" i="21" s="1"/>
  <c r="L239" i="21" s="1"/>
  <c r="M239" i="21" s="1"/>
  <c r="N239" i="21" s="1"/>
  <c r="O239" i="21" s="1"/>
  <c r="P239" i="21" s="1"/>
  <c r="Q239" i="21" s="1"/>
  <c r="R239" i="21" s="1"/>
  <c r="S239" i="21" s="1"/>
  <c r="T239" i="21" s="1"/>
  <c r="I125" i="2"/>
  <c r="E255" i="21" s="1"/>
  <c r="F255" i="21" s="1"/>
  <c r="G255" i="21" s="1"/>
  <c r="H255" i="21" s="1"/>
  <c r="I255" i="21" s="1"/>
  <c r="J255" i="21" s="1"/>
  <c r="K255" i="21" s="1"/>
  <c r="L255" i="21" s="1"/>
  <c r="M255" i="21" s="1"/>
  <c r="N255" i="21" s="1"/>
  <c r="O255" i="21" s="1"/>
  <c r="P255" i="21" s="1"/>
  <c r="Q255" i="21" s="1"/>
  <c r="R255" i="21" s="1"/>
  <c r="S255" i="21" s="1"/>
  <c r="T255" i="21" s="1"/>
  <c r="D126" i="2"/>
  <c r="R126" i="2" s="1"/>
  <c r="F126" i="2"/>
  <c r="E208" i="21" s="1"/>
  <c r="F208" i="21" s="1"/>
  <c r="G208" i="21" s="1"/>
  <c r="H208" i="21" s="1"/>
  <c r="I208" i="21" s="1"/>
  <c r="J208" i="21" s="1"/>
  <c r="K208" i="21" s="1"/>
  <c r="L208" i="21" s="1"/>
  <c r="M208" i="21" s="1"/>
  <c r="N208" i="21" s="1"/>
  <c r="O208" i="21" s="1"/>
  <c r="P208" i="21" s="1"/>
  <c r="Q208" i="21" s="1"/>
  <c r="R208" i="21" s="1"/>
  <c r="S208" i="21" s="1"/>
  <c r="T208" i="21" s="1"/>
  <c r="H126" i="2"/>
  <c r="E240" i="21" s="1"/>
  <c r="F240" i="21" s="1"/>
  <c r="G240" i="21" s="1"/>
  <c r="H240" i="21" s="1"/>
  <c r="I240" i="21" s="1"/>
  <c r="J240" i="21" s="1"/>
  <c r="K240" i="21" s="1"/>
  <c r="L240" i="21" s="1"/>
  <c r="M240" i="21" s="1"/>
  <c r="N240" i="21" s="1"/>
  <c r="O240" i="21" s="1"/>
  <c r="P240" i="21" s="1"/>
  <c r="Q240" i="21" s="1"/>
  <c r="R240" i="21" s="1"/>
  <c r="S240" i="21" s="1"/>
  <c r="T240" i="21" s="1"/>
  <c r="I126" i="2"/>
  <c r="E256" i="21" s="1"/>
  <c r="F256" i="21" s="1"/>
  <c r="G256" i="21" s="1"/>
  <c r="H256" i="21" s="1"/>
  <c r="I256" i="21" s="1"/>
  <c r="J256" i="21" s="1"/>
  <c r="K256" i="21" s="1"/>
  <c r="L256" i="21" s="1"/>
  <c r="M256" i="21" s="1"/>
  <c r="N256" i="21" s="1"/>
  <c r="O256" i="21" s="1"/>
  <c r="P256" i="21" s="1"/>
  <c r="Q256" i="21" s="1"/>
  <c r="R256" i="21" s="1"/>
  <c r="S256" i="21" s="1"/>
  <c r="T256" i="21" s="1"/>
  <c r="I85" i="2"/>
  <c r="H85" i="2"/>
  <c r="F85" i="2"/>
  <c r="D85" i="2"/>
  <c r="D197" i="22" a="1"/>
  <c r="D197" i="19" a="1"/>
  <c r="D197" i="25" a="1"/>
  <c r="O197" i="25" a="1"/>
  <c r="O197" i="19" a="1"/>
  <c r="O197" i="22" a="1"/>
  <c r="D197" i="25" l="1"/>
  <c r="O197" i="25"/>
  <c r="Z199" i="25"/>
  <c r="D197" i="22"/>
  <c r="O197" i="22"/>
  <c r="Z199" i="22"/>
  <c r="D197" i="19"/>
  <c r="O197" i="19"/>
  <c r="Z199" i="19"/>
  <c r="AE126" i="2"/>
  <c r="AC126" i="2"/>
  <c r="AD126" i="2"/>
  <c r="W126" i="2"/>
  <c r="U126" i="2"/>
  <c r="AF126" i="2"/>
  <c r="X126" i="2"/>
  <c r="AI126" i="2"/>
  <c r="AJ126" i="2"/>
  <c r="Y126" i="2"/>
  <c r="AH126" i="2"/>
  <c r="AA126" i="2"/>
  <c r="AL126" i="2"/>
  <c r="AG126" i="2"/>
  <c r="AB126" i="2"/>
  <c r="Z126" i="2"/>
  <c r="S126" i="2"/>
  <c r="AK126" i="2"/>
  <c r="T126" i="2"/>
  <c r="V126" i="2"/>
  <c r="AC120" i="2"/>
  <c r="AD120" i="2"/>
  <c r="V120" i="2"/>
  <c r="Y120" i="2"/>
  <c r="AB120" i="2"/>
  <c r="S120" i="2"/>
  <c r="AE120" i="2"/>
  <c r="T120" i="2"/>
  <c r="W120" i="2"/>
  <c r="X120" i="2"/>
  <c r="AK120" i="2"/>
  <c r="AG120" i="2"/>
  <c r="AJ120" i="2"/>
  <c r="U120" i="2"/>
  <c r="AH120" i="2"/>
  <c r="AF120" i="2"/>
  <c r="Z120" i="2"/>
  <c r="AI120" i="2"/>
  <c r="AA120" i="2"/>
  <c r="AL120" i="2"/>
  <c r="AA114" i="2"/>
  <c r="AG114" i="2"/>
  <c r="AD114" i="2"/>
  <c r="V114" i="2"/>
  <c r="AL114" i="2"/>
  <c r="AJ114" i="2"/>
  <c r="AH114" i="2"/>
  <c r="W114" i="2"/>
  <c r="AI114" i="2"/>
  <c r="AB114" i="2"/>
  <c r="S114" i="2"/>
  <c r="Z114" i="2"/>
  <c r="AC114" i="2"/>
  <c r="AK114" i="2"/>
  <c r="T114" i="2"/>
  <c r="AE114" i="2"/>
  <c r="U114" i="2"/>
  <c r="AF114" i="2"/>
  <c r="X114" i="2"/>
  <c r="Y114" i="2"/>
  <c r="AL108" i="2"/>
  <c r="AJ108" i="2"/>
  <c r="AF108" i="2"/>
  <c r="AD108" i="2"/>
  <c r="V108" i="2"/>
  <c r="T108" i="2"/>
  <c r="Y108" i="2"/>
  <c r="AE108" i="2"/>
  <c r="Z108" i="2"/>
  <c r="X108" i="2"/>
  <c r="W108" i="2"/>
  <c r="S108" i="2"/>
  <c r="AH108" i="2"/>
  <c r="AI108" i="2"/>
  <c r="AG108" i="2"/>
  <c r="U108" i="2"/>
  <c r="AC108" i="2"/>
  <c r="AK108" i="2"/>
  <c r="AA108" i="2"/>
  <c r="AB108" i="2"/>
  <c r="AD96" i="2"/>
  <c r="Z96" i="2"/>
  <c r="AI96" i="2"/>
  <c r="AG96" i="2"/>
  <c r="Y96" i="2"/>
  <c r="AL96" i="2"/>
  <c r="AJ96" i="2"/>
  <c r="AC96" i="2"/>
  <c r="AB96" i="2"/>
  <c r="W96" i="2"/>
  <c r="AK96" i="2"/>
  <c r="V96" i="2"/>
  <c r="T96" i="2"/>
  <c r="AE96" i="2"/>
  <c r="U96" i="2"/>
  <c r="AF96" i="2"/>
  <c r="AH96" i="2"/>
  <c r="S96" i="2"/>
  <c r="X96" i="2"/>
  <c r="AA96" i="2"/>
  <c r="AL88" i="2"/>
  <c r="AJ88" i="2"/>
  <c r="AK88" i="2"/>
  <c r="AK25" i="24"/>
  <c r="AK37" i="24" s="1"/>
  <c r="T124" i="2"/>
  <c r="V124" i="2"/>
  <c r="AG124" i="2"/>
  <c r="AH124" i="2"/>
  <c r="Y124" i="2"/>
  <c r="X124" i="2"/>
  <c r="AJ124" i="2"/>
  <c r="Z124" i="2"/>
  <c r="AB124" i="2"/>
  <c r="AC124" i="2"/>
  <c r="AA124" i="2"/>
  <c r="W124" i="2"/>
  <c r="AK124" i="2"/>
  <c r="AI124" i="2"/>
  <c r="AE124" i="2"/>
  <c r="AF124" i="2"/>
  <c r="AL124" i="2"/>
  <c r="U124" i="2"/>
  <c r="AD124" i="2"/>
  <c r="S124" i="2"/>
  <c r="AL118" i="2"/>
  <c r="U118" i="2"/>
  <c r="AF118" i="2"/>
  <c r="AH118" i="2"/>
  <c r="Z118" i="2"/>
  <c r="W118" i="2"/>
  <c r="X118" i="2"/>
  <c r="V118" i="2"/>
  <c r="AG118" i="2"/>
  <c r="AB118" i="2"/>
  <c r="Y118" i="2"/>
  <c r="AJ118" i="2"/>
  <c r="T118" i="2"/>
  <c r="AA118" i="2"/>
  <c r="S118" i="2"/>
  <c r="AE118" i="2"/>
  <c r="AK118" i="2"/>
  <c r="AI118" i="2"/>
  <c r="AC118" i="2"/>
  <c r="AD118" i="2"/>
  <c r="Y116" i="2"/>
  <c r="AE116" i="2"/>
  <c r="W116" i="2"/>
  <c r="AF116" i="2"/>
  <c r="U116" i="2"/>
  <c r="Z116" i="2"/>
  <c r="AI116" i="2"/>
  <c r="AK116" i="2"/>
  <c r="AA116" i="2"/>
  <c r="S116" i="2"/>
  <c r="AC116" i="2"/>
  <c r="AL116" i="2"/>
  <c r="AJ116" i="2"/>
  <c r="X116" i="2"/>
  <c r="AD116" i="2"/>
  <c r="AB116" i="2"/>
  <c r="AG116" i="2"/>
  <c r="V116" i="2"/>
  <c r="T116" i="2"/>
  <c r="AH116" i="2"/>
  <c r="AK112" i="2"/>
  <c r="AB112" i="2"/>
  <c r="Z112" i="2"/>
  <c r="X112" i="2"/>
  <c r="AL112" i="2"/>
  <c r="AJ112" i="2"/>
  <c r="AI112" i="2"/>
  <c r="AC112" i="2"/>
  <c r="AA112" i="2"/>
  <c r="U112" i="2"/>
  <c r="Y112" i="2"/>
  <c r="AD112" i="2"/>
  <c r="AG112" i="2"/>
  <c r="V112" i="2"/>
  <c r="AE112" i="2"/>
  <c r="T112" i="2"/>
  <c r="W112" i="2"/>
  <c r="AH112" i="2"/>
  <c r="AF112" i="2"/>
  <c r="S112" i="2"/>
  <c r="AB110" i="2"/>
  <c r="T110" i="2"/>
  <c r="AK110" i="2"/>
  <c r="AI110" i="2"/>
  <c r="W110" i="2"/>
  <c r="AE110" i="2"/>
  <c r="AC110" i="2"/>
  <c r="AL110" i="2"/>
  <c r="U110" i="2"/>
  <c r="Z110" i="2"/>
  <c r="AH110" i="2"/>
  <c r="AF110" i="2"/>
  <c r="AD110" i="2"/>
  <c r="V110" i="2"/>
  <c r="AA110" i="2"/>
  <c r="X110" i="2"/>
  <c r="S110" i="2"/>
  <c r="AG110" i="2"/>
  <c r="Y110" i="2"/>
  <c r="AJ110" i="2"/>
  <c r="W106" i="2"/>
  <c r="AE106" i="2"/>
  <c r="AC106" i="2"/>
  <c r="X106" i="2"/>
  <c r="U106" i="2"/>
  <c r="V106" i="2"/>
  <c r="AA106" i="2"/>
  <c r="AG106" i="2"/>
  <c r="AD106" i="2"/>
  <c r="S106" i="2"/>
  <c r="Y106" i="2"/>
  <c r="AI106" i="2"/>
  <c r="AJ106" i="2"/>
  <c r="AH106" i="2"/>
  <c r="AB106" i="2"/>
  <c r="Z106" i="2"/>
  <c r="AL106" i="2"/>
  <c r="AK106" i="2"/>
  <c r="T106" i="2"/>
  <c r="AF106" i="2"/>
  <c r="AB100" i="2"/>
  <c r="Z100" i="2"/>
  <c r="S100" i="2"/>
  <c r="AK100" i="2"/>
  <c r="T100" i="2"/>
  <c r="AA100" i="2"/>
  <c r="AC100" i="2"/>
  <c r="U100" i="2"/>
  <c r="AF100" i="2"/>
  <c r="W100" i="2"/>
  <c r="AE100" i="2"/>
  <c r="X100" i="2"/>
  <c r="AG100" i="2"/>
  <c r="AL100" i="2"/>
  <c r="V100" i="2"/>
  <c r="Y100" i="2"/>
  <c r="AI100" i="2"/>
  <c r="AD100" i="2"/>
  <c r="AJ100" i="2"/>
  <c r="AH100" i="2"/>
  <c r="Z94" i="2"/>
  <c r="AK94" i="2"/>
  <c r="AB94" i="2"/>
  <c r="X94" i="2"/>
  <c r="T94" i="2"/>
  <c r="AL94" i="2"/>
  <c r="AI94" i="2"/>
  <c r="S94" i="2"/>
  <c r="AD94" i="2"/>
  <c r="V94" i="2"/>
  <c r="AG94" i="2"/>
  <c r="AE94" i="2"/>
  <c r="AA94" i="2"/>
  <c r="AJ94" i="2"/>
  <c r="AF94" i="2"/>
  <c r="Y94" i="2"/>
  <c r="W94" i="2"/>
  <c r="AH94" i="2"/>
  <c r="AC94" i="2"/>
  <c r="U94" i="2"/>
  <c r="AJ90" i="2"/>
  <c r="AL90" i="2"/>
  <c r="AK90" i="2"/>
  <c r="AL86" i="2"/>
  <c r="AK86" i="2"/>
  <c r="AJ86" i="2"/>
  <c r="AI39" i="24"/>
  <c r="L81" i="16"/>
  <c r="AK32" i="25"/>
  <c r="AI40" i="24"/>
  <c r="L82" i="16"/>
  <c r="AI37" i="25"/>
  <c r="N78" i="16"/>
  <c r="AI39" i="25"/>
  <c r="N81" i="16"/>
  <c r="AB125" i="2"/>
  <c r="AE125" i="2"/>
  <c r="AG125" i="2"/>
  <c r="Y125" i="2"/>
  <c r="AK125" i="2"/>
  <c r="T125" i="2"/>
  <c r="AH125" i="2"/>
  <c r="S125" i="2"/>
  <c r="AF125" i="2"/>
  <c r="Z125" i="2"/>
  <c r="X125" i="2"/>
  <c r="AJ125" i="2"/>
  <c r="AI125" i="2"/>
  <c r="AD125" i="2"/>
  <c r="AA125" i="2"/>
  <c r="AL125" i="2"/>
  <c r="AC125" i="2"/>
  <c r="U125" i="2"/>
  <c r="V125" i="2"/>
  <c r="W125" i="2"/>
  <c r="AH123" i="2"/>
  <c r="X123" i="2"/>
  <c r="V123" i="2"/>
  <c r="AI123" i="2"/>
  <c r="AG123" i="2"/>
  <c r="Y123" i="2"/>
  <c r="AJ123" i="2"/>
  <c r="AA123" i="2"/>
  <c r="AB123" i="2"/>
  <c r="Z123" i="2"/>
  <c r="AK123" i="2"/>
  <c r="W123" i="2"/>
  <c r="T123" i="2"/>
  <c r="AC123" i="2"/>
  <c r="S123" i="2"/>
  <c r="AL123" i="2"/>
  <c r="U123" i="2"/>
  <c r="AF123" i="2"/>
  <c r="AD123" i="2"/>
  <c r="AE123" i="2"/>
  <c r="AJ119" i="2"/>
  <c r="AB119" i="2"/>
  <c r="AL119" i="2"/>
  <c r="U119" i="2"/>
  <c r="AD119" i="2"/>
  <c r="W119" i="2"/>
  <c r="V119" i="2"/>
  <c r="AG119" i="2"/>
  <c r="Y119" i="2"/>
  <c r="AH119" i="2"/>
  <c r="AF119" i="2"/>
  <c r="S119" i="2"/>
  <c r="T119" i="2"/>
  <c r="Z119" i="2"/>
  <c r="X119" i="2"/>
  <c r="AE119" i="2"/>
  <c r="AK119" i="2"/>
  <c r="AI119" i="2"/>
  <c r="AC119" i="2"/>
  <c r="AA119" i="2"/>
  <c r="W117" i="2"/>
  <c r="AF117" i="2"/>
  <c r="AD117" i="2"/>
  <c r="V117" i="2"/>
  <c r="X117" i="2"/>
  <c r="AH117" i="2"/>
  <c r="AL117" i="2"/>
  <c r="S117" i="2"/>
  <c r="AI117" i="2"/>
  <c r="AG117" i="2"/>
  <c r="AA117" i="2"/>
  <c r="Y117" i="2"/>
  <c r="AJ117" i="2"/>
  <c r="AK117" i="2"/>
  <c r="AB117" i="2"/>
  <c r="U117" i="2"/>
  <c r="AC117" i="2"/>
  <c r="Z117" i="2"/>
  <c r="T117" i="2"/>
  <c r="AE117" i="2"/>
  <c r="AJ115" i="2"/>
  <c r="T115" i="2"/>
  <c r="AF115" i="2"/>
  <c r="AG115" i="2"/>
  <c r="AE115" i="2"/>
  <c r="AA115" i="2"/>
  <c r="X115" i="2"/>
  <c r="Y115" i="2"/>
  <c r="W115" i="2"/>
  <c r="AH115" i="2"/>
  <c r="Z115" i="2"/>
  <c r="AK115" i="2"/>
  <c r="AL115" i="2"/>
  <c r="AC115" i="2"/>
  <c r="AB115" i="2"/>
  <c r="AI115" i="2"/>
  <c r="S115" i="2"/>
  <c r="U115" i="2"/>
  <c r="AD115" i="2"/>
  <c r="V115" i="2"/>
  <c r="X113" i="2"/>
  <c r="AI113" i="2"/>
  <c r="AG113" i="2"/>
  <c r="AA113" i="2"/>
  <c r="V113" i="2"/>
  <c r="Z113" i="2"/>
  <c r="S113" i="2"/>
  <c r="AJ113" i="2"/>
  <c r="AH113" i="2"/>
  <c r="AB113" i="2"/>
  <c r="AC113" i="2"/>
  <c r="AK113" i="2"/>
  <c r="T113" i="2"/>
  <c r="AE113" i="2"/>
  <c r="W113" i="2"/>
  <c r="U113" i="2"/>
  <c r="Y113" i="2"/>
  <c r="AL113" i="2"/>
  <c r="AD113" i="2"/>
  <c r="AF113" i="2"/>
  <c r="AF111" i="2"/>
  <c r="Z111" i="2"/>
  <c r="AI111" i="2"/>
  <c r="X111" i="2"/>
  <c r="AK111" i="2"/>
  <c r="AC111" i="2"/>
  <c r="AA111" i="2"/>
  <c r="AB111" i="2"/>
  <c r="AJ111" i="2"/>
  <c r="AE111" i="2"/>
  <c r="AL111" i="2"/>
  <c r="U111" i="2"/>
  <c r="T111" i="2"/>
  <c r="W111" i="2"/>
  <c r="AD111" i="2"/>
  <c r="AG111" i="2"/>
  <c r="Y111" i="2"/>
  <c r="S111" i="2"/>
  <c r="V111" i="2"/>
  <c r="AH111" i="2"/>
  <c r="AJ109" i="2"/>
  <c r="AK109" i="2"/>
  <c r="AC109" i="2"/>
  <c r="AB109" i="2"/>
  <c r="T109" i="2"/>
  <c r="AE109" i="2"/>
  <c r="U109" i="2"/>
  <c r="W109" i="2"/>
  <c r="AF109" i="2"/>
  <c r="V109" i="2"/>
  <c r="AD109" i="2"/>
  <c r="AL109" i="2"/>
  <c r="X109" i="2"/>
  <c r="AH109" i="2"/>
  <c r="Z109" i="2"/>
  <c r="S109" i="2"/>
  <c r="AI109" i="2"/>
  <c r="AG109" i="2"/>
  <c r="AA109" i="2"/>
  <c r="Y109" i="2"/>
  <c r="AL107" i="2"/>
  <c r="U107" i="2"/>
  <c r="AD107" i="2"/>
  <c r="X107" i="2"/>
  <c r="AB107" i="2"/>
  <c r="V107" i="2"/>
  <c r="S107" i="2"/>
  <c r="AG107" i="2"/>
  <c r="AE107" i="2"/>
  <c r="AJ107" i="2"/>
  <c r="Y107" i="2"/>
  <c r="W107" i="2"/>
  <c r="AH107" i="2"/>
  <c r="Z107" i="2"/>
  <c r="AK107" i="2"/>
  <c r="AF107" i="2"/>
  <c r="T107" i="2"/>
  <c r="AA107" i="2"/>
  <c r="AI107" i="2"/>
  <c r="AC107" i="2"/>
  <c r="Z103" i="2"/>
  <c r="AB103" i="2"/>
  <c r="V103" i="2"/>
  <c r="AK103" i="2"/>
  <c r="T103" i="2"/>
  <c r="AE103" i="2"/>
  <c r="AC103" i="2"/>
  <c r="AH103" i="2"/>
  <c r="AL103" i="2"/>
  <c r="Y103" i="2"/>
  <c r="W103" i="2"/>
  <c r="U103" i="2"/>
  <c r="AA103" i="2"/>
  <c r="AF103" i="2"/>
  <c r="AI103" i="2"/>
  <c r="AD103" i="2"/>
  <c r="X103" i="2"/>
  <c r="S103" i="2"/>
  <c r="AG103" i="2"/>
  <c r="AJ103" i="2"/>
  <c r="AE97" i="2"/>
  <c r="AG97" i="2"/>
  <c r="Z97" i="2"/>
  <c r="S97" i="2"/>
  <c r="Y97" i="2"/>
  <c r="AJ97" i="2"/>
  <c r="AH97" i="2"/>
  <c r="AB97" i="2"/>
  <c r="AK97" i="2"/>
  <c r="T97" i="2"/>
  <c r="U97" i="2"/>
  <c r="AC97" i="2"/>
  <c r="W97" i="2"/>
  <c r="AL97" i="2"/>
  <c r="AI97" i="2"/>
  <c r="AF97" i="2"/>
  <c r="AD97" i="2"/>
  <c r="AA97" i="2"/>
  <c r="X97" i="2"/>
  <c r="V97" i="2"/>
  <c r="AK95" i="2"/>
  <c r="AF95" i="2"/>
  <c r="AI95" i="2"/>
  <c r="X95" i="2"/>
  <c r="U95" i="2"/>
  <c r="AL95" i="2"/>
  <c r="AJ95" i="2"/>
  <c r="AD95" i="2"/>
  <c r="AB95" i="2"/>
  <c r="AC95" i="2"/>
  <c r="V95" i="2"/>
  <c r="T95" i="2"/>
  <c r="AG95" i="2"/>
  <c r="AE95" i="2"/>
  <c r="S95" i="2"/>
  <c r="W95" i="2"/>
  <c r="AH95" i="2"/>
  <c r="Y95" i="2"/>
  <c r="Z95" i="2"/>
  <c r="AA95" i="2"/>
  <c r="AL91" i="2"/>
  <c r="AJ91" i="2"/>
  <c r="AK91" i="2"/>
  <c r="AL89" i="2"/>
  <c r="AJ89" i="2"/>
  <c r="AK89" i="2"/>
  <c r="AL87" i="2"/>
  <c r="AK87" i="2"/>
  <c r="AJ87" i="2"/>
  <c r="AI40" i="25"/>
  <c r="N82" i="16"/>
  <c r="AI37" i="24"/>
  <c r="AI41" i="24"/>
  <c r="L73" i="16"/>
  <c r="AA91" i="2"/>
  <c r="T91" i="2"/>
  <c r="U91" i="2"/>
  <c r="AD91" i="2"/>
  <c r="Z91" i="2"/>
  <c r="AG91" i="2"/>
  <c r="W91" i="2"/>
  <c r="AB91" i="2"/>
  <c r="AF91" i="2"/>
  <c r="X91" i="2"/>
  <c r="AI91" i="2"/>
  <c r="V91" i="2"/>
  <c r="AE91" i="2"/>
  <c r="AH91" i="2"/>
  <c r="S91" i="2"/>
  <c r="Y91" i="2"/>
  <c r="AC91" i="2"/>
  <c r="AG90" i="2"/>
  <c r="X90" i="2"/>
  <c r="V90" i="2"/>
  <c r="U90" i="2"/>
  <c r="Y90" i="2"/>
  <c r="AE90" i="2"/>
  <c r="AD90" i="2"/>
  <c r="AI90" i="2"/>
  <c r="W90" i="2"/>
  <c r="AB90" i="2"/>
  <c r="T90" i="2"/>
  <c r="Z90" i="2"/>
  <c r="AC90" i="2"/>
  <c r="AH90" i="2"/>
  <c r="AF90" i="2"/>
  <c r="AA90" i="2"/>
  <c r="S90" i="2"/>
  <c r="AC89" i="2"/>
  <c r="Y89" i="2"/>
  <c r="T89" i="2"/>
  <c r="W89" i="2"/>
  <c r="U89" i="2"/>
  <c r="AD89" i="2"/>
  <c r="AH89" i="2"/>
  <c r="AF89" i="2"/>
  <c r="AG89" i="2"/>
  <c r="AI89" i="2"/>
  <c r="Z89" i="2"/>
  <c r="AE89" i="2"/>
  <c r="AA89" i="2"/>
  <c r="S89" i="2"/>
  <c r="X89" i="2"/>
  <c r="V89" i="2"/>
  <c r="AB89" i="2"/>
  <c r="T88" i="2"/>
  <c r="X88" i="2"/>
  <c r="AH88" i="2"/>
  <c r="Z88" i="2"/>
  <c r="AC88" i="2"/>
  <c r="S88" i="2"/>
  <c r="AG88" i="2"/>
  <c r="W88" i="2"/>
  <c r="U88" i="2"/>
  <c r="AB88" i="2"/>
  <c r="AD88" i="2"/>
  <c r="AE88" i="2"/>
  <c r="Y88" i="2"/>
  <c r="AF88" i="2"/>
  <c r="AA88" i="2"/>
  <c r="AI88" i="2"/>
  <c r="V88" i="2"/>
  <c r="Y86" i="2"/>
  <c r="X86" i="2"/>
  <c r="V86" i="2"/>
  <c r="T86" i="2"/>
  <c r="AB86" i="2"/>
  <c r="AE86" i="2"/>
  <c r="AF86" i="2"/>
  <c r="Z86" i="2"/>
  <c r="W86" i="2"/>
  <c r="AH86" i="2"/>
  <c r="AA86" i="2"/>
  <c r="U86" i="2"/>
  <c r="S86" i="2"/>
  <c r="AG86" i="2"/>
  <c r="AC86" i="2"/>
  <c r="AI86" i="2"/>
  <c r="AD86" i="2"/>
  <c r="T87" i="2"/>
  <c r="W87" i="2"/>
  <c r="AG87" i="2"/>
  <c r="AE87" i="2"/>
  <c r="AA87" i="2"/>
  <c r="AD87" i="2"/>
  <c r="AI87" i="2"/>
  <c r="U87" i="2"/>
  <c r="AF87" i="2"/>
  <c r="Z87" i="2"/>
  <c r="AH87" i="2"/>
  <c r="AC87" i="2"/>
  <c r="AB87" i="2"/>
  <c r="S87" i="2"/>
  <c r="Y87" i="2"/>
  <c r="X87" i="2"/>
  <c r="V87" i="2"/>
  <c r="E174" i="21"/>
  <c r="F174" i="21" s="1"/>
  <c r="G174" i="21" s="1"/>
  <c r="H174" i="21" s="1"/>
  <c r="I174" i="21" s="1"/>
  <c r="J174" i="21" s="1"/>
  <c r="K174" i="21" s="1"/>
  <c r="L174" i="21" s="1"/>
  <c r="M174" i="21" s="1"/>
  <c r="N174" i="21" s="1"/>
  <c r="O174" i="21" s="1"/>
  <c r="P174" i="21" s="1"/>
  <c r="Q174" i="21" s="1"/>
  <c r="R174" i="21" s="1"/>
  <c r="S174" i="21" s="1"/>
  <c r="T174" i="21" s="1"/>
  <c r="E168" i="21"/>
  <c r="F168" i="21" s="1"/>
  <c r="G168" i="21" s="1"/>
  <c r="H168" i="21" s="1"/>
  <c r="I168" i="21" s="1"/>
  <c r="J168" i="21" s="1"/>
  <c r="K168" i="21" s="1"/>
  <c r="L168" i="21" s="1"/>
  <c r="M168" i="21" s="1"/>
  <c r="N168" i="21" s="1"/>
  <c r="O168" i="21" s="1"/>
  <c r="P168" i="21" s="1"/>
  <c r="Q168" i="21" s="1"/>
  <c r="R168" i="21" s="1"/>
  <c r="S168" i="21" s="1"/>
  <c r="T168" i="21" s="1"/>
  <c r="S214" i="21"/>
  <c r="T214" i="21"/>
  <c r="M214" i="21"/>
  <c r="P214" i="21"/>
  <c r="N214" i="21"/>
  <c r="R214" i="21"/>
  <c r="O214" i="21"/>
  <c r="Q214" i="21"/>
  <c r="S198" i="21"/>
  <c r="T198" i="21"/>
  <c r="M198" i="21"/>
  <c r="N198" i="21"/>
  <c r="O198" i="21"/>
  <c r="P198" i="21"/>
  <c r="Q198" i="21"/>
  <c r="R198" i="21"/>
  <c r="E175" i="21"/>
  <c r="F175" i="21" s="1"/>
  <c r="G175" i="21" s="1"/>
  <c r="H175" i="21" s="1"/>
  <c r="I175" i="21" s="1"/>
  <c r="J175" i="21" s="1"/>
  <c r="K175" i="21" s="1"/>
  <c r="L175" i="21" s="1"/>
  <c r="M175" i="21" s="1"/>
  <c r="N175" i="21" s="1"/>
  <c r="O175" i="21" s="1"/>
  <c r="P175" i="21" s="1"/>
  <c r="Q175" i="21" s="1"/>
  <c r="R175" i="21" s="1"/>
  <c r="S175" i="21" s="1"/>
  <c r="T175" i="21" s="1"/>
  <c r="E173" i="21"/>
  <c r="F173" i="21" s="1"/>
  <c r="G173" i="21" s="1"/>
  <c r="H173" i="21" s="1"/>
  <c r="I173" i="21" s="1"/>
  <c r="J173" i="21" s="1"/>
  <c r="K173" i="21" s="1"/>
  <c r="L173" i="21" s="1"/>
  <c r="M173" i="21" s="1"/>
  <c r="N173" i="21" s="1"/>
  <c r="O173" i="21" s="1"/>
  <c r="P173" i="21" s="1"/>
  <c r="Q173" i="21" s="1"/>
  <c r="R173" i="21" s="1"/>
  <c r="S173" i="21" s="1"/>
  <c r="T173" i="21" s="1"/>
  <c r="E169" i="21"/>
  <c r="F169" i="21" s="1"/>
  <c r="G169" i="21" s="1"/>
  <c r="H169" i="21" s="1"/>
  <c r="I169" i="21" s="1"/>
  <c r="J169" i="21" s="1"/>
  <c r="K169" i="21" s="1"/>
  <c r="L169" i="21" s="1"/>
  <c r="M169" i="21" s="1"/>
  <c r="N169" i="21" s="1"/>
  <c r="O169" i="21" s="1"/>
  <c r="P169" i="21" s="1"/>
  <c r="Q169" i="21" s="1"/>
  <c r="R169" i="21" s="1"/>
  <c r="S169" i="21" s="1"/>
  <c r="T169" i="21" s="1"/>
  <c r="R85" i="2"/>
  <c r="X85" i="2" s="1"/>
  <c r="S166" i="21"/>
  <c r="T166" i="21"/>
  <c r="M166" i="21"/>
  <c r="N166" i="21"/>
  <c r="O166" i="21"/>
  <c r="P166" i="21"/>
  <c r="Q166" i="21"/>
  <c r="R166" i="21"/>
  <c r="M167" i="21"/>
  <c r="M177" i="21" s="1"/>
  <c r="N167" i="21"/>
  <c r="N177" i="21" s="1"/>
  <c r="O167" i="21"/>
  <c r="O177" i="21" s="1"/>
  <c r="P167" i="21"/>
  <c r="P177" i="21" s="1"/>
  <c r="Q167" i="21"/>
  <c r="Q177" i="21" s="1"/>
  <c r="R167" i="21"/>
  <c r="R177" i="21" s="1"/>
  <c r="S167" i="21"/>
  <c r="S177" i="21" s="1"/>
  <c r="T167" i="21"/>
  <c r="T177" i="21" s="1"/>
  <c r="O215" i="21"/>
  <c r="O225" i="21" s="1"/>
  <c r="P215" i="21"/>
  <c r="P225" i="21" s="1"/>
  <c r="Q215" i="21"/>
  <c r="R215" i="21"/>
  <c r="S215" i="21"/>
  <c r="S225" i="21" s="1"/>
  <c r="N215" i="21"/>
  <c r="N225" i="21" s="1"/>
  <c r="T215" i="21"/>
  <c r="T225" i="21" s="1"/>
  <c r="M215" i="21"/>
  <c r="O199" i="21"/>
  <c r="O209" i="21" s="1"/>
  <c r="Q199" i="21"/>
  <c r="Q209" i="21" s="1"/>
  <c r="P199" i="21"/>
  <c r="P209" i="21" s="1"/>
  <c r="R199" i="21"/>
  <c r="R209" i="21" s="1"/>
  <c r="N199" i="21"/>
  <c r="N209" i="21" s="1"/>
  <c r="S199" i="21"/>
  <c r="S209" i="21" s="1"/>
  <c r="T199" i="21"/>
  <c r="T209" i="21" s="1"/>
  <c r="M199" i="21"/>
  <c r="M209" i="21" s="1"/>
  <c r="M247" i="21"/>
  <c r="M257" i="21" s="1"/>
  <c r="O247" i="21"/>
  <c r="O257" i="21" s="1"/>
  <c r="P247" i="21"/>
  <c r="S247" i="21"/>
  <c r="S257" i="21" s="1"/>
  <c r="Q247" i="21"/>
  <c r="Q257" i="21" s="1"/>
  <c r="R247" i="21"/>
  <c r="R257" i="21" s="1"/>
  <c r="T247" i="21"/>
  <c r="T257" i="21" s="1"/>
  <c r="N247" i="21"/>
  <c r="N257" i="21" s="1"/>
  <c r="M231" i="21"/>
  <c r="O231" i="21"/>
  <c r="S231" i="21"/>
  <c r="P231" i="21"/>
  <c r="P241" i="21" s="1"/>
  <c r="Q231" i="21"/>
  <c r="R231" i="21"/>
  <c r="R241" i="21" s="1"/>
  <c r="T231" i="21"/>
  <c r="T241" i="21" s="1"/>
  <c r="N231" i="21"/>
  <c r="N241" i="21" s="1"/>
  <c r="O183" i="21"/>
  <c r="O193" i="21" s="1"/>
  <c r="S183" i="21"/>
  <c r="S193" i="21" s="1"/>
  <c r="P183" i="21"/>
  <c r="P193" i="21" s="1"/>
  <c r="Q183" i="21"/>
  <c r="Q193" i="21" s="1"/>
  <c r="R183" i="21"/>
  <c r="R193" i="21" s="1"/>
  <c r="N183" i="21"/>
  <c r="N193" i="21" s="1"/>
  <c r="T183" i="21"/>
  <c r="T193" i="21" s="1"/>
  <c r="M183" i="21"/>
  <c r="M193" i="21" s="1"/>
  <c r="M246" i="21"/>
  <c r="N246" i="21"/>
  <c r="R246" i="21"/>
  <c r="S246" i="21"/>
  <c r="O246" i="21"/>
  <c r="T246" i="21"/>
  <c r="P246" i="21"/>
  <c r="Q246" i="21"/>
  <c r="M230" i="21"/>
  <c r="P230" i="21"/>
  <c r="R230" i="21"/>
  <c r="S230" i="21"/>
  <c r="Q230" i="21"/>
  <c r="T230" i="21"/>
  <c r="N230" i="21"/>
  <c r="O230" i="21"/>
  <c r="N182" i="21"/>
  <c r="O182" i="21"/>
  <c r="P182" i="21"/>
  <c r="Q182" i="21"/>
  <c r="R182" i="21"/>
  <c r="T182" i="21"/>
  <c r="S182" i="21"/>
  <c r="M182" i="21"/>
  <c r="E176" i="21"/>
  <c r="F176" i="21" s="1"/>
  <c r="G176" i="21" s="1"/>
  <c r="H176" i="21" s="1"/>
  <c r="I176" i="21" s="1"/>
  <c r="J176" i="21" s="1"/>
  <c r="K176" i="21" s="1"/>
  <c r="L176" i="21" s="1"/>
  <c r="M176" i="21" s="1"/>
  <c r="N176" i="21" s="1"/>
  <c r="O176" i="21" s="1"/>
  <c r="P176" i="21" s="1"/>
  <c r="Q176" i="21" s="1"/>
  <c r="R176" i="21" s="1"/>
  <c r="S176" i="21" s="1"/>
  <c r="T176" i="21" s="1"/>
  <c r="AK28" i="25"/>
  <c r="AK39" i="25" s="1"/>
  <c r="AK30" i="25"/>
  <c r="AK30" i="24"/>
  <c r="AK22" i="25"/>
  <c r="AK29" i="24"/>
  <c r="AK40" i="24" s="1"/>
  <c r="BN25" i="24" s="1"/>
  <c r="AK22" i="24"/>
  <c r="AK32" i="24"/>
  <c r="AS11" i="24"/>
  <c r="AS11" i="25"/>
  <c r="E189" i="21"/>
  <c r="F189" i="21" s="1"/>
  <c r="G189" i="21" s="1"/>
  <c r="H189" i="21" s="1"/>
  <c r="I189" i="21" s="1"/>
  <c r="J189" i="21" s="1"/>
  <c r="K189" i="21" s="1"/>
  <c r="L189" i="21" s="1"/>
  <c r="M189" i="21" s="1"/>
  <c r="N189" i="21" s="1"/>
  <c r="O189" i="21" s="1"/>
  <c r="P189" i="21" s="1"/>
  <c r="Q189" i="21" s="1"/>
  <c r="R189" i="21" s="1"/>
  <c r="S189" i="21" s="1"/>
  <c r="T189" i="21" s="1"/>
  <c r="E185" i="21"/>
  <c r="F185" i="21" s="1"/>
  <c r="G185" i="21" s="1"/>
  <c r="H185" i="21" s="1"/>
  <c r="I185" i="21" s="1"/>
  <c r="J185" i="21" s="1"/>
  <c r="K185" i="21" s="1"/>
  <c r="L185" i="21" s="1"/>
  <c r="M185" i="21" s="1"/>
  <c r="N185" i="21" s="1"/>
  <c r="O185" i="21" s="1"/>
  <c r="P185" i="21" s="1"/>
  <c r="Q185" i="21" s="1"/>
  <c r="R185" i="21" s="1"/>
  <c r="S185" i="21" s="1"/>
  <c r="T185" i="21" s="1"/>
  <c r="E184" i="21"/>
  <c r="F184" i="21" s="1"/>
  <c r="G184" i="21" s="1"/>
  <c r="H184" i="21" s="1"/>
  <c r="I184" i="21" s="1"/>
  <c r="J184" i="21" s="1"/>
  <c r="K184" i="21" s="1"/>
  <c r="L184" i="21" s="1"/>
  <c r="M184" i="21" s="1"/>
  <c r="N184" i="21" s="1"/>
  <c r="O184" i="21" s="1"/>
  <c r="P184" i="21" s="1"/>
  <c r="Q184" i="21" s="1"/>
  <c r="R184" i="21" s="1"/>
  <c r="S184" i="21" s="1"/>
  <c r="T184" i="21" s="1"/>
  <c r="AO31" i="25"/>
  <c r="AO96" i="25"/>
  <c r="AO50" i="24"/>
  <c r="AO96" i="24"/>
  <c r="P257" i="21"/>
  <c r="I50" i="21"/>
  <c r="AO32" i="24"/>
  <c r="AO36" i="24"/>
  <c r="AO26" i="24"/>
  <c r="AO29" i="25"/>
  <c r="AO38" i="24"/>
  <c r="AO53" i="24"/>
  <c r="K50" i="21"/>
  <c r="BC12" i="25"/>
  <c r="BU12" i="25"/>
  <c r="BV14" i="25"/>
  <c r="AI41" i="25"/>
  <c r="AK20" i="25"/>
  <c r="AK41" i="25" s="1"/>
  <c r="AO125" i="25"/>
  <c r="AO120" i="25"/>
  <c r="AO123" i="25"/>
  <c r="AO121" i="25"/>
  <c r="AO111" i="25"/>
  <c r="AO118" i="25"/>
  <c r="AO114" i="25"/>
  <c r="AO112" i="25"/>
  <c r="AO124" i="25"/>
  <c r="AO117" i="25"/>
  <c r="AO113" i="25"/>
  <c r="AO106" i="25"/>
  <c r="AO102" i="25"/>
  <c r="AO109" i="25"/>
  <c r="AO104" i="25"/>
  <c r="AO99" i="25"/>
  <c r="AO119" i="25"/>
  <c r="AO115" i="25"/>
  <c r="AO103" i="25"/>
  <c r="AO97" i="25"/>
  <c r="AO116" i="25"/>
  <c r="AO107" i="25"/>
  <c r="AO105" i="25"/>
  <c r="AO101" i="25"/>
  <c r="AO95" i="25"/>
  <c r="AO110" i="25"/>
  <c r="AO108" i="25"/>
  <c r="AO88" i="25"/>
  <c r="AO93" i="25"/>
  <c r="AO122" i="25"/>
  <c r="AO90" i="25"/>
  <c r="AO94" i="25"/>
  <c r="AO100" i="25"/>
  <c r="AO98" i="25"/>
  <c r="AO92" i="25"/>
  <c r="AO87" i="25"/>
  <c r="AO80" i="25"/>
  <c r="AO89" i="25"/>
  <c r="AO81" i="25"/>
  <c r="AO75" i="25"/>
  <c r="AO72" i="25"/>
  <c r="AO70" i="25"/>
  <c r="AO79" i="25"/>
  <c r="AO71" i="25"/>
  <c r="AO67" i="25"/>
  <c r="AO86" i="25"/>
  <c r="AO77" i="25"/>
  <c r="AO63" i="25"/>
  <c r="AO76" i="25"/>
  <c r="AO69" i="25"/>
  <c r="AO65" i="25"/>
  <c r="AO84" i="25"/>
  <c r="AO83" i="25"/>
  <c r="AO91" i="25"/>
  <c r="AO66" i="25"/>
  <c r="AO64" i="25"/>
  <c r="AO61" i="25"/>
  <c r="AO59" i="25"/>
  <c r="AO57" i="25"/>
  <c r="AO78" i="25"/>
  <c r="AO54" i="25"/>
  <c r="AO74" i="25"/>
  <c r="AO73" i="25"/>
  <c r="AO68" i="25"/>
  <c r="AO60" i="25"/>
  <c r="AO53" i="25"/>
  <c r="AO58" i="25"/>
  <c r="AO51" i="25"/>
  <c r="AO85" i="25"/>
  <c r="AO56" i="25"/>
  <c r="AO55" i="25"/>
  <c r="AO49" i="25"/>
  <c r="AO48" i="25"/>
  <c r="AO44" i="25"/>
  <c r="AO39" i="25"/>
  <c r="AO82" i="25"/>
  <c r="AO50" i="25"/>
  <c r="AO47" i="25"/>
  <c r="AO46" i="25"/>
  <c r="AO35" i="25"/>
  <c r="AO52" i="25"/>
  <c r="AO41" i="25"/>
  <c r="AO37" i="25"/>
  <c r="AO33" i="25"/>
  <c r="AO28" i="25"/>
  <c r="AO32" i="25"/>
  <c r="AO38" i="25"/>
  <c r="AK25" i="25"/>
  <c r="AK37" i="25" s="1"/>
  <c r="AO27" i="25"/>
  <c r="AO45" i="25"/>
  <c r="AO26" i="25"/>
  <c r="AO40" i="25"/>
  <c r="BB14" i="25"/>
  <c r="AK18" i="25"/>
  <c r="AO36" i="25"/>
  <c r="AO42" i="25"/>
  <c r="AO43" i="25"/>
  <c r="AK29" i="25"/>
  <c r="AK40" i="25" s="1"/>
  <c r="BN25" i="25" s="1"/>
  <c r="AO30" i="25"/>
  <c r="AO34" i="25"/>
  <c r="AO62" i="25"/>
  <c r="Z168" i="25"/>
  <c r="BX14" i="24"/>
  <c r="BC14" i="24"/>
  <c r="BC12" i="24"/>
  <c r="AK18" i="24"/>
  <c r="AO30" i="24"/>
  <c r="AO29" i="24"/>
  <c r="AO55" i="24"/>
  <c r="BU12" i="24"/>
  <c r="AK28" i="24"/>
  <c r="AK39" i="24" s="1"/>
  <c r="AO31" i="24"/>
  <c r="AO28" i="24"/>
  <c r="AO35" i="24"/>
  <c r="AO41" i="24"/>
  <c r="AO121" i="24"/>
  <c r="AO124" i="24"/>
  <c r="AO125" i="24"/>
  <c r="AO122" i="24"/>
  <c r="AO123" i="24"/>
  <c r="AO109" i="24"/>
  <c r="AO112" i="24"/>
  <c r="AO120" i="24"/>
  <c r="AO119" i="24"/>
  <c r="AO115" i="24"/>
  <c r="AO116" i="24"/>
  <c r="AO110" i="24"/>
  <c r="AO117" i="24"/>
  <c r="AO113" i="24"/>
  <c r="AO118" i="24"/>
  <c r="AO114" i="24"/>
  <c r="AO107" i="24"/>
  <c r="AO103" i="24"/>
  <c r="AO104" i="24"/>
  <c r="AO99" i="24"/>
  <c r="AO94" i="24"/>
  <c r="AO111" i="24"/>
  <c r="AO101" i="24"/>
  <c r="AO97" i="24"/>
  <c r="AO108" i="24"/>
  <c r="AO98" i="24"/>
  <c r="AO102" i="24"/>
  <c r="AO95" i="24"/>
  <c r="AO90" i="24"/>
  <c r="AO100" i="24"/>
  <c r="AO87" i="24"/>
  <c r="AO92" i="24"/>
  <c r="AO106" i="24"/>
  <c r="AO89" i="24"/>
  <c r="AO105" i="24"/>
  <c r="AO91" i="24"/>
  <c r="AO93" i="24"/>
  <c r="AO85" i="24"/>
  <c r="AO83" i="24"/>
  <c r="AO77" i="24"/>
  <c r="AO79" i="24"/>
  <c r="AO88" i="24"/>
  <c r="AO86" i="24"/>
  <c r="AO82" i="24"/>
  <c r="AO76" i="24"/>
  <c r="AO80" i="24"/>
  <c r="AO81" i="24"/>
  <c r="AO72" i="24"/>
  <c r="AO70" i="24"/>
  <c r="AO68" i="24"/>
  <c r="AO60" i="24"/>
  <c r="AO74" i="24"/>
  <c r="AO62" i="24"/>
  <c r="AO58" i="24"/>
  <c r="AO71" i="24"/>
  <c r="AO67" i="24"/>
  <c r="AO64" i="24"/>
  <c r="AO78" i="24"/>
  <c r="AO73" i="24"/>
  <c r="AO69" i="24"/>
  <c r="AO61" i="24"/>
  <c r="AO59" i="24"/>
  <c r="AO57" i="24"/>
  <c r="AO75" i="24"/>
  <c r="AO63" i="24"/>
  <c r="AO52" i="24"/>
  <c r="AO48" i="24"/>
  <c r="AO84" i="24"/>
  <c r="AO66" i="24"/>
  <c r="AO54" i="24"/>
  <c r="AO42" i="24"/>
  <c r="AO65" i="24"/>
  <c r="AO51" i="24"/>
  <c r="AO49" i="24"/>
  <c r="AO47" i="24"/>
  <c r="AO45" i="24"/>
  <c r="AO40" i="24"/>
  <c r="AO46" i="24"/>
  <c r="AO34" i="24"/>
  <c r="AO56" i="24"/>
  <c r="AO44" i="24"/>
  <c r="AO39" i="24"/>
  <c r="AO37" i="24"/>
  <c r="AO33" i="24"/>
  <c r="AO27" i="24"/>
  <c r="AK20" i="24"/>
  <c r="AK41" i="24" s="1"/>
  <c r="AO43" i="24"/>
  <c r="Z168" i="24"/>
  <c r="M225" i="21"/>
  <c r="R225" i="21"/>
  <c r="Q225" i="21"/>
  <c r="R5" i="21"/>
  <c r="A190" i="22"/>
  <c r="A185" i="22"/>
  <c r="A179" i="22"/>
  <c r="A175" i="22"/>
  <c r="A171" i="22"/>
  <c r="Z164" i="22"/>
  <c r="E158" i="22"/>
  <c r="AI32" i="22"/>
  <c r="AI30" i="22"/>
  <c r="J83" i="16" s="1"/>
  <c r="AI29" i="22"/>
  <c r="AI40" i="22" s="1"/>
  <c r="AI28" i="22"/>
  <c r="AI39" i="22" s="1"/>
  <c r="AI25" i="22"/>
  <c r="AI37" i="22" s="1"/>
  <c r="AI22" i="22"/>
  <c r="J75" i="16" s="1"/>
  <c r="AI20" i="22"/>
  <c r="AI41" i="22" s="1"/>
  <c r="AI18" i="22"/>
  <c r="J71" i="16" s="1"/>
  <c r="C13" i="22"/>
  <c r="C11" i="22"/>
  <c r="AS10" i="22"/>
  <c r="AS9" i="22"/>
  <c r="AS8" i="22"/>
  <c r="AS6" i="22"/>
  <c r="AS5" i="22"/>
  <c r="AS3" i="22"/>
  <c r="O3" i="22"/>
  <c r="O4" i="22" s="1"/>
  <c r="O5" i="22" s="1"/>
  <c r="O6" i="22" s="1"/>
  <c r="O7" i="22" s="1"/>
  <c r="O8" i="22" s="1"/>
  <c r="O9" i="22" s="1"/>
  <c r="O10" i="22" s="1"/>
  <c r="O11" i="22" s="1"/>
  <c r="O12" i="22" s="1"/>
  <c r="O13" i="22" s="1"/>
  <c r="O14" i="22" s="1"/>
  <c r="M159" i="21"/>
  <c r="N159" i="21"/>
  <c r="O159" i="21"/>
  <c r="P159" i="21"/>
  <c r="Q159" i="21"/>
  <c r="R159" i="21"/>
  <c r="S159" i="21"/>
  <c r="T159" i="21"/>
  <c r="O198" i="25" a="1"/>
  <c r="O198" i="19" a="1"/>
  <c r="D198" i="19" a="1"/>
  <c r="D198" i="25" a="1"/>
  <c r="O198" i="22" a="1"/>
  <c r="D198" i="22" a="1"/>
  <c r="O198" i="25" l="1"/>
  <c r="D198" i="25"/>
  <c r="BM25" i="25"/>
  <c r="BO25" i="24"/>
  <c r="D198" i="22"/>
  <c r="O198" i="22"/>
  <c r="D198" i="19"/>
  <c r="O198" i="19"/>
  <c r="BK25" i="25"/>
  <c r="BM25" i="24"/>
  <c r="BK25" i="24"/>
  <c r="AF85" i="2"/>
  <c r="AD85" i="2"/>
  <c r="AH85" i="2"/>
  <c r="S85" i="2"/>
  <c r="W85" i="2"/>
  <c r="U85" i="2"/>
  <c r="AG85" i="2"/>
  <c r="AA85" i="2"/>
  <c r="V85" i="2"/>
  <c r="AI85" i="2"/>
  <c r="AJ85" i="2"/>
  <c r="AL85" i="2"/>
  <c r="AK85" i="2"/>
  <c r="T85" i="2"/>
  <c r="AC85" i="2"/>
  <c r="AE85" i="2"/>
  <c r="Z85" i="2"/>
  <c r="Y85" i="2"/>
  <c r="AB85" i="2"/>
  <c r="BO25" i="25"/>
  <c r="AO30" i="22"/>
  <c r="AO96" i="22"/>
  <c r="Z169" i="25"/>
  <c r="BX14" i="25"/>
  <c r="BC14" i="25"/>
  <c r="BV12" i="25"/>
  <c r="Z169" i="24"/>
  <c r="BE14" i="24"/>
  <c r="BV12" i="24"/>
  <c r="J81" i="16"/>
  <c r="AK30" i="22"/>
  <c r="J73" i="16"/>
  <c r="J82" i="16"/>
  <c r="J78" i="16"/>
  <c r="AK32" i="22"/>
  <c r="AK22" i="22"/>
  <c r="AK28" i="22"/>
  <c r="AK39" i="22" s="1"/>
  <c r="BM25" i="22" s="1"/>
  <c r="AS11" i="22"/>
  <c r="AO27" i="22"/>
  <c r="AK20" i="22"/>
  <c r="AK41" i="22" s="1"/>
  <c r="BO25" i="22" s="1"/>
  <c r="AO28" i="22"/>
  <c r="AK29" i="22"/>
  <c r="AK40" i="22" s="1"/>
  <c r="BN25" i="22" s="1"/>
  <c r="AK25" i="22"/>
  <c r="AK37" i="22" s="1"/>
  <c r="BK25" i="22" s="1"/>
  <c r="AO29" i="22"/>
  <c r="AO31" i="22"/>
  <c r="AK18" i="22"/>
  <c r="AO122" i="22"/>
  <c r="AO119" i="22"/>
  <c r="AO121" i="22"/>
  <c r="AO125" i="22"/>
  <c r="AO123" i="22"/>
  <c r="AO114" i="22"/>
  <c r="AO118" i="22"/>
  <c r="AO109" i="22"/>
  <c r="AO112" i="22"/>
  <c r="AO124" i="22"/>
  <c r="AO115" i="22"/>
  <c r="AO116" i="22"/>
  <c r="AO120" i="22"/>
  <c r="AO117" i="22"/>
  <c r="AO111" i="22"/>
  <c r="AO101" i="22"/>
  <c r="AO97" i="22"/>
  <c r="AO110" i="22"/>
  <c r="AO106" i="22"/>
  <c r="AO94" i="22"/>
  <c r="AO86" i="22"/>
  <c r="AO104" i="22"/>
  <c r="AO105" i="22"/>
  <c r="AO102" i="22"/>
  <c r="AO93" i="22"/>
  <c r="AO113" i="22"/>
  <c r="AO99" i="22"/>
  <c r="AO108" i="22"/>
  <c r="AO100" i="22"/>
  <c r="AO98" i="22"/>
  <c r="AO107" i="22"/>
  <c r="AO95" i="22"/>
  <c r="AO85" i="22"/>
  <c r="AO82" i="22"/>
  <c r="AO78" i="22"/>
  <c r="AO88" i="22"/>
  <c r="AO84" i="22"/>
  <c r="AO89" i="22"/>
  <c r="AO83" i="22"/>
  <c r="AO103" i="22"/>
  <c r="AO92" i="22"/>
  <c r="AO91" i="22"/>
  <c r="AO90" i="22"/>
  <c r="AO87" i="22"/>
  <c r="AO75" i="22"/>
  <c r="AO63" i="22"/>
  <c r="AO79" i="22"/>
  <c r="AO66" i="22"/>
  <c r="AO80" i="22"/>
  <c r="AO73" i="22"/>
  <c r="AO69" i="22"/>
  <c r="AO77" i="22"/>
  <c r="AO76" i="22"/>
  <c r="AO70" i="22"/>
  <c r="AO64" i="22"/>
  <c r="AO71" i="22"/>
  <c r="AO67" i="22"/>
  <c r="AO74" i="22"/>
  <c r="AO81" i="22"/>
  <c r="AO72" i="22"/>
  <c r="AO68" i="22"/>
  <c r="AO54" i="22"/>
  <c r="AO42" i="22"/>
  <c r="AO57" i="22"/>
  <c r="AO44" i="22"/>
  <c r="AO52" i="22"/>
  <c r="AO48" i="22"/>
  <c r="AO43" i="22"/>
  <c r="AO61" i="22"/>
  <c r="AO55" i="22"/>
  <c r="AO49" i="22"/>
  <c r="AO45" i="22"/>
  <c r="AO58" i="22"/>
  <c r="AO50" i="22"/>
  <c r="AO65" i="22"/>
  <c r="AO59" i="22"/>
  <c r="AO53" i="22"/>
  <c r="AO62" i="22"/>
  <c r="AO60" i="22"/>
  <c r="AO56" i="22"/>
  <c r="AO40" i="22"/>
  <c r="AO34" i="22"/>
  <c r="AO32" i="22"/>
  <c r="AO39" i="22"/>
  <c r="AO38" i="22"/>
  <c r="AO46" i="22"/>
  <c r="AO37" i="22"/>
  <c r="AO33" i="22"/>
  <c r="AO51" i="22"/>
  <c r="AO47" i="22"/>
  <c r="AO41" i="22"/>
  <c r="AO36" i="22"/>
  <c r="AO35" i="22"/>
  <c r="AO26" i="22"/>
  <c r="Z165" i="22"/>
  <c r="Z166" i="22" s="1"/>
  <c r="Z167" i="22" s="1"/>
  <c r="O3" i="19"/>
  <c r="O4" i="19" s="1"/>
  <c r="O5" i="19" s="1"/>
  <c r="O6" i="19" s="1"/>
  <c r="O7" i="19" s="1"/>
  <c r="O8" i="19" s="1"/>
  <c r="O9" i="19" s="1"/>
  <c r="O10" i="19" s="1"/>
  <c r="O11" i="19" s="1"/>
  <c r="O12" i="19" s="1"/>
  <c r="O13" i="19" s="1"/>
  <c r="O14" i="19" s="1"/>
  <c r="AE52" i="8"/>
  <c r="AC52" i="8"/>
  <c r="AA52" i="8"/>
  <c r="Y52" i="8"/>
  <c r="W52" i="8"/>
  <c r="U52" i="8"/>
  <c r="S52" i="8"/>
  <c r="Q52" i="8"/>
  <c r="O52" i="8"/>
  <c r="M52" i="8"/>
  <c r="K52" i="8"/>
  <c r="I52" i="8"/>
  <c r="G52" i="8"/>
  <c r="U52" i="14" s="1"/>
  <c r="F4" i="20"/>
  <c r="G4" i="20" s="1"/>
  <c r="H4" i="20" s="1"/>
  <c r="I4" i="20" s="1"/>
  <c r="J4" i="20" s="1"/>
  <c r="K4" i="20" s="1"/>
  <c r="L4" i="20" s="1"/>
  <c r="M4" i="20" s="1"/>
  <c r="N4" i="20" s="1"/>
  <c r="O4" i="20" s="1"/>
  <c r="P4" i="20" s="1"/>
  <c r="Q4" i="20" s="1"/>
  <c r="R4" i="20" s="1"/>
  <c r="S4" i="20" s="1"/>
  <c r="T4" i="20" s="1"/>
  <c r="U4" i="20" s="1"/>
  <c r="V4" i="20" s="1"/>
  <c r="W4" i="20" s="1"/>
  <c r="X4" i="20" s="1"/>
  <c r="Y4" i="20" s="1"/>
  <c r="Z4" i="20" s="1"/>
  <c r="AA4" i="20" s="1"/>
  <c r="AB4" i="20" s="1"/>
  <c r="AC4" i="20" s="1"/>
  <c r="AD4" i="20" s="1"/>
  <c r="AE4" i="20" s="1"/>
  <c r="AF4" i="20" s="1"/>
  <c r="AG4" i="20" s="1"/>
  <c r="AH4" i="20" s="1"/>
  <c r="AI4" i="20" s="1"/>
  <c r="AJ4" i="20" s="1"/>
  <c r="AK4" i="20" s="1"/>
  <c r="AL4" i="20" s="1"/>
  <c r="AM4" i="20" s="1"/>
  <c r="AN4" i="20" s="1"/>
  <c r="AO4" i="20" s="1"/>
  <c r="AP4" i="20" s="1"/>
  <c r="AQ4" i="20" s="1"/>
  <c r="AR4" i="20" s="1"/>
  <c r="AS4" i="20" s="1"/>
  <c r="AT4" i="20" s="1"/>
  <c r="AU4" i="20" s="1"/>
  <c r="AV4" i="20" s="1"/>
  <c r="AW4" i="20" s="1"/>
  <c r="AX4" i="20" s="1"/>
  <c r="AY4" i="20" s="1"/>
  <c r="AZ4" i="20" s="1"/>
  <c r="BA4" i="20" s="1"/>
  <c r="BB4" i="20" s="1"/>
  <c r="BC4" i="20" s="1"/>
  <c r="BD4" i="20" s="1"/>
  <c r="BE4" i="20" s="1"/>
  <c r="BF4" i="20" s="1"/>
  <c r="BG4" i="20" s="1"/>
  <c r="BH4" i="20" s="1"/>
  <c r="BI4" i="20" s="1"/>
  <c r="BJ4" i="20" s="1"/>
  <c r="BK4" i="20" s="1"/>
  <c r="BL4" i="20" s="1"/>
  <c r="BM4" i="20" s="1"/>
  <c r="BN4" i="20" s="1"/>
  <c r="BO4" i="20" s="1"/>
  <c r="BP4" i="20" s="1"/>
  <c r="BQ4" i="20" s="1"/>
  <c r="BR4" i="20" s="1"/>
  <c r="BS4" i="20" s="1"/>
  <c r="BT4" i="20" s="1"/>
  <c r="BU4" i="20" s="1"/>
  <c r="BV4" i="20" s="1"/>
  <c r="BW4" i="20" s="1"/>
  <c r="BX4" i="20" s="1"/>
  <c r="BY4" i="20" s="1"/>
  <c r="BZ4" i="20" s="1"/>
  <c r="CA4" i="20" s="1"/>
  <c r="CB4" i="20" s="1"/>
  <c r="CC4" i="20" s="1"/>
  <c r="CD4" i="20" s="1"/>
  <c r="CE4" i="20" s="1"/>
  <c r="CF4" i="20" s="1"/>
  <c r="CG4" i="20" s="1"/>
  <c r="CH4" i="20" s="1"/>
  <c r="CI4" i="20" s="1"/>
  <c r="CJ4" i="20" s="1"/>
  <c r="CK4" i="20" s="1"/>
  <c r="CL4" i="20" s="1"/>
  <c r="CM4" i="20" s="1"/>
  <c r="CN4" i="20" s="1"/>
  <c r="CO4" i="20" s="1"/>
  <c r="CP4" i="20" s="1"/>
  <c r="CQ4" i="20" s="1"/>
  <c r="CR4" i="20" s="1"/>
  <c r="CS4" i="20" s="1"/>
  <c r="CT4" i="20" s="1"/>
  <c r="CU4" i="20" s="1"/>
  <c r="CV4" i="20" s="1"/>
  <c r="CW4" i="20" s="1"/>
  <c r="CX4" i="20" s="1"/>
  <c r="CY4" i="20" s="1"/>
  <c r="CZ4" i="20" s="1"/>
  <c r="DA4" i="20" s="1"/>
  <c r="DB4" i="20" s="1"/>
  <c r="DC4" i="20" s="1"/>
  <c r="DD4" i="20" s="1"/>
  <c r="DE4" i="20" s="1"/>
  <c r="DF4" i="20" s="1"/>
  <c r="DG4" i="20" s="1"/>
  <c r="DH4" i="20" s="1"/>
  <c r="DI4" i="20" s="1"/>
  <c r="DJ4" i="20" s="1"/>
  <c r="DK4" i="20" s="1"/>
  <c r="DL4" i="20" s="1"/>
  <c r="DM4" i="20" s="1"/>
  <c r="DN4" i="20" s="1"/>
  <c r="DO4" i="20" s="1"/>
  <c r="DP4" i="20" s="1"/>
  <c r="DQ4" i="20" s="1"/>
  <c r="DR4" i="20" s="1"/>
  <c r="DS4" i="20" s="1"/>
  <c r="DT4" i="20" s="1"/>
  <c r="DU4" i="20" s="1"/>
  <c r="DV4" i="20" s="1"/>
  <c r="DW4" i="20" s="1"/>
  <c r="DX4" i="20" s="1"/>
  <c r="DY4" i="20" s="1"/>
  <c r="DZ4" i="20" s="1"/>
  <c r="EA4" i="20" s="1"/>
  <c r="EB4" i="20" s="1"/>
  <c r="EC4" i="20" s="1"/>
  <c r="ED4" i="20" s="1"/>
  <c r="EE4" i="20" s="1"/>
  <c r="EF4" i="20" s="1"/>
  <c r="EG4" i="20" s="1"/>
  <c r="EH4" i="20" s="1"/>
  <c r="EI4" i="20" s="1"/>
  <c r="EJ4" i="20" s="1"/>
  <c r="EK4" i="20" s="1"/>
  <c r="EL4" i="20" s="1"/>
  <c r="EM4" i="20" s="1"/>
  <c r="EN4" i="20" s="1"/>
  <c r="EO4" i="20" s="1"/>
  <c r="EP4" i="20" s="1"/>
  <c r="EQ4" i="20" s="1"/>
  <c r="ER4" i="20" s="1"/>
  <c r="ES4" i="20" s="1"/>
  <c r="ET4" i="20" s="1"/>
  <c r="EU4" i="20" s="1"/>
  <c r="EV4" i="20" s="1"/>
  <c r="EW4" i="20" s="1"/>
  <c r="EX4" i="20" s="1"/>
  <c r="EY4" i="20" s="1"/>
  <c r="EZ4" i="20" s="1"/>
  <c r="FA4" i="20" s="1"/>
  <c r="FB4" i="20" s="1"/>
  <c r="FC4" i="20" s="1"/>
  <c r="FD4" i="20" s="1"/>
  <c r="FE4" i="20" s="1"/>
  <c r="FF4" i="20" s="1"/>
  <c r="FG4" i="20" s="1"/>
  <c r="FH4" i="20" s="1"/>
  <c r="FI4" i="20" s="1"/>
  <c r="FJ4" i="20" s="1"/>
  <c r="FK4" i="20" s="1"/>
  <c r="FL4" i="20" s="1"/>
  <c r="FM4" i="20" s="1"/>
  <c r="FN4" i="20" s="1"/>
  <c r="FO4" i="20" s="1"/>
  <c r="FP4" i="20" s="1"/>
  <c r="FQ4" i="20" s="1"/>
  <c r="FR4" i="20" s="1"/>
  <c r="FS4" i="20" s="1"/>
  <c r="FT4" i="20" s="1"/>
  <c r="FU4" i="20" s="1"/>
  <c r="FV4" i="20" s="1"/>
  <c r="FW4" i="20" s="1"/>
  <c r="FX4" i="20" s="1"/>
  <c r="FY4" i="20" s="1"/>
  <c r="FZ4" i="20" s="1"/>
  <c r="GA4" i="20" s="1"/>
  <c r="GB4" i="20" s="1"/>
  <c r="GC4" i="20" s="1"/>
  <c r="GD4" i="20" s="1"/>
  <c r="GE4" i="20" s="1"/>
  <c r="GF4" i="20" s="1"/>
  <c r="GG4" i="20" s="1"/>
  <c r="GH4" i="20" s="1"/>
  <c r="GI4" i="20" s="1"/>
  <c r="GJ4" i="20" s="1"/>
  <c r="GK4" i="20" s="1"/>
  <c r="GL4" i="20" s="1"/>
  <c r="GM4" i="20" s="1"/>
  <c r="GN4" i="20" s="1"/>
  <c r="GO4" i="20" s="1"/>
  <c r="GP4" i="20" s="1"/>
  <c r="GQ4" i="20" s="1"/>
  <c r="N158" i="21"/>
  <c r="P158" i="21"/>
  <c r="R158" i="21"/>
  <c r="T158" i="21"/>
  <c r="M157" i="21"/>
  <c r="N157" i="21"/>
  <c r="O157" i="21"/>
  <c r="P157" i="21"/>
  <c r="Q157" i="21"/>
  <c r="R157" i="21"/>
  <c r="S157" i="21"/>
  <c r="T157" i="21"/>
  <c r="BE14" i="25" l="1"/>
  <c r="Z170" i="25"/>
  <c r="Z171" i="25" s="1"/>
  <c r="Z172" i="25" s="1"/>
  <c r="Z170" i="24"/>
  <c r="Z171" i="24" s="1"/>
  <c r="Z172" i="24" s="1"/>
  <c r="Z168" i="22"/>
  <c r="J38" i="16"/>
  <c r="I38" i="16"/>
  <c r="H38" i="16"/>
  <c r="G38" i="16"/>
  <c r="Z173" i="25" l="1"/>
  <c r="Z173" i="24"/>
  <c r="Z169" i="22"/>
  <c r="M160" i="21"/>
  <c r="N160" i="21"/>
  <c r="O160" i="21"/>
  <c r="P160" i="21"/>
  <c r="Q160" i="21"/>
  <c r="R160" i="21"/>
  <c r="S160" i="21"/>
  <c r="T160" i="21"/>
  <c r="M161" i="21"/>
  <c r="N161" i="21"/>
  <c r="O161" i="21"/>
  <c r="P161" i="21"/>
  <c r="Q161" i="21"/>
  <c r="R161" i="21"/>
  <c r="S161" i="21"/>
  <c r="T161" i="21"/>
  <c r="Z174" i="25" l="1"/>
  <c r="Z175" i="25" s="1"/>
  <c r="Z176" i="25" s="1"/>
  <c r="Z174" i="24"/>
  <c r="Z175" i="24" s="1"/>
  <c r="Z176" i="24" s="1"/>
  <c r="Z170" i="22"/>
  <c r="Z171" i="22" s="1"/>
  <c r="Z172" i="22" s="1"/>
  <c r="Z177" i="25" l="1"/>
  <c r="Z177" i="24"/>
  <c r="Z173" i="22"/>
  <c r="C13" i="19"/>
  <c r="C11" i="19"/>
  <c r="L108" i="17"/>
  <c r="H98" i="21"/>
  <c r="G98" i="21"/>
  <c r="G85" i="21"/>
  <c r="G47" i="21"/>
  <c r="G55" i="21" s="1"/>
  <c r="H34" i="21"/>
  <c r="G34" i="21"/>
  <c r="G108" i="17"/>
  <c r="AI32" i="19"/>
  <c r="M37" i="2"/>
  <c r="M38" i="2"/>
  <c r="M39" i="2"/>
  <c r="M40" i="2"/>
  <c r="M41" i="2"/>
  <c r="M42" i="2"/>
  <c r="M43" i="2"/>
  <c r="M44" i="2"/>
  <c r="M45" i="2"/>
  <c r="M46" i="2"/>
  <c r="M47" i="2"/>
  <c r="L37" i="2"/>
  <c r="L38" i="2"/>
  <c r="L39" i="2"/>
  <c r="L40" i="2"/>
  <c r="L41" i="2"/>
  <c r="L42" i="2"/>
  <c r="L43" i="2"/>
  <c r="L44" i="2"/>
  <c r="L45" i="2"/>
  <c r="L46" i="2"/>
  <c r="L47" i="2"/>
  <c r="M36" i="2"/>
  <c r="L36" i="2"/>
  <c r="N7" i="2"/>
  <c r="N8" i="2"/>
  <c r="N9" i="2"/>
  <c r="N10" i="2"/>
  <c r="N11" i="2"/>
  <c r="N12" i="2"/>
  <c r="N13" i="2"/>
  <c r="N14" i="2"/>
  <c r="N15" i="2"/>
  <c r="N16" i="2"/>
  <c r="N17" i="2"/>
  <c r="N6" i="2"/>
  <c r="M7" i="2"/>
  <c r="M8" i="2"/>
  <c r="M9" i="2"/>
  <c r="M10" i="2"/>
  <c r="M11" i="2"/>
  <c r="M12" i="2"/>
  <c r="M13" i="2"/>
  <c r="M14" i="2"/>
  <c r="M15" i="2"/>
  <c r="M16" i="2"/>
  <c r="M17" i="2"/>
  <c r="M6" i="2"/>
  <c r="M153" i="21"/>
  <c r="N153" i="21"/>
  <c r="O153" i="21"/>
  <c r="P153" i="21"/>
  <c r="Q153" i="21"/>
  <c r="R153" i="21"/>
  <c r="S153" i="21"/>
  <c r="T153" i="21"/>
  <c r="M152" i="21"/>
  <c r="N152" i="21"/>
  <c r="O152" i="21"/>
  <c r="P152" i="21"/>
  <c r="Q152" i="21"/>
  <c r="R152" i="21"/>
  <c r="S152" i="21"/>
  <c r="T152" i="21"/>
  <c r="T154" i="21" s="1"/>
  <c r="E158" i="19"/>
  <c r="R154" i="21" l="1"/>
  <c r="P154" i="21"/>
  <c r="N154" i="21"/>
  <c r="Z178" i="25"/>
  <c r="Z179" i="25" s="1"/>
  <c r="Z180" i="25" s="1"/>
  <c r="Z178" i="24"/>
  <c r="Z179" i="24" s="1"/>
  <c r="Z180" i="24" s="1"/>
  <c r="Z174" i="22"/>
  <c r="Z175" i="22" s="1"/>
  <c r="Z176" i="22" s="1"/>
  <c r="AK32" i="19"/>
  <c r="G50" i="21"/>
  <c r="S141" i="21"/>
  <c r="S241" i="21" s="1"/>
  <c r="Q141" i="21"/>
  <c r="Q241" i="21" s="1"/>
  <c r="O141" i="21"/>
  <c r="O241" i="21" s="1"/>
  <c r="M141" i="21"/>
  <c r="M241" i="21" s="1"/>
  <c r="E85" i="21"/>
  <c r="D76" i="2"/>
  <c r="C68" i="2"/>
  <c r="F98" i="21"/>
  <c r="E98" i="21"/>
  <c r="F34" i="21"/>
  <c r="E34" i="21"/>
  <c r="F47" i="2"/>
  <c r="G47" i="2"/>
  <c r="H47" i="2"/>
  <c r="J47" i="2"/>
  <c r="E47" i="2"/>
  <c r="AG52" i="14"/>
  <c r="AF52" i="14"/>
  <c r="AE52" i="14"/>
  <c r="AD52" i="14"/>
  <c r="Z52" i="14"/>
  <c r="Y52" i="14"/>
  <c r="X52" i="14"/>
  <c r="W52" i="14"/>
  <c r="V52" i="14"/>
  <c r="AA52" i="14"/>
  <c r="AB52" i="14"/>
  <c r="AC52" i="14"/>
  <c r="O27" i="25" a="1"/>
  <c r="D65" i="24" a="1"/>
  <c r="D69" i="24" a="1"/>
  <c r="D66" i="24" a="1"/>
  <c r="D58" i="24" a="1"/>
  <c r="D131" i="22" a="1"/>
  <c r="D163" i="22" a="1"/>
  <c r="D44" i="25" a="1"/>
  <c r="O104" i="24" a="1"/>
  <c r="D45" i="24" a="1"/>
  <c r="O78" i="22" a="1"/>
  <c r="O35" i="22" a="1"/>
  <c r="O64" i="25" a="1"/>
  <c r="O105" i="22" a="1"/>
  <c r="C4" i="19" a="1"/>
  <c r="O63" i="22" a="1"/>
  <c r="D46" i="25" a="1"/>
  <c r="O42" i="24" a="1"/>
  <c r="O167" i="24" a="1"/>
  <c r="D67" i="24" a="1"/>
  <c r="O26" i="22" a="1"/>
  <c r="D74" i="25" a="1"/>
  <c r="O22" i="25" a="1"/>
  <c r="D22" i="25" a="1"/>
  <c r="O43" i="22" a="1"/>
  <c r="D169" i="22" a="1"/>
  <c r="D133" i="22" a="1"/>
  <c r="D123" i="25" a="1"/>
  <c r="O65" i="25" a="1"/>
  <c r="O68" i="25" a="1"/>
  <c r="O76" i="24" a="1"/>
  <c r="O57" i="25" a="1"/>
  <c r="D122" i="24" a="1"/>
  <c r="D47" i="24" a="1"/>
  <c r="O77" i="22" a="1"/>
  <c r="D37" i="24" a="1"/>
  <c r="O167" i="22" a="1"/>
  <c r="O75" i="24" a="1"/>
  <c r="O64" i="24" a="1"/>
  <c r="D94" i="25" a="1"/>
  <c r="O61" i="25" a="1"/>
  <c r="D173" i="24" a="1"/>
  <c r="D93" i="25" a="1"/>
  <c r="O168" i="22" a="1"/>
  <c r="D43" i="22" a="1"/>
  <c r="O52" i="25" a="1"/>
  <c r="D68" i="25" a="1"/>
  <c r="O37" i="22" a="1"/>
  <c r="O76" i="25" a="1"/>
  <c r="D74" i="22" a="1"/>
  <c r="O58" i="22" a="1"/>
  <c r="D167" i="24" a="1"/>
  <c r="D36" i="22" a="1"/>
  <c r="O74" i="24" a="1"/>
  <c r="D93" i="24" a="1"/>
  <c r="D36" i="24" a="1"/>
  <c r="O98" i="24" a="1"/>
  <c r="D21" i="22" a="1"/>
  <c r="D163" i="25" a="1"/>
  <c r="D133" i="25" a="1"/>
  <c r="O51" i="22" a="1"/>
  <c r="O173" i="25" a="1"/>
  <c r="D173" i="25" a="1"/>
  <c r="D76" i="24" a="1"/>
  <c r="D172" i="25" a="1"/>
  <c r="D120" i="24" a="1"/>
  <c r="C4" i="24" a="1"/>
  <c r="E109" i="19" a="1"/>
  <c r="O34" i="25" a="1"/>
  <c r="D106" i="25" a="1"/>
  <c r="D128" i="25" a="1"/>
  <c r="O39" i="22" a="1"/>
  <c r="O37" i="25" a="1"/>
  <c r="O36" i="25" a="1"/>
  <c r="D61" i="22" a="1"/>
  <c r="D48" i="22" a="1"/>
  <c r="O55" i="24" a="1"/>
  <c r="D134" i="22" a="1"/>
  <c r="D26" i="22" a="1"/>
  <c r="O56" i="24" a="1"/>
  <c r="O29" i="25" a="1"/>
  <c r="D28" i="24" a="1"/>
  <c r="O100" i="22" a="1"/>
  <c r="D19" i="25" a="1"/>
  <c r="O93" i="25" a="1"/>
  <c r="O78" i="24" a="1"/>
  <c r="O172" i="22" a="1"/>
  <c r="O58" i="24" a="1"/>
  <c r="D52" i="24" a="1"/>
  <c r="D116" i="22" a="1"/>
  <c r="O79" i="25" a="1"/>
  <c r="D42" i="25" a="1"/>
  <c r="D33" i="24" a="1"/>
  <c r="O101" i="24" a="1"/>
  <c r="D23" i="22" a="1"/>
  <c r="O46" i="25" a="1"/>
  <c r="D117" i="22" a="1"/>
  <c r="O55" i="25" a="1"/>
  <c r="D133" i="24" a="1"/>
  <c r="O53" i="24" a="1"/>
  <c r="D35" i="22" a="1"/>
  <c r="D119" i="22" a="1"/>
  <c r="D57" i="22" a="1"/>
  <c r="D43" i="24" a="1"/>
  <c r="D27" i="22" a="1"/>
  <c r="E143" i="19" a="1"/>
  <c r="O176" i="24" a="1"/>
  <c r="O43" i="24" a="1"/>
  <c r="D29" i="25" a="1"/>
  <c r="D26" i="24" a="1"/>
  <c r="O176" i="25" a="1"/>
  <c r="D168" i="24" a="1"/>
  <c r="O30" i="22" a="1"/>
  <c r="O100" i="25" a="1"/>
  <c r="D68" i="22" a="1"/>
  <c r="D177" i="25" a="1"/>
  <c r="D157" i="25" a="1"/>
  <c r="O99" i="25" a="1"/>
  <c r="O35" i="25" a="1"/>
  <c r="D53" i="25" a="1"/>
  <c r="O48" i="25" a="1"/>
  <c r="O20" i="25" a="1"/>
  <c r="O63" i="25" a="1"/>
  <c r="D113" i="25" a="1"/>
  <c r="D62" i="25" a="1"/>
  <c r="D69" i="22" a="1"/>
  <c r="U4" i="22" a="1"/>
  <c r="D29" i="22" a="1"/>
  <c r="O33" i="22" a="1"/>
  <c r="D112" i="22" a="1"/>
  <c r="D118" i="22" a="1"/>
  <c r="O65" i="24" a="1"/>
  <c r="D113" i="24" a="1"/>
  <c r="O164" i="25" a="1"/>
  <c r="D29" i="24" a="1"/>
  <c r="O173" i="22" a="1"/>
  <c r="D45" i="22" a="1"/>
  <c r="O106" i="19" a="1"/>
  <c r="D73" i="25" a="1"/>
  <c r="D64" i="25" a="1"/>
  <c r="O92" i="24" a="1"/>
  <c r="O99" i="22" a="1"/>
  <c r="O65" i="22" a="1"/>
  <c r="O68" i="24" a="1"/>
  <c r="O134" i="22" a="1"/>
  <c r="O27" i="22" a="1"/>
  <c r="D22" i="22" a="1"/>
  <c r="O67" i="22" a="1"/>
  <c r="D97" i="25" a="1"/>
  <c r="D77" i="22" a="1"/>
  <c r="O92" i="25" a="1"/>
  <c r="O57" i="22" a="1"/>
  <c r="D75" i="22" a="1"/>
  <c r="O132" i="25" a="1"/>
  <c r="D35" i="24" a="1"/>
  <c r="O66" i="24" a="1"/>
  <c r="D121" i="25" a="1"/>
  <c r="D73" i="24" a="1"/>
  <c r="O36" i="24" a="1"/>
  <c r="O134" i="24" a="1"/>
  <c r="O129" i="24" a="1"/>
  <c r="D123" i="22" a="1"/>
  <c r="O177" i="24" a="1"/>
  <c r="O128" i="22" a="1"/>
  <c r="O131" i="24" a="1"/>
  <c r="D168" i="25" a="1"/>
  <c r="D99" i="22" a="1"/>
  <c r="D163" i="24" a="1"/>
  <c r="O43" i="25" a="1"/>
  <c r="O30" i="25" a="1"/>
  <c r="O34" i="22" a="1"/>
  <c r="O73" i="25" a="1"/>
  <c r="O54" i="22" a="1"/>
  <c r="D104" i="25" a="1"/>
  <c r="O19" i="25" a="1"/>
  <c r="O38" i="24" a="1"/>
  <c r="D132" i="24" a="1"/>
  <c r="D101" i="24" a="1"/>
  <c r="D52" i="22" a="1"/>
  <c r="O63" i="24" a="1"/>
  <c r="O28" i="24" a="1"/>
  <c r="D62" i="22" a="1"/>
  <c r="D122" i="25" a="1"/>
  <c r="D67" i="22" a="1"/>
  <c r="O67" i="24" a="1"/>
  <c r="O45" i="25" a="1"/>
  <c r="O172" i="25" a="1"/>
  <c r="C4" i="25" a="1"/>
  <c r="D92" i="22" a="1"/>
  <c r="O69" i="24" a="1"/>
  <c r="O69" i="25" a="1"/>
  <c r="O39" i="25" a="1"/>
  <c r="D38" i="22" a="1"/>
  <c r="O68" i="22" a="1"/>
  <c r="D131" i="24" a="1"/>
  <c r="D105" i="25" a="1"/>
  <c r="O177" i="25" a="1"/>
  <c r="D64" i="22" a="1"/>
  <c r="O168" i="24" a="1"/>
  <c r="O102" i="22" a="1"/>
  <c r="D72" i="24" a="1"/>
  <c r="O56" i="22" a="1"/>
  <c r="D102" i="22" a="1"/>
  <c r="D79" i="24" a="1"/>
  <c r="O46" i="24" a="1"/>
  <c r="D100" i="25" a="1"/>
  <c r="D102" i="24" a="1"/>
  <c r="D131" i="25" a="1"/>
  <c r="P109" i="22" a="1"/>
  <c r="D69" i="25" a="1"/>
  <c r="D120" i="22" a="1"/>
  <c r="O168" i="25" a="1"/>
  <c r="D98" i="22" a="1"/>
  <c r="D134" i="25" a="1"/>
  <c r="O94" i="22" a="1"/>
  <c r="O129" i="22" a="1"/>
  <c r="O97" i="24" a="1"/>
  <c r="O130" i="24" a="1"/>
  <c r="D172" i="24" a="1"/>
  <c r="D214" i="24" a="1"/>
  <c r="D51" i="22" a="1"/>
  <c r="D104" i="24" a="1"/>
  <c r="D54" i="24" a="1"/>
  <c r="D157" i="22" a="1"/>
  <c r="D65" i="25" a="1"/>
  <c r="O33" i="25" a="1"/>
  <c r="D94" i="24" a="1"/>
  <c r="O47" i="25" a="1"/>
  <c r="O173" i="24" a="1"/>
  <c r="O104" i="22" a="1"/>
  <c r="O20" i="22" a="1"/>
  <c r="O21" i="24" a="1"/>
  <c r="D76" i="25" a="1"/>
  <c r="O102" i="25" a="1"/>
  <c r="D98" i="25" a="1"/>
  <c r="D211" i="25" a="1"/>
  <c r="O130" i="22" a="1"/>
  <c r="D20" i="22" a="1"/>
  <c r="O74" i="25" a="1"/>
  <c r="O52" i="22" a="1"/>
  <c r="O36" i="22" a="1"/>
  <c r="O78" i="25" a="1"/>
  <c r="O66" i="22" a="1"/>
  <c r="D120" i="25" a="1"/>
  <c r="O133" i="22" a="1"/>
  <c r="D27" i="24" a="1"/>
  <c r="D211" i="22" a="1"/>
  <c r="D34" i="25" a="1"/>
  <c r="D168" i="22" a="1"/>
  <c r="D39" i="25" a="1"/>
  <c r="D124" i="22" a="1"/>
  <c r="D37" i="25" a="1"/>
  <c r="D55" i="25" a="1"/>
  <c r="D56" i="25" a="1"/>
  <c r="D129" i="22" a="1"/>
  <c r="D65" i="22" a="1"/>
  <c r="D214" i="25" a="1"/>
  <c r="D77" i="25" a="1"/>
  <c r="D30" i="22" a="1"/>
  <c r="O53" i="22" a="1"/>
  <c r="D125" i="22" a="1"/>
  <c r="D211" i="24" a="1"/>
  <c r="D117" i="24" a="1"/>
  <c r="O26" i="24" a="1"/>
  <c r="D46" i="24" a="1"/>
  <c r="O27" i="24" a="1"/>
  <c r="O48" i="24" a="1"/>
  <c r="O38" i="22" a="1"/>
  <c r="BS25" i="25" a="1"/>
  <c r="D26" i="25" a="1"/>
  <c r="E143" i="25" a="1"/>
  <c r="D53" i="24" a="1"/>
  <c r="O42" i="22" a="1"/>
  <c r="D128" i="22" a="1"/>
  <c r="O132" i="24" a="1"/>
  <c r="O61" i="22" a="1"/>
  <c r="D47" i="22" a="1"/>
  <c r="D72" i="22" a="1"/>
  <c r="O23" i="24" a="1"/>
  <c r="D112" i="24" a="1"/>
  <c r="D44" i="22" a="1"/>
  <c r="D35" i="25" a="1"/>
  <c r="O54" i="25" a="1"/>
  <c r="D33" i="22" a="1"/>
  <c r="D63" i="25" a="1"/>
  <c r="O28" i="22" a="1"/>
  <c r="D22" i="24" a="1"/>
  <c r="C4" i="22" a="1"/>
  <c r="O130" i="25" a="1"/>
  <c r="D119" i="25" a="1"/>
  <c r="D104" i="22" a="1"/>
  <c r="O172" i="24" a="1"/>
  <c r="O74" i="22" a="1"/>
  <c r="D46" i="22" a="1"/>
  <c r="D129" i="24" a="1"/>
  <c r="D176" i="24" a="1"/>
  <c r="O79" i="22" a="1"/>
  <c r="D23" i="25" a="1"/>
  <c r="D38" i="25" a="1"/>
  <c r="O98" i="22" a="1"/>
  <c r="O39" i="24" a="1"/>
  <c r="D75" i="25" a="1"/>
  <c r="D93" i="22" a="1"/>
  <c r="D176" i="25" a="1"/>
  <c r="D164" i="22" a="1"/>
  <c r="O94" i="25" a="1"/>
  <c r="D21" i="25" a="1"/>
  <c r="D51" i="25" a="1"/>
  <c r="E150" i="25" a="1"/>
  <c r="D78" i="24" a="1"/>
  <c r="O22" i="24" a="1"/>
  <c r="D42" i="22" a="1"/>
  <c r="O57" i="24" a="1"/>
  <c r="D52" i="25" a="1"/>
  <c r="D125" i="24" a="1"/>
  <c r="O131" i="22" a="1"/>
  <c r="D103" i="22" a="1"/>
  <c r="D20" i="24" a="1"/>
  <c r="D61" i="25" a="1"/>
  <c r="O29" i="22" a="1"/>
  <c r="D105" i="22" a="1"/>
  <c r="D121" i="24" a="1"/>
  <c r="D169" i="25" a="1"/>
  <c r="O100" i="24" a="1"/>
  <c r="O54" i="24" a="1"/>
  <c r="O47" i="22" a="1"/>
  <c r="U4" i="25" a="1"/>
  <c r="D57" i="24" a="1"/>
  <c r="O26" i="25" a="1"/>
  <c r="D42" i="24" a="1"/>
  <c r="D58" i="22" a="1"/>
  <c r="O169" i="22" a="1"/>
  <c r="E109" i="22" a="1"/>
  <c r="O33" i="24" a="1"/>
  <c r="O21" i="25" a="1"/>
  <c r="O23" i="25" a="1"/>
  <c r="D106" i="22" a="1"/>
  <c r="O105" i="25" a="1"/>
  <c r="O92" i="22" a="1"/>
  <c r="O104" i="25" a="1"/>
  <c r="D79" i="25" a="1"/>
  <c r="O45" i="22" a="1"/>
  <c r="O56" i="25" a="1"/>
  <c r="O97" i="22" a="1"/>
  <c r="D177" i="24" a="1"/>
  <c r="O64" i="22" a="1"/>
  <c r="O55" i="22" a="1"/>
  <c r="O106" i="22" a="1"/>
  <c r="O44" i="22" a="1"/>
  <c r="O22" i="22" a="1"/>
  <c r="P109" i="19" a="1"/>
  <c r="D34" i="22" a="1"/>
  <c r="D134" i="24" a="1"/>
  <c r="D130" i="22" a="1"/>
  <c r="D119" i="24" a="1"/>
  <c r="E143" i="22" a="1"/>
  <c r="O62" i="22" a="1"/>
  <c r="D19" i="19" a="1"/>
  <c r="O131" i="25" a="1"/>
  <c r="D63" i="24" a="1"/>
  <c r="D172" i="22" a="1"/>
  <c r="O163" i="24" a="1"/>
  <c r="D173" i="22" a="1"/>
  <c r="D44" i="24" a="1"/>
  <c r="D78" i="22" a="1"/>
  <c r="D92" i="25" a="1"/>
  <c r="D101" i="25" a="1"/>
  <c r="O169" i="24" a="1"/>
  <c r="O103" i="24" a="1"/>
  <c r="D19" i="22" a="1"/>
  <c r="D47" i="25" a="1"/>
  <c r="E109" i="24" a="1"/>
  <c r="D67" i="25" a="1"/>
  <c r="D73" i="22" a="1"/>
  <c r="D28" i="25" a="1"/>
  <c r="D28" i="22" a="1"/>
  <c r="O102" i="24" a="1"/>
  <c r="O101" i="22" a="1"/>
  <c r="O20" i="24" a="1"/>
  <c r="BS25" i="24" a="1"/>
  <c r="D164" i="25" a="1"/>
  <c r="E150" i="24" a="1"/>
  <c r="O163" i="22" a="1"/>
  <c r="O75" i="25" a="1"/>
  <c r="D167" i="25" a="1"/>
  <c r="O62" i="25" a="1"/>
  <c r="D76" i="22" a="1"/>
  <c r="O69" i="22" a="1"/>
  <c r="O132" i="22" a="1"/>
  <c r="D103" i="24" a="1"/>
  <c r="D124" i="25" a="1"/>
  <c r="O46" i="22" a="1"/>
  <c r="D113" i="22" a="1"/>
  <c r="O51" i="24" a="1"/>
  <c r="O97" i="25" a="1"/>
  <c r="O47" i="24" a="1"/>
  <c r="U4" i="19" a="1"/>
  <c r="D72" i="25" a="1"/>
  <c r="D105" i="24" a="1"/>
  <c r="P109" i="24" a="1"/>
  <c r="D36" i="25" a="1"/>
  <c r="D20" i="25" a="1"/>
  <c r="D99" i="24" a="1"/>
  <c r="D106" i="19" a="1"/>
  <c r="O73" i="22" a="1"/>
  <c r="D100" i="22" a="1"/>
  <c r="O58" i="25" a="1"/>
  <c r="D121" i="22" a="1"/>
  <c r="P109" i="25" a="1"/>
  <c r="O129" i="25" a="1"/>
  <c r="D97" i="22" a="1"/>
  <c r="D124" i="24" a="1"/>
  <c r="D106" i="24" a="1"/>
  <c r="D132" i="25" a="1"/>
  <c r="D102" i="25" a="1"/>
  <c r="D103" i="25" a="1"/>
  <c r="O66" i="25" a="1"/>
  <c r="O75" i="22" a="1"/>
  <c r="O67" i="25" a="1"/>
  <c r="E109" i="25" a="1"/>
  <c r="O53" i="25" a="1"/>
  <c r="D123" i="24" a="1"/>
  <c r="D30" i="24" a="1"/>
  <c r="O30" i="24" a="1"/>
  <c r="D21" i="24" a="1"/>
  <c r="D53" i="22" a="1"/>
  <c r="D64" i="24" a="1"/>
  <c r="O128" i="24" a="1"/>
  <c r="O99" i="24" a="1"/>
  <c r="O34" i="24" a="1"/>
  <c r="D122" i="22" a="1"/>
  <c r="D39" i="24" a="1"/>
  <c r="D55" i="22" a="1"/>
  <c r="D99" i="25" a="1"/>
  <c r="O93" i="22" a="1"/>
  <c r="O38" i="25" a="1"/>
  <c r="O77" i="25" a="1"/>
  <c r="O72" i="22" a="1"/>
  <c r="D43" i="25" a="1"/>
  <c r="D78" i="25" a="1"/>
  <c r="D39" i="22" a="1"/>
  <c r="D130" i="25" a="1"/>
  <c r="O164" i="22" a="1"/>
  <c r="O134" i="25" a="1"/>
  <c r="D66" i="25" a="1"/>
  <c r="D66" i="22" a="1"/>
  <c r="O44" i="24" a="1"/>
  <c r="D19" i="24" a="1"/>
  <c r="D129" i="25" a="1"/>
  <c r="D38" i="24" a="1"/>
  <c r="O45" i="24" a="1"/>
  <c r="O21" i="22" a="1"/>
  <c r="O37" i="24" a="1"/>
  <c r="O133" i="25" a="1"/>
  <c r="D118" i="24" a="1"/>
  <c r="D98" i="24" a="1"/>
  <c r="D169" i="24" a="1"/>
  <c r="O72" i="24" a="1"/>
  <c r="D27" i="25" a="1"/>
  <c r="O77" i="24" a="1"/>
  <c r="O19" i="22" a="1"/>
  <c r="D214" i="22" a="1"/>
  <c r="E143" i="24" a="1"/>
  <c r="O52" i="24" a="1"/>
  <c r="O128" i="25" a="1"/>
  <c r="D54" i="25" a="1"/>
  <c r="D51" i="24" a="1"/>
  <c r="D34" i="24" a="1"/>
  <c r="O29" i="24" a="1"/>
  <c r="D101" i="22" a="1"/>
  <c r="O101" i="25" a="1"/>
  <c r="D167" i="22" a="1"/>
  <c r="O103" i="22" a="1"/>
  <c r="O19" i="24" a="1"/>
  <c r="E150" i="22" a="1"/>
  <c r="D130" i="24" a="1"/>
  <c r="D54" i="22" a="1"/>
  <c r="D55" i="24" a="1"/>
  <c r="D48" i="24" a="1"/>
  <c r="O105" i="24" a="1"/>
  <c r="D23" i="24" a="1"/>
  <c r="O106" i="25" a="1"/>
  <c r="O164" i="24" a="1"/>
  <c r="D128" i="24" a="1"/>
  <c r="D125" i="25" a="1"/>
  <c r="D33" i="25" a="1"/>
  <c r="D79" i="22" a="1"/>
  <c r="O72" i="25" a="1"/>
  <c r="D97" i="24" a="1"/>
  <c r="D62" i="24" a="1"/>
  <c r="D68" i="24" a="1"/>
  <c r="O106" i="24" a="1"/>
  <c r="D48" i="25" a="1"/>
  <c r="O62" i="24" a="1"/>
  <c r="D112" i="25" a="1"/>
  <c r="D56" i="22" a="1"/>
  <c r="D61" i="24" a="1"/>
  <c r="O169" i="25" a="1"/>
  <c r="D77" i="24" a="1"/>
  <c r="O79" i="24" a="1"/>
  <c r="D100" i="24" a="1"/>
  <c r="U4" i="24" a="1"/>
  <c r="D164" i="24" a="1"/>
  <c r="D74" i="24" a="1"/>
  <c r="D94" i="22" a="1"/>
  <c r="O98" i="25" a="1"/>
  <c r="D118" i="25" a="1"/>
  <c r="D116" i="24" a="1"/>
  <c r="O103" i="25" a="1"/>
  <c r="D37" i="22" a="1"/>
  <c r="O51" i="25" a="1"/>
  <c r="O44" i="25" a="1"/>
  <c r="D157" i="24" a="1"/>
  <c r="D92" i="24" a="1"/>
  <c r="D57" i="25" a="1"/>
  <c r="D132" i="22" a="1"/>
  <c r="D58" i="25" a="1"/>
  <c r="O167" i="25" a="1"/>
  <c r="D63" i="22" a="1"/>
  <c r="D30" i="25" a="1"/>
  <c r="O133" i="24" a="1"/>
  <c r="O42" i="25" a="1"/>
  <c r="O35" i="24" a="1"/>
  <c r="O93" i="24" a="1"/>
  <c r="D56" i="24" a="1"/>
  <c r="D117" i="25" a="1"/>
  <c r="O61" i="24" a="1"/>
  <c r="O94" i="24" a="1"/>
  <c r="O23" i="22" a="1"/>
  <c r="O48" i="22" a="1"/>
  <c r="D45" i="25" a="1"/>
  <c r="O73" i="24" a="1"/>
  <c r="O76" i="22" a="1"/>
  <c r="D75" i="24" a="1"/>
  <c r="O28" i="25" a="1"/>
  <c r="O163" i="25" a="1"/>
  <c r="D116" i="25" a="1"/>
  <c r="O75" i="22" l="1"/>
  <c r="D79" i="25"/>
  <c r="D117" i="22"/>
  <c r="D104" i="24"/>
  <c r="D62" i="22"/>
  <c r="D35" i="25"/>
  <c r="D130" i="22"/>
  <c r="D120" i="22"/>
  <c r="O67" i="22"/>
  <c r="O172" i="25"/>
  <c r="O164" i="22"/>
  <c r="D74" i="25"/>
  <c r="E143" i="24"/>
  <c r="D34" i="22"/>
  <c r="D101" i="25"/>
  <c r="D98" i="24"/>
  <c r="D56" i="22"/>
  <c r="O73" i="24"/>
  <c r="P109" i="24"/>
  <c r="O54" i="22"/>
  <c r="O99" i="25"/>
  <c r="O45" i="22"/>
  <c r="D27" i="22"/>
  <c r="O101" i="22"/>
  <c r="D173" i="24"/>
  <c r="D214" i="25"/>
  <c r="D47" i="22"/>
  <c r="D43" i="22"/>
  <c r="O173" i="25"/>
  <c r="D72" i="24"/>
  <c r="D123" i="24"/>
  <c r="O21" i="24"/>
  <c r="D65" i="25"/>
  <c r="O69" i="22"/>
  <c r="O131" i="25"/>
  <c r="D117" i="25"/>
  <c r="D167" i="25"/>
  <c r="D42" i="25"/>
  <c r="E109" i="22"/>
  <c r="D163" i="24"/>
  <c r="O167" i="25"/>
  <c r="D23" i="25"/>
  <c r="O44" i="24"/>
  <c r="O134" i="25"/>
  <c r="D157" i="22"/>
  <c r="O97" i="22"/>
  <c r="D37" i="25"/>
  <c r="D68" i="25"/>
  <c r="D66" i="25"/>
  <c r="D76" i="25"/>
  <c r="O106" i="22"/>
  <c r="O47" i="25"/>
  <c r="D119" i="22"/>
  <c r="D104" i="22"/>
  <c r="O163" i="22"/>
  <c r="D173" i="25"/>
  <c r="D78" i="24"/>
  <c r="O169" i="25"/>
  <c r="U4" i="24"/>
  <c r="BS25" i="24"/>
  <c r="O35" i="25"/>
  <c r="O42" i="25"/>
  <c r="O20" i="25"/>
  <c r="D51" i="24"/>
  <c r="D100" i="22"/>
  <c r="O42" i="22"/>
  <c r="D93" i="24"/>
  <c r="D61" i="24"/>
  <c r="O39" i="25"/>
  <c r="D92" i="22"/>
  <c r="O68" i="24"/>
  <c r="D101" i="22"/>
  <c r="D38" i="24"/>
  <c r="O167" i="22"/>
  <c r="D128" i="22"/>
  <c r="O36" i="24"/>
  <c r="O46" i="25"/>
  <c r="D69" i="25"/>
  <c r="D118" i="25"/>
  <c r="O74" i="25"/>
  <c r="O97" i="25"/>
  <c r="D47" i="25"/>
  <c r="D134" i="25"/>
  <c r="D97" i="22"/>
  <c r="D54" i="22"/>
  <c r="O66" i="22"/>
  <c r="D22" i="24"/>
  <c r="O132" i="24"/>
  <c r="D23" i="24"/>
  <c r="O69" i="25"/>
  <c r="O134" i="24"/>
  <c r="D52" i="24"/>
  <c r="O129" i="24"/>
  <c r="D163" i="22"/>
  <c r="O33" i="24"/>
  <c r="D94" i="24"/>
  <c r="O47" i="22"/>
  <c r="D104" i="25"/>
  <c r="O33" i="22"/>
  <c r="O43" i="22"/>
  <c r="O51" i="22"/>
  <c r="O26" i="25"/>
  <c r="D67" i="24"/>
  <c r="O30" i="24"/>
  <c r="D99" i="25"/>
  <c r="D36" i="22"/>
  <c r="O79" i="25"/>
  <c r="D38" i="22"/>
  <c r="O46" i="24"/>
  <c r="D112" i="22"/>
  <c r="D79" i="24"/>
  <c r="O58" i="22"/>
  <c r="D168" i="22"/>
  <c r="O76" i="24"/>
  <c r="O57" i="22"/>
  <c r="D20" i="22"/>
  <c r="D20" i="24"/>
  <c r="O61" i="25"/>
  <c r="O55" i="24"/>
  <c r="O58" i="24"/>
  <c r="O35" i="22"/>
  <c r="D99" i="24"/>
  <c r="D98" i="22"/>
  <c r="O129" i="22"/>
  <c r="D122" i="24"/>
  <c r="D27" i="24"/>
  <c r="D33" i="24"/>
  <c r="D121" i="25"/>
  <c r="D157" i="24"/>
  <c r="O164" i="25"/>
  <c r="O37" i="24"/>
  <c r="O97" i="24"/>
  <c r="O104" i="22"/>
  <c r="E143" i="25"/>
  <c r="D113" i="24"/>
  <c r="O51" i="24"/>
  <c r="D22" i="25"/>
  <c r="O130" i="22"/>
  <c r="O92" i="25"/>
  <c r="D62" i="24"/>
  <c r="O133" i="22"/>
  <c r="P109" i="25"/>
  <c r="O47" i="24"/>
  <c r="O48" i="22"/>
  <c r="D169" i="24"/>
  <c r="U4" i="19"/>
  <c r="O21" i="25"/>
  <c r="D30" i="24"/>
  <c r="O106" i="19"/>
  <c r="D129" i="25"/>
  <c r="O98" i="24"/>
  <c r="O103" i="22"/>
  <c r="D119" i="24"/>
  <c r="D102" i="25"/>
  <c r="O94" i="25"/>
  <c r="D74" i="24"/>
  <c r="D39" i="22"/>
  <c r="O98" i="22"/>
  <c r="D131" i="25"/>
  <c r="O77" i="25"/>
  <c r="O176" i="25"/>
  <c r="D36" i="24"/>
  <c r="D76" i="24"/>
  <c r="D62" i="25"/>
  <c r="O28" i="25"/>
  <c r="D68" i="22"/>
  <c r="D134" i="24"/>
  <c r="D123" i="22"/>
  <c r="D113" i="25"/>
  <c r="O63" i="25"/>
  <c r="D39" i="25"/>
  <c r="D123" i="25"/>
  <c r="D73" i="24"/>
  <c r="D103" i="24"/>
  <c r="O43" i="24"/>
  <c r="BS25" i="25"/>
  <c r="O65" i="24"/>
  <c r="O94" i="24"/>
  <c r="D133" i="24"/>
  <c r="O104" i="24"/>
  <c r="D73" i="25"/>
  <c r="O23" i="22"/>
  <c r="O102" i="22"/>
  <c r="O23" i="24"/>
  <c r="E143" i="22"/>
  <c r="D93" i="22"/>
  <c r="D125" i="24"/>
  <c r="D53" i="24"/>
  <c r="O19" i="24"/>
  <c r="O105" i="22"/>
  <c r="D21" i="22"/>
  <c r="D37" i="22"/>
  <c r="D69" i="22"/>
  <c r="D211" i="22"/>
  <c r="D102" i="22"/>
  <c r="D75" i="22"/>
  <c r="D116" i="22"/>
  <c r="O48" i="24"/>
  <c r="D172" i="22"/>
  <c r="D157" i="25"/>
  <c r="D67" i="22"/>
  <c r="D133" i="25"/>
  <c r="O61" i="24"/>
  <c r="D43" i="24"/>
  <c r="O28" i="22"/>
  <c r="D54" i="25"/>
  <c r="D103" i="22"/>
  <c r="U4" i="22"/>
  <c r="O61" i="22"/>
  <c r="D121" i="22"/>
  <c r="D34" i="25"/>
  <c r="O106" i="25"/>
  <c r="D64" i="25"/>
  <c r="O27" i="24"/>
  <c r="D23" i="22"/>
  <c r="O168" i="22"/>
  <c r="O20" i="24"/>
  <c r="D44" i="24"/>
  <c r="D167" i="22"/>
  <c r="O56" i="22"/>
  <c r="D44" i="22"/>
  <c r="O34" i="24"/>
  <c r="O133" i="25"/>
  <c r="D176" i="24"/>
  <c r="O30" i="25"/>
  <c r="O22" i="22"/>
  <c r="O102" i="24"/>
  <c r="O63" i="24"/>
  <c r="O130" i="25"/>
  <c r="D46" i="22"/>
  <c r="D29" i="24"/>
  <c r="O92" i="22"/>
  <c r="O20" i="22"/>
  <c r="D56" i="25"/>
  <c r="D42" i="24"/>
  <c r="D168" i="25"/>
  <c r="D33" i="22"/>
  <c r="D131" i="24"/>
  <c r="O44" i="25"/>
  <c r="O168" i="24"/>
  <c r="D72" i="22"/>
  <c r="D77" i="24"/>
  <c r="O51" i="25"/>
  <c r="D30" i="22"/>
  <c r="D20" i="25"/>
  <c r="O33" i="25"/>
  <c r="O66" i="24"/>
  <c r="O163" i="25"/>
  <c r="D72" i="25"/>
  <c r="D69" i="24"/>
  <c r="O78" i="25"/>
  <c r="D97" i="25"/>
  <c r="C4" i="24"/>
  <c r="O72" i="22"/>
  <c r="O29" i="22"/>
  <c r="E150" i="25"/>
  <c r="O64" i="22"/>
  <c r="O101" i="24"/>
  <c r="O131" i="24"/>
  <c r="D118" i="22"/>
  <c r="O76" i="25"/>
  <c r="O58" i="25"/>
  <c r="O37" i="25"/>
  <c r="D106" i="25"/>
  <c r="O105" i="24"/>
  <c r="O72" i="25"/>
  <c r="O34" i="22"/>
  <c r="P109" i="19"/>
  <c r="D46" i="24"/>
  <c r="D56" i="24"/>
  <c r="O128" i="22"/>
  <c r="D21" i="25"/>
  <c r="O130" i="24"/>
  <c r="D57" i="22"/>
  <c r="O77" i="22"/>
  <c r="D132" i="22"/>
  <c r="O92" i="24"/>
  <c r="D29" i="25"/>
  <c r="O132" i="22"/>
  <c r="D112" i="25"/>
  <c r="D124" i="22"/>
  <c r="D28" i="25"/>
  <c r="D75" i="25"/>
  <c r="O22" i="24"/>
  <c r="O52" i="25"/>
  <c r="O19" i="22"/>
  <c r="D22" i="22"/>
  <c r="D117" i="24"/>
  <c r="D65" i="24"/>
  <c r="O27" i="22"/>
  <c r="D105" i="22"/>
  <c r="D42" i="22"/>
  <c r="D63" i="25"/>
  <c r="D38" i="25"/>
  <c r="O62" i="25"/>
  <c r="O46" i="22"/>
  <c r="D101" i="24"/>
  <c r="D211" i="25"/>
  <c r="D26" i="25"/>
  <c r="D37" i="24"/>
  <c r="O131" i="22"/>
  <c r="O133" i="24"/>
  <c r="D45" i="25"/>
  <c r="D51" i="25"/>
  <c r="O100" i="22"/>
  <c r="D129" i="24"/>
  <c r="O75" i="24"/>
  <c r="O79" i="22"/>
  <c r="O164" i="24"/>
  <c r="D19" i="22"/>
  <c r="D102" i="24"/>
  <c r="D116" i="25"/>
  <c r="O134" i="22"/>
  <c r="O26" i="22"/>
  <c r="O78" i="24"/>
  <c r="D79" i="22"/>
  <c r="D45" i="24"/>
  <c r="D77" i="22"/>
  <c r="D169" i="25"/>
  <c r="O38" i="25"/>
  <c r="O36" i="25"/>
  <c r="O73" i="22"/>
  <c r="D120" i="25"/>
  <c r="D19" i="24"/>
  <c r="E109" i="24"/>
  <c r="O129" i="25"/>
  <c r="D58" i="25"/>
  <c r="O35" i="24"/>
  <c r="O42" i="24"/>
  <c r="D68" i="24"/>
  <c r="O73" i="25"/>
  <c r="O172" i="22"/>
  <c r="D97" i="24"/>
  <c r="D92" i="25"/>
  <c r="D131" i="22"/>
  <c r="O54" i="24"/>
  <c r="O78" i="22"/>
  <c r="O48" i="25"/>
  <c r="O36" i="22"/>
  <c r="O93" i="24"/>
  <c r="D105" i="25"/>
  <c r="O29" i="25"/>
  <c r="D105" i="24"/>
  <c r="O52" i="22"/>
  <c r="D47" i="24"/>
  <c r="O65" i="25"/>
  <c r="O28" i="24"/>
  <c r="O94" i="22"/>
  <c r="D100" i="25"/>
  <c r="D46" i="25"/>
  <c r="D35" i="24"/>
  <c r="O21" i="22"/>
  <c r="O101" i="25"/>
  <c r="D130" i="24"/>
  <c r="D164" i="24"/>
  <c r="D67" i="25"/>
  <c r="O77" i="24"/>
  <c r="O65" i="22"/>
  <c r="O63" i="22"/>
  <c r="D66" i="22"/>
  <c r="D98" i="25"/>
  <c r="E150" i="22"/>
  <c r="O106" i="24"/>
  <c r="D94" i="25"/>
  <c r="D172" i="25"/>
  <c r="O52" i="24"/>
  <c r="O64" i="24"/>
  <c r="D77" i="25"/>
  <c r="O56" i="24"/>
  <c r="D169" i="22"/>
  <c r="D106" i="24"/>
  <c r="O98" i="25"/>
  <c r="D52" i="25"/>
  <c r="D74" i="22"/>
  <c r="D63" i="22"/>
  <c r="O67" i="24"/>
  <c r="D164" i="25"/>
  <c r="O167" i="24"/>
  <c r="O22" i="25"/>
  <c r="O132" i="25"/>
  <c r="D36" i="25"/>
  <c r="D35" i="22"/>
  <c r="D57" i="25"/>
  <c r="O38" i="22"/>
  <c r="D61" i="22"/>
  <c r="D119" i="25"/>
  <c r="O128" i="24"/>
  <c r="D27" i="25"/>
  <c r="D58" i="22"/>
  <c r="O29" i="24"/>
  <c r="O79" i="24"/>
  <c r="D48" i="22"/>
  <c r="D116" i="24"/>
  <c r="D58" i="24"/>
  <c r="D118" i="24"/>
  <c r="C4" i="25"/>
  <c r="O45" i="25"/>
  <c r="D63" i="24"/>
  <c r="D106" i="22"/>
  <c r="D99" i="22"/>
  <c r="O128" i="25"/>
  <c r="D106" i="19"/>
  <c r="O62" i="24"/>
  <c r="D26" i="22"/>
  <c r="D29" i="22"/>
  <c r="D54" i="24"/>
  <c r="D133" i="22"/>
  <c r="O26" i="24"/>
  <c r="O168" i="25"/>
  <c r="C4" i="19"/>
  <c r="D168" i="24"/>
  <c r="O72" i="24"/>
  <c r="O104" i="25"/>
  <c r="D128" i="25"/>
  <c r="D214" i="24"/>
  <c r="O93" i="22"/>
  <c r="O99" i="22"/>
  <c r="D26" i="24"/>
  <c r="O76" i="22"/>
  <c r="O55" i="25"/>
  <c r="D19" i="25"/>
  <c r="P109" i="22"/>
  <c r="D122" i="25"/>
  <c r="D30" i="25"/>
  <c r="O169" i="22"/>
  <c r="O34" i="25"/>
  <c r="O64" i="25"/>
  <c r="D51" i="22"/>
  <c r="O103" i="24"/>
  <c r="D34" i="24"/>
  <c r="O99" i="24"/>
  <c r="D48" i="24"/>
  <c r="D132" i="25"/>
  <c r="O102" i="25"/>
  <c r="D103" i="25"/>
  <c r="O44" i="22"/>
  <c r="O69" i="24"/>
  <c r="D122" i="22"/>
  <c r="O53" i="24"/>
  <c r="D55" i="22"/>
  <c r="D130" i="25"/>
  <c r="D53" i="22"/>
  <c r="D21" i="24"/>
  <c r="D93" i="25"/>
  <c r="D94" i="22"/>
  <c r="O172" i="24"/>
  <c r="D121" i="24"/>
  <c r="O67" i="25"/>
  <c r="U4" i="25"/>
  <c r="D33" i="25"/>
  <c r="D44" i="25"/>
  <c r="D124" i="25"/>
  <c r="O66" i="25"/>
  <c r="D120" i="24"/>
  <c r="D128" i="24"/>
  <c r="O19" i="25"/>
  <c r="D45" i="22"/>
  <c r="O53" i="25"/>
  <c r="D214" i="22"/>
  <c r="O62" i="22"/>
  <c r="D176" i="25"/>
  <c r="O68" i="22"/>
  <c r="D66" i="24"/>
  <c r="D28" i="22"/>
  <c r="O105" i="25"/>
  <c r="D134" i="22"/>
  <c r="O100" i="24"/>
  <c r="D76" i="22"/>
  <c r="D132" i="24"/>
  <c r="D125" i="22"/>
  <c r="D64" i="22"/>
  <c r="O56" i="25"/>
  <c r="D28" i="24"/>
  <c r="E109" i="25"/>
  <c r="D92" i="24"/>
  <c r="O30" i="22"/>
  <c r="O75" i="25"/>
  <c r="O68" i="25"/>
  <c r="D52" i="22"/>
  <c r="O45" i="24"/>
  <c r="O173" i="24"/>
  <c r="D61" i="25"/>
  <c r="E109" i="19"/>
  <c r="D164" i="22"/>
  <c r="D57" i="24"/>
  <c r="O176" i="24"/>
  <c r="O38" i="24"/>
  <c r="O53" i="22"/>
  <c r="D55" i="25"/>
  <c r="D112" i="24"/>
  <c r="O163" i="24"/>
  <c r="E150" i="24"/>
  <c r="D124" i="24"/>
  <c r="D48" i="25"/>
  <c r="O55" i="22"/>
  <c r="D64" i="24"/>
  <c r="D73" i="22"/>
  <c r="O169" i="24"/>
  <c r="D113" i="22"/>
  <c r="O43" i="25"/>
  <c r="O100" i="25"/>
  <c r="D53" i="25"/>
  <c r="O39" i="24"/>
  <c r="O39" i="22"/>
  <c r="D129" i="22"/>
  <c r="D75" i="24"/>
  <c r="O37" i="22"/>
  <c r="D100" i="24"/>
  <c r="D78" i="25"/>
  <c r="D172" i="24"/>
  <c r="O57" i="24"/>
  <c r="O54" i="25"/>
  <c r="D55" i="24"/>
  <c r="O23" i="25"/>
  <c r="O57" i="25"/>
  <c r="D65" i="22"/>
  <c r="D78" i="22"/>
  <c r="D39" i="24"/>
  <c r="O74" i="22"/>
  <c r="O74" i="24"/>
  <c r="C4" i="22"/>
  <c r="D167" i="24"/>
  <c r="O103" i="25"/>
  <c r="D43" i="25"/>
  <c r="O93" i="25"/>
  <c r="D211" i="24"/>
  <c r="D125" i="25"/>
  <c r="D163" i="25"/>
  <c r="O27" i="25"/>
  <c r="O177" i="25"/>
  <c r="D177" i="25"/>
  <c r="Z181" i="25"/>
  <c r="D177" i="24"/>
  <c r="O177" i="24"/>
  <c r="Z181" i="24"/>
  <c r="D173" i="22"/>
  <c r="O173" i="22"/>
  <c r="Z177" i="22"/>
  <c r="E143" i="19"/>
  <c r="D19" i="19"/>
  <c r="O176" i="22" a="1"/>
  <c r="O180" i="25" a="1"/>
  <c r="D176" i="22" a="1"/>
  <c r="D180" i="25" a="1"/>
  <c r="O180" i="24" a="1"/>
  <c r="D180" i="24" a="1"/>
  <c r="O180" i="25" l="1"/>
  <c r="D180" i="25"/>
  <c r="Z182" i="25"/>
  <c r="O180" i="24"/>
  <c r="D180" i="24"/>
  <c r="Z182" i="24"/>
  <c r="D176" i="22"/>
  <c r="O176" i="22"/>
  <c r="Z178" i="22"/>
  <c r="Z179" i="22" s="1"/>
  <c r="Z180" i="22" s="1"/>
  <c r="O177" i="22" a="1"/>
  <c r="O181" i="25" a="1"/>
  <c r="O181" i="24" a="1"/>
  <c r="D181" i="24" a="1"/>
  <c r="D181" i="25" a="1"/>
  <c r="D177" i="22" a="1"/>
  <c r="O181" i="25" l="1"/>
  <c r="D181" i="25"/>
  <c r="Z183" i="25"/>
  <c r="O181" i="24"/>
  <c r="D181" i="24"/>
  <c r="Z183" i="24"/>
  <c r="D177" i="22"/>
  <c r="O177" i="22"/>
  <c r="Z181" i="22"/>
  <c r="O182" i="25" a="1"/>
  <c r="D182" i="25" a="1"/>
  <c r="O182" i="24" a="1"/>
  <c r="O180" i="22" a="1"/>
  <c r="D180" i="22" a="1"/>
  <c r="D182" i="24" a="1"/>
  <c r="O182" i="25" l="1"/>
  <c r="D182" i="25"/>
  <c r="Z184" i="25"/>
  <c r="Z185" i="25" s="1"/>
  <c r="Z186" i="25" s="1"/>
  <c r="D182" i="24"/>
  <c r="O182" i="24"/>
  <c r="Z184" i="24"/>
  <c r="Z185" i="24" s="1"/>
  <c r="Z186" i="24" s="1"/>
  <c r="O180" i="22"/>
  <c r="D180" i="22"/>
  <c r="Z182" i="22"/>
  <c r="D183" i="24" a="1"/>
  <c r="O181" i="22" a="1"/>
  <c r="D183" i="25" a="1"/>
  <c r="O183" i="25" a="1"/>
  <c r="O183" i="24" a="1"/>
  <c r="D181" i="22" a="1"/>
  <c r="D183" i="25" l="1"/>
  <c r="O183" i="25"/>
  <c r="Z187" i="25"/>
  <c r="O183" i="24"/>
  <c r="D183" i="24"/>
  <c r="Z187" i="24"/>
  <c r="O181" i="22"/>
  <c r="D181" i="22"/>
  <c r="Z183" i="22"/>
  <c r="AS10" i="19"/>
  <c r="AI30" i="19"/>
  <c r="AK30" i="19" s="1"/>
  <c r="AI29" i="19"/>
  <c r="AK29" i="19" s="1"/>
  <c r="AK40" i="19" s="1"/>
  <c r="AI22" i="19"/>
  <c r="AK22" i="19" s="1"/>
  <c r="AI18" i="19"/>
  <c r="AK18" i="19" s="1"/>
  <c r="Z164" i="19"/>
  <c r="Z165" i="19" s="1"/>
  <c r="Z166" i="19" s="1"/>
  <c r="Z167" i="19" s="1"/>
  <c r="Z168" i="19" s="1"/>
  <c r="Z169" i="19" s="1"/>
  <c r="Z170" i="19" s="1"/>
  <c r="Z171" i="19" s="1"/>
  <c r="Z172" i="19" s="1"/>
  <c r="Z173" i="19" s="1"/>
  <c r="Z174" i="19" s="1"/>
  <c r="Z175" i="19" s="1"/>
  <c r="Z176" i="19" s="1"/>
  <c r="Z177" i="19" s="1"/>
  <c r="Z178" i="19" s="1"/>
  <c r="Z179" i="19" s="1"/>
  <c r="Z180" i="19" s="1"/>
  <c r="Z181" i="19" s="1"/>
  <c r="Z182" i="19" s="1"/>
  <c r="Z183" i="19" s="1"/>
  <c r="Z184" i="19" s="1"/>
  <c r="Z185" i="19" s="1"/>
  <c r="Z186" i="19" s="1"/>
  <c r="Z187" i="19" s="1"/>
  <c r="Z188" i="19" s="1"/>
  <c r="Z189" i="19" s="1"/>
  <c r="Z190" i="19" s="1"/>
  <c r="Z191" i="19" s="1"/>
  <c r="Z192" i="19" s="1"/>
  <c r="Z193" i="19" s="1"/>
  <c r="Z194" i="19" s="1"/>
  <c r="O7" i="2"/>
  <c r="O8" i="2"/>
  <c r="O9" i="2"/>
  <c r="O10" i="2"/>
  <c r="O11" i="2"/>
  <c r="O12" i="2"/>
  <c r="O13" i="2"/>
  <c r="O14" i="2"/>
  <c r="O15" i="2"/>
  <c r="O16" i="2"/>
  <c r="O17" i="2"/>
  <c r="O6" i="2"/>
  <c r="L6" i="2"/>
  <c r="F7" i="2"/>
  <c r="F8" i="2"/>
  <c r="F9" i="2"/>
  <c r="F10" i="2"/>
  <c r="F11" i="2"/>
  <c r="F12" i="2"/>
  <c r="F13" i="2"/>
  <c r="F14" i="2"/>
  <c r="F15" i="2"/>
  <c r="F16" i="2"/>
  <c r="F6" i="2"/>
  <c r="G7" i="2"/>
  <c r="G8" i="2"/>
  <c r="G9" i="2"/>
  <c r="G10" i="2"/>
  <c r="G11" i="2"/>
  <c r="G12" i="2"/>
  <c r="G13" i="2"/>
  <c r="G14" i="2"/>
  <c r="G15" i="2"/>
  <c r="G16" i="2"/>
  <c r="G6" i="2"/>
  <c r="G20" i="2"/>
  <c r="H20" i="2" s="1"/>
  <c r="I20" i="2" s="1"/>
  <c r="J20" i="2" s="1"/>
  <c r="K20" i="2" s="1"/>
  <c r="L20" i="2" s="1"/>
  <c r="M20" i="2" s="1"/>
  <c r="N20" i="2" s="1"/>
  <c r="O20" i="2" s="1"/>
  <c r="L7" i="2"/>
  <c r="L8" i="2"/>
  <c r="L9" i="2"/>
  <c r="L10" i="2"/>
  <c r="L11" i="2"/>
  <c r="L12" i="2"/>
  <c r="L13" i="2"/>
  <c r="L14" i="2"/>
  <c r="L15" i="2"/>
  <c r="L16" i="2"/>
  <c r="L17" i="2"/>
  <c r="K7" i="2"/>
  <c r="K8" i="2"/>
  <c r="K9" i="2"/>
  <c r="K10" i="2"/>
  <c r="K11" i="2"/>
  <c r="K12" i="2"/>
  <c r="K13" i="2"/>
  <c r="K14" i="2"/>
  <c r="K15" i="2"/>
  <c r="K16" i="2"/>
  <c r="K17" i="2"/>
  <c r="K6" i="2"/>
  <c r="J17" i="2"/>
  <c r="I17" i="2"/>
  <c r="H17" i="2"/>
  <c r="O186" i="24" a="1"/>
  <c r="D100" i="19" a="1"/>
  <c r="D182" i="22" a="1"/>
  <c r="O186" i="25" a="1"/>
  <c r="O182" i="22" a="1"/>
  <c r="D186" i="24" a="1"/>
  <c r="D186" i="25" a="1"/>
  <c r="O100" i="19" a="1"/>
  <c r="Z201" i="19" l="1"/>
  <c r="Z202" i="19" s="1"/>
  <c r="Z203" i="19" s="1"/>
  <c r="Z204" i="19" s="1"/>
  <c r="Z205" i="19" s="1"/>
  <c r="Z206" i="19" s="1"/>
  <c r="Z207" i="19" s="1"/>
  <c r="Z200" i="19"/>
  <c r="D186" i="25"/>
  <c r="O186" i="25"/>
  <c r="Z188" i="25"/>
  <c r="O186" i="24"/>
  <c r="D186" i="24"/>
  <c r="Z188" i="24"/>
  <c r="D182" i="22"/>
  <c r="O182" i="22"/>
  <c r="Z184" i="22"/>
  <c r="Z185" i="22" s="1"/>
  <c r="Z186" i="22" s="1"/>
  <c r="H71" i="16"/>
  <c r="H75" i="16"/>
  <c r="H83" i="16"/>
  <c r="AI40" i="19"/>
  <c r="BN25" i="19" s="1"/>
  <c r="H82" i="16"/>
  <c r="O100" i="19"/>
  <c r="D100" i="19"/>
  <c r="D187" i="25" a="1"/>
  <c r="O183" i="22" a="1"/>
  <c r="O187" i="25" a="1"/>
  <c r="D183" i="22" a="1"/>
  <c r="D187" i="24" a="1"/>
  <c r="O187" i="24" a="1"/>
  <c r="O187" i="25" l="1"/>
  <c r="D187" i="25"/>
  <c r="Z189" i="25"/>
  <c r="Z190" i="25" s="1"/>
  <c r="Z191" i="25" s="1"/>
  <c r="D187" i="24"/>
  <c r="O187" i="24"/>
  <c r="Z189" i="24"/>
  <c r="Z190" i="24" s="1"/>
  <c r="Z191" i="24" s="1"/>
  <c r="D183" i="22"/>
  <c r="O183" i="22"/>
  <c r="Z187" i="22"/>
  <c r="E47" i="21"/>
  <c r="E50" i="21" s="1"/>
  <c r="F9" i="21"/>
  <c r="O188" i="24" a="1"/>
  <c r="D188" i="24" a="1"/>
  <c r="D186" i="22" a="1"/>
  <c r="O188" i="25" a="1"/>
  <c r="D188" i="25" a="1"/>
  <c r="E150" i="19" a="1"/>
  <c r="O186" i="22" a="1"/>
  <c r="D188" i="25" l="1"/>
  <c r="O188" i="25"/>
  <c r="Z192" i="25"/>
  <c r="D188" i="24"/>
  <c r="O188" i="24"/>
  <c r="Z192" i="24"/>
  <c r="D186" i="22"/>
  <c r="O186" i="22"/>
  <c r="Z188" i="22"/>
  <c r="E55" i="21"/>
  <c r="E150" i="19"/>
  <c r="D191" i="25" a="1"/>
  <c r="D191" i="24" a="1"/>
  <c r="O187" i="22" a="1"/>
  <c r="O191" i="25" a="1"/>
  <c r="O191" i="24" a="1"/>
  <c r="D187" i="22" a="1"/>
  <c r="D191" i="25" l="1"/>
  <c r="O191" i="25"/>
  <c r="Z193" i="25"/>
  <c r="O191" i="24"/>
  <c r="D191" i="24"/>
  <c r="Z193" i="24"/>
  <c r="D187" i="22"/>
  <c r="O187" i="22"/>
  <c r="Z189" i="22"/>
  <c r="Z190" i="22" s="1"/>
  <c r="Z191" i="22" s="1"/>
  <c r="A190" i="19"/>
  <c r="A185" i="19"/>
  <c r="A179" i="19"/>
  <c r="A175" i="19"/>
  <c r="A171" i="19"/>
  <c r="D188" i="19" a="1"/>
  <c r="O188" i="19" a="1"/>
  <c r="O163" i="19" a="1"/>
  <c r="O58" i="19" a="1"/>
  <c r="D214" i="19" a="1"/>
  <c r="O57" i="19" a="1"/>
  <c r="O192" i="25" a="1"/>
  <c r="D187" i="19" a="1"/>
  <c r="O97" i="19" a="1"/>
  <c r="O63" i="19" a="1"/>
  <c r="O30" i="19" a="1"/>
  <c r="O29" i="19" a="1"/>
  <c r="O47" i="19" a="1"/>
  <c r="O69" i="19" a="1"/>
  <c r="O55" i="19" a="1"/>
  <c r="O53" i="19" a="1"/>
  <c r="O173" i="19" a="1"/>
  <c r="O94" i="19" a="1"/>
  <c r="O28" i="19" a="1"/>
  <c r="O93" i="19" a="1"/>
  <c r="O43" i="19" a="1"/>
  <c r="D192" i="25" a="1"/>
  <c r="O99" i="19" a="1"/>
  <c r="O129" i="19" a="1"/>
  <c r="D177" i="19" a="1"/>
  <c r="O56" i="19" a="1"/>
  <c r="D168" i="19" a="1"/>
  <c r="O26" i="19" a="1"/>
  <c r="D191" i="19" a="1"/>
  <c r="O167" i="19" a="1"/>
  <c r="O164" i="19" a="1"/>
  <c r="O205" i="19" a="1"/>
  <c r="O62" i="19" a="1"/>
  <c r="O39" i="19" a="1"/>
  <c r="D193" i="19" a="1"/>
  <c r="O66" i="19" a="1"/>
  <c r="O193" i="19" a="1"/>
  <c r="D207" i="19" a="1"/>
  <c r="O37" i="19" a="1"/>
  <c r="O172" i="19" a="1"/>
  <c r="O103" i="19" a="1"/>
  <c r="O180" i="19" a="1"/>
  <c r="O133" i="19" a="1"/>
  <c r="O183" i="19" a="1"/>
  <c r="O134" i="19" a="1"/>
  <c r="O104" i="19" a="1"/>
  <c r="O48" i="19" a="1"/>
  <c r="O201" i="19" a="1"/>
  <c r="O206" i="19" a="1"/>
  <c r="O192" i="24" a="1"/>
  <c r="D173" i="19" a="1"/>
  <c r="D188" i="22" a="1"/>
  <c r="O22" i="19" a="1"/>
  <c r="D201" i="19" a="1"/>
  <c r="O168" i="19" a="1"/>
  <c r="O192" i="19" a="1"/>
  <c r="O44" i="19" a="1"/>
  <c r="O77" i="19" a="1"/>
  <c r="O130" i="19" a="1"/>
  <c r="D206" i="19" a="1"/>
  <c r="D202" i="19" a="1"/>
  <c r="O20" i="19" a="1"/>
  <c r="O92" i="19" a="1"/>
  <c r="O73" i="19" a="1"/>
  <c r="O23" i="19" a="1"/>
  <c r="O186" i="19" a="1"/>
  <c r="O54" i="19" a="1"/>
  <c r="O76" i="19" a="1"/>
  <c r="D163" i="19" a="1"/>
  <c r="O34" i="19" a="1"/>
  <c r="O207" i="19" a="1"/>
  <c r="O67" i="19" a="1"/>
  <c r="O105" i="19" a="1"/>
  <c r="O74" i="19" a="1"/>
  <c r="O33" i="19" a="1"/>
  <c r="O187" i="19" a="1"/>
  <c r="O46" i="19" a="1"/>
  <c r="D186" i="19" a="1"/>
  <c r="O72" i="19" a="1"/>
  <c r="D172" i="19" a="1"/>
  <c r="O61" i="19" a="1"/>
  <c r="O19" i="19" a="1"/>
  <c r="O102" i="19" a="1"/>
  <c r="O191" i="19" a="1"/>
  <c r="D183" i="19" a="1"/>
  <c r="D167" i="19" a="1"/>
  <c r="O35" i="19" a="1"/>
  <c r="O182" i="19" a="1"/>
  <c r="O188" i="22" a="1"/>
  <c r="O27" i="19" a="1"/>
  <c r="O21" i="19" a="1"/>
  <c r="O65" i="19" a="1"/>
  <c r="D169" i="19" a="1"/>
  <c r="D164" i="19" a="1"/>
  <c r="D205" i="19" a="1"/>
  <c r="O128" i="19" a="1"/>
  <c r="O202" i="19" a="1"/>
  <c r="O132" i="19" a="1"/>
  <c r="D176" i="19" a="1"/>
  <c r="O176" i="19" a="1"/>
  <c r="O45" i="19" a="1"/>
  <c r="O42" i="19" a="1"/>
  <c r="O52" i="19" a="1"/>
  <c r="O101" i="19" a="1"/>
  <c r="D181" i="19" a="1"/>
  <c r="O98" i="19" a="1"/>
  <c r="O181" i="19" a="1"/>
  <c r="O68" i="19" a="1"/>
  <c r="D180" i="19" a="1"/>
  <c r="O169" i="19" a="1"/>
  <c r="O51" i="19" a="1"/>
  <c r="O79" i="19" a="1"/>
  <c r="O36" i="19" a="1"/>
  <c r="O75" i="19" a="1"/>
  <c r="O64" i="19" a="1"/>
  <c r="D182" i="19" a="1"/>
  <c r="D192" i="19" a="1"/>
  <c r="O131" i="19" a="1"/>
  <c r="O78" i="19" a="1"/>
  <c r="D192" i="24" a="1"/>
  <c r="O177" i="19" a="1"/>
  <c r="O38" i="19" a="1"/>
  <c r="O192" i="25" l="1"/>
  <c r="D192" i="25"/>
  <c r="Z194" i="25"/>
  <c r="Z200" i="25" s="1"/>
  <c r="Z201" i="25" s="1"/>
  <c r="D192" i="24"/>
  <c r="O192" i="24"/>
  <c r="Z194" i="24"/>
  <c r="D188" i="22"/>
  <c r="O188" i="22"/>
  <c r="Z192" i="22"/>
  <c r="O191" i="19"/>
  <c r="O187" i="19"/>
  <c r="O183" i="19"/>
  <c r="O167" i="19"/>
  <c r="O207" i="19"/>
  <c r="O186" i="19"/>
  <c r="O202" i="19"/>
  <c r="O173" i="19"/>
  <c r="O177" i="19"/>
  <c r="O169" i="19"/>
  <c r="O182" i="19"/>
  <c r="O206" i="19"/>
  <c r="O193" i="19"/>
  <c r="O181" i="19"/>
  <c r="O205" i="19"/>
  <c r="O201" i="19"/>
  <c r="O192" i="19"/>
  <c r="O188" i="19"/>
  <c r="O180" i="19"/>
  <c r="O176" i="19"/>
  <c r="O172" i="19"/>
  <c r="O168" i="19"/>
  <c r="O164" i="19"/>
  <c r="O131" i="19"/>
  <c r="O94" i="19"/>
  <c r="O68" i="19"/>
  <c r="O48" i="19"/>
  <c r="O36" i="19"/>
  <c r="O134" i="19"/>
  <c r="O130" i="19"/>
  <c r="O102" i="19"/>
  <c r="O97" i="19"/>
  <c r="O93" i="19"/>
  <c r="O79" i="19"/>
  <c r="O75" i="19"/>
  <c r="O67" i="19"/>
  <c r="O63" i="19"/>
  <c r="O55" i="19"/>
  <c r="O51" i="19"/>
  <c r="O47" i="19"/>
  <c r="O43" i="19"/>
  <c r="O39" i="19"/>
  <c r="O35" i="19"/>
  <c r="O27" i="19"/>
  <c r="O23" i="19"/>
  <c r="O28" i="19"/>
  <c r="O103" i="19"/>
  <c r="O52" i="19"/>
  <c r="O133" i="19"/>
  <c r="O129" i="19"/>
  <c r="O105" i="19"/>
  <c r="O101" i="19"/>
  <c r="O92" i="19"/>
  <c r="O78" i="19"/>
  <c r="O74" i="19"/>
  <c r="O66" i="19"/>
  <c r="O62" i="19"/>
  <c r="O58" i="19"/>
  <c r="O54" i="19"/>
  <c r="O46" i="19"/>
  <c r="O42" i="19"/>
  <c r="O38" i="19"/>
  <c r="O34" i="19"/>
  <c r="O30" i="19"/>
  <c r="O26" i="19"/>
  <c r="O22" i="19"/>
  <c r="O76" i="19"/>
  <c r="O72" i="19"/>
  <c r="O64" i="19"/>
  <c r="O44" i="19"/>
  <c r="O163" i="19"/>
  <c r="O132" i="19"/>
  <c r="O128" i="19"/>
  <c r="O104" i="19"/>
  <c r="O99" i="19"/>
  <c r="O77" i="19"/>
  <c r="O73" i="19"/>
  <c r="O69" i="19"/>
  <c r="O65" i="19"/>
  <c r="O61" i="19"/>
  <c r="O57" i="19"/>
  <c r="O53" i="19"/>
  <c r="O45" i="19"/>
  <c r="O37" i="19"/>
  <c r="O33" i="19"/>
  <c r="O29" i="19"/>
  <c r="O21" i="19"/>
  <c r="O98" i="19"/>
  <c r="O56" i="19"/>
  <c r="O20" i="19"/>
  <c r="O19" i="19"/>
  <c r="D192" i="19"/>
  <c r="D176" i="19"/>
  <c r="D168" i="19"/>
  <c r="D172" i="19"/>
  <c r="D191" i="19"/>
  <c r="D187" i="19"/>
  <c r="D183" i="19"/>
  <c r="D167" i="19"/>
  <c r="D201" i="19"/>
  <c r="D214" i="19"/>
  <c r="D186" i="19"/>
  <c r="D182" i="19"/>
  <c r="D180" i="19"/>
  <c r="D207" i="19"/>
  <c r="D205" i="19"/>
  <c r="D188" i="19"/>
  <c r="D206" i="19"/>
  <c r="D202" i="19"/>
  <c r="D193" i="19"/>
  <c r="D181" i="19"/>
  <c r="D177" i="19"/>
  <c r="D173" i="19"/>
  <c r="D169" i="19"/>
  <c r="D163" i="19"/>
  <c r="D164" i="19"/>
  <c r="AS9" i="19"/>
  <c r="AS3" i="19"/>
  <c r="AO96" i="19" s="1"/>
  <c r="AS6" i="19"/>
  <c r="AS5" i="19"/>
  <c r="O193" i="25" a="1"/>
  <c r="D193" i="24" a="1"/>
  <c r="O191" i="22" a="1"/>
  <c r="D193" i="25" a="1"/>
  <c r="O193" i="24" a="1"/>
  <c r="D191" i="22" a="1"/>
  <c r="Z200" i="24" l="1"/>
  <c r="Z201" i="24" s="1"/>
  <c r="Z195" i="24"/>
  <c r="Z196" i="24" s="1"/>
  <c r="O193" i="25"/>
  <c r="D193" i="25"/>
  <c r="Z202" i="25"/>
  <c r="O193" i="24"/>
  <c r="D193" i="24"/>
  <c r="Z202" i="24"/>
  <c r="O191" i="22"/>
  <c r="D191" i="22"/>
  <c r="Z193" i="22"/>
  <c r="AO101" i="19"/>
  <c r="AO109" i="19"/>
  <c r="AO117" i="19"/>
  <c r="AO125" i="19"/>
  <c r="AO102" i="19"/>
  <c r="AO110" i="19"/>
  <c r="AO118" i="19"/>
  <c r="AO103" i="19"/>
  <c r="AO111" i="19"/>
  <c r="AO119" i="19"/>
  <c r="AO105" i="19"/>
  <c r="AO114" i="19"/>
  <c r="AO108" i="19"/>
  <c r="AO104" i="19"/>
  <c r="AO112" i="19"/>
  <c r="AO120" i="19"/>
  <c r="AO97" i="19"/>
  <c r="AO121" i="19"/>
  <c r="AO98" i="19"/>
  <c r="AO122" i="19"/>
  <c r="AO124" i="19"/>
  <c r="AO113" i="19"/>
  <c r="AO106" i="19"/>
  <c r="AO116" i="19"/>
  <c r="AO99" i="19"/>
  <c r="AO107" i="19"/>
  <c r="AO115" i="19"/>
  <c r="AO123" i="19"/>
  <c r="AO100" i="19"/>
  <c r="AO91" i="19"/>
  <c r="AO92" i="19"/>
  <c r="AO93" i="19"/>
  <c r="AO94" i="19"/>
  <c r="AO90" i="19"/>
  <c r="AO95" i="19"/>
  <c r="AO27" i="19"/>
  <c r="AO35" i="19"/>
  <c r="AO43" i="19"/>
  <c r="AO51" i="19"/>
  <c r="AO59" i="19"/>
  <c r="AO67" i="19"/>
  <c r="AO75" i="19"/>
  <c r="AO83" i="19"/>
  <c r="AO36" i="19"/>
  <c r="AO44" i="19"/>
  <c r="AO52" i="19"/>
  <c r="AO60" i="19"/>
  <c r="AO68" i="19"/>
  <c r="AO76" i="19"/>
  <c r="AO84" i="19"/>
  <c r="AO37" i="19"/>
  <c r="AO69" i="19"/>
  <c r="AO46" i="19"/>
  <c r="AO62" i="19"/>
  <c r="AO86" i="19"/>
  <c r="AO26" i="19"/>
  <c r="AO47" i="19"/>
  <c r="AO79" i="19"/>
  <c r="AO32" i="19"/>
  <c r="AO64" i="19"/>
  <c r="AO88" i="19"/>
  <c r="AO28" i="19"/>
  <c r="AO53" i="19"/>
  <c r="AO30" i="19"/>
  <c r="AO78" i="19"/>
  <c r="AO31" i="19"/>
  <c r="AO63" i="19"/>
  <c r="AO73" i="19"/>
  <c r="AO42" i="19"/>
  <c r="AO82" i="19"/>
  <c r="AO29" i="19"/>
  <c r="AO45" i="19"/>
  <c r="AO61" i="19"/>
  <c r="AO77" i="19"/>
  <c r="AO85" i="19"/>
  <c r="AO38" i="19"/>
  <c r="AO70" i="19"/>
  <c r="AO39" i="19"/>
  <c r="AO55" i="19"/>
  <c r="AO87" i="19"/>
  <c r="AO48" i="19"/>
  <c r="AO72" i="19"/>
  <c r="AO41" i="19"/>
  <c r="AO57" i="19"/>
  <c r="AO81" i="19"/>
  <c r="AO34" i="19"/>
  <c r="AO54" i="19"/>
  <c r="AO71" i="19"/>
  <c r="AO40" i="19"/>
  <c r="AO80" i="19"/>
  <c r="AO33" i="19"/>
  <c r="AO65" i="19"/>
  <c r="AO89" i="19"/>
  <c r="AO50" i="19"/>
  <c r="AO56" i="19"/>
  <c r="AO49" i="19"/>
  <c r="AO58" i="19"/>
  <c r="AO66" i="19"/>
  <c r="AO74" i="19"/>
  <c r="AS11" i="19"/>
  <c r="O196" i="24" a="1"/>
  <c r="O201" i="24" a="1"/>
  <c r="D201" i="25" a="1"/>
  <c r="O201" i="25" a="1"/>
  <c r="D196" i="24" a="1"/>
  <c r="D192" i="22" a="1"/>
  <c r="O192" i="22" a="1"/>
  <c r="D201" i="24" a="1"/>
  <c r="D196" i="24" l="1"/>
  <c r="O196" i="24"/>
  <c r="Z197" i="24"/>
  <c r="O201" i="25"/>
  <c r="D201" i="25"/>
  <c r="Z203" i="25"/>
  <c r="Z204" i="25" s="1"/>
  <c r="Z205" i="25" s="1"/>
  <c r="D201" i="24"/>
  <c r="O201" i="24"/>
  <c r="Z203" i="24"/>
  <c r="Z204" i="24" s="1"/>
  <c r="Z205" i="24" s="1"/>
  <c r="O192" i="22"/>
  <c r="D192" i="22"/>
  <c r="Z194" i="22"/>
  <c r="Z200" i="22" s="1"/>
  <c r="Z201" i="22" s="1"/>
  <c r="G50" i="14"/>
  <c r="H50" i="14" s="1"/>
  <c r="I50" i="14" s="1"/>
  <c r="J50" i="14" s="1"/>
  <c r="K50" i="14" s="1"/>
  <c r="L50" i="14" s="1"/>
  <c r="M50" i="14" s="1"/>
  <c r="N50" i="14" s="1"/>
  <c r="O50" i="14" s="1"/>
  <c r="P50" i="14" s="1"/>
  <c r="Q50" i="14" s="1"/>
  <c r="G51" i="14"/>
  <c r="H51" i="14" s="1"/>
  <c r="I51" i="14" s="1"/>
  <c r="J51" i="14" s="1"/>
  <c r="K51" i="14" s="1"/>
  <c r="L51" i="14" s="1"/>
  <c r="M51" i="14" s="1"/>
  <c r="N51" i="14" s="1"/>
  <c r="O51" i="14" s="1"/>
  <c r="P51" i="14" s="1"/>
  <c r="Q51" i="14" s="1"/>
  <c r="G49" i="14"/>
  <c r="H49" i="14" s="1"/>
  <c r="I49" i="14" s="1"/>
  <c r="J49" i="14" s="1"/>
  <c r="K49" i="14" s="1"/>
  <c r="L49" i="14" s="1"/>
  <c r="M49" i="14" s="1"/>
  <c r="N49" i="14" s="1"/>
  <c r="O49" i="14" s="1"/>
  <c r="P49" i="14" s="1"/>
  <c r="Q49" i="14" s="1"/>
  <c r="G124" i="11"/>
  <c r="G125" i="11"/>
  <c r="G126" i="11"/>
  <c r="H128" i="11"/>
  <c r="G129" i="11"/>
  <c r="H129" i="11"/>
  <c r="I129" i="11"/>
  <c r="J129" i="11"/>
  <c r="G130" i="11"/>
  <c r="H130" i="11"/>
  <c r="I130" i="11"/>
  <c r="J130" i="11"/>
  <c r="G131" i="11"/>
  <c r="H131" i="11"/>
  <c r="I131" i="11"/>
  <c r="J131" i="11"/>
  <c r="G132" i="11"/>
  <c r="H132" i="11"/>
  <c r="I132" i="11"/>
  <c r="J132" i="11"/>
  <c r="G134" i="11"/>
  <c r="H134" i="11"/>
  <c r="L26" i="2"/>
  <c r="K26" i="2"/>
  <c r="D112" i="19" a="1"/>
  <c r="D43" i="19" a="1"/>
  <c r="D55" i="19" a="1"/>
  <c r="D44" i="19" a="1"/>
  <c r="D193" i="22" a="1"/>
  <c r="D124" i="19" a="1"/>
  <c r="D104" i="19" a="1"/>
  <c r="D93" i="19" a="1"/>
  <c r="D125" i="19" a="1"/>
  <c r="D105" i="19" a="1"/>
  <c r="D79" i="19" a="1"/>
  <c r="D46" i="19" a="1"/>
  <c r="O193" i="22" a="1"/>
  <c r="D78" i="19" a="1"/>
  <c r="D67" i="19" a="1"/>
  <c r="D133" i="19" a="1"/>
  <c r="D131" i="19" a="1"/>
  <c r="D23" i="19" a="1"/>
  <c r="D33" i="19" a="1"/>
  <c r="D69" i="19" a="1"/>
  <c r="D56" i="19" a="1"/>
  <c r="D102" i="19" a="1"/>
  <c r="D45" i="19" a="1"/>
  <c r="D27" i="19" a="1"/>
  <c r="D202" i="24" a="1"/>
  <c r="D51" i="19" a="1"/>
  <c r="D30" i="19" a="1"/>
  <c r="D77" i="19" a="1"/>
  <c r="D53" i="19" a="1"/>
  <c r="O202" i="24" a="1"/>
  <c r="D92" i="19" a="1"/>
  <c r="D132" i="19" a="1"/>
  <c r="D118" i="19" a="1"/>
  <c r="D113" i="19" a="1"/>
  <c r="D21" i="19" a="1"/>
  <c r="D76" i="19" a="1"/>
  <c r="D37" i="19" a="1"/>
  <c r="D65" i="19" a="1"/>
  <c r="D34" i="19" a="1"/>
  <c r="D129" i="19" a="1"/>
  <c r="D134" i="19" a="1"/>
  <c r="D98" i="19" a="1"/>
  <c r="D57" i="19" a="1"/>
  <c r="D72" i="19" a="1"/>
  <c r="D42" i="19" a="1"/>
  <c r="D94" i="19" a="1"/>
  <c r="D116" i="19" a="1"/>
  <c r="D26" i="19" a="1"/>
  <c r="D75" i="19" a="1"/>
  <c r="D123" i="19" a="1"/>
  <c r="D29" i="19" a="1"/>
  <c r="D68" i="19" a="1"/>
  <c r="D64" i="19" a="1"/>
  <c r="D99" i="19" a="1"/>
  <c r="D128" i="19" a="1"/>
  <c r="D47" i="19" a="1"/>
  <c r="D61" i="19" a="1"/>
  <c r="O202" i="25" a="1"/>
  <c r="D74" i="19" a="1"/>
  <c r="D130" i="19" a="1"/>
  <c r="D36" i="19" a="1"/>
  <c r="D73" i="19" a="1"/>
  <c r="D39" i="19" a="1"/>
  <c r="D28" i="19" a="1"/>
  <c r="D120" i="19" a="1"/>
  <c r="O197" i="24" a="1"/>
  <c r="D54" i="19" a="1"/>
  <c r="D202" i="25" a="1"/>
  <c r="D35" i="19" a="1"/>
  <c r="D117" i="19" a="1"/>
  <c r="D66" i="19" a="1"/>
  <c r="D103" i="19" a="1"/>
  <c r="D38" i="19" a="1"/>
  <c r="D20" i="19" a="1"/>
  <c r="D122" i="19" a="1"/>
  <c r="D121" i="19" a="1"/>
  <c r="D48" i="19" a="1"/>
  <c r="D197" i="24" a="1"/>
  <c r="D101" i="19" a="1"/>
  <c r="D22" i="19" a="1"/>
  <c r="D58" i="19" a="1"/>
  <c r="D52" i="19" a="1"/>
  <c r="D62" i="19" a="1"/>
  <c r="D119" i="19" a="1"/>
  <c r="D97" i="19" a="1"/>
  <c r="D63" i="19" a="1"/>
  <c r="AA77" i="7" l="1"/>
  <c r="P75" i="11" s="1"/>
  <c r="AC76" i="7"/>
  <c r="Q74" i="11" s="1"/>
  <c r="AE75" i="7"/>
  <c r="R73" i="11" s="1"/>
  <c r="G75" i="7"/>
  <c r="F73" i="11" s="1"/>
  <c r="I74" i="7"/>
  <c r="G72" i="11" s="1"/>
  <c r="K73" i="7"/>
  <c r="H71" i="11" s="1"/>
  <c r="M72" i="7"/>
  <c r="I70" i="11" s="1"/>
  <c r="O71" i="7"/>
  <c r="J69" i="11" s="1"/>
  <c r="Q70" i="7"/>
  <c r="K68" i="11" s="1"/>
  <c r="AA76" i="7"/>
  <c r="P74" i="11" s="1"/>
  <c r="AC75" i="7"/>
  <c r="Q73" i="11" s="1"/>
  <c r="G74" i="7"/>
  <c r="F72" i="11" s="1"/>
  <c r="I73" i="7"/>
  <c r="G71" i="11" s="1"/>
  <c r="M71" i="7"/>
  <c r="I69" i="11" s="1"/>
  <c r="O70" i="7"/>
  <c r="J68" i="11" s="1"/>
  <c r="Y76" i="7"/>
  <c r="O74" i="11" s="1"/>
  <c r="AC74" i="7"/>
  <c r="Q72" i="11" s="1"/>
  <c r="G73" i="7"/>
  <c r="F71" i="11" s="1"/>
  <c r="K71" i="7"/>
  <c r="H69" i="11" s="1"/>
  <c r="W76" i="7"/>
  <c r="N74" i="11" s="1"/>
  <c r="AC73" i="7"/>
  <c r="Q71" i="11" s="1"/>
  <c r="I71" i="7"/>
  <c r="G69" i="11" s="1"/>
  <c r="S77" i="7"/>
  <c r="L75" i="11" s="1"/>
  <c r="W75" i="7"/>
  <c r="N73" i="11" s="1"/>
  <c r="AA73" i="7"/>
  <c r="P71" i="11" s="1"/>
  <c r="G71" i="7"/>
  <c r="F69" i="11" s="1"/>
  <c r="S76" i="7"/>
  <c r="L74" i="11" s="1"/>
  <c r="Y73" i="7"/>
  <c r="O71" i="11" s="1"/>
  <c r="AA72" i="7"/>
  <c r="P70" i="11" s="1"/>
  <c r="AC71" i="7"/>
  <c r="Q69" i="11" s="1"/>
  <c r="G70" i="7"/>
  <c r="F68" i="11" s="1"/>
  <c r="Y72" i="7"/>
  <c r="O70" i="11" s="1"/>
  <c r="O76" i="7"/>
  <c r="J74" i="11" s="1"/>
  <c r="U73" i="7"/>
  <c r="M71" i="11" s="1"/>
  <c r="AA70" i="7"/>
  <c r="P68" i="11" s="1"/>
  <c r="Y77" i="7"/>
  <c r="O75" i="11" s="1"/>
  <c r="AE74" i="7"/>
  <c r="R72" i="11" s="1"/>
  <c r="K72" i="7"/>
  <c r="H70" i="11" s="1"/>
  <c r="W77" i="7"/>
  <c r="N75" i="11" s="1"/>
  <c r="AA75" i="7"/>
  <c r="P73" i="11" s="1"/>
  <c r="AE73" i="7"/>
  <c r="R71" i="11" s="1"/>
  <c r="I72" i="7"/>
  <c r="G70" i="11" s="1"/>
  <c r="M70" i="7"/>
  <c r="I68" i="11" s="1"/>
  <c r="U77" i="7"/>
  <c r="M75" i="11" s="1"/>
  <c r="Y75" i="7"/>
  <c r="O73" i="11" s="1"/>
  <c r="AA74" i="7"/>
  <c r="P72" i="11" s="1"/>
  <c r="AE72" i="7"/>
  <c r="R70" i="11" s="1"/>
  <c r="G72" i="7"/>
  <c r="F70" i="11" s="1"/>
  <c r="K70" i="7"/>
  <c r="H68" i="11" s="1"/>
  <c r="U76" i="7"/>
  <c r="M74" i="11" s="1"/>
  <c r="AC72" i="7"/>
  <c r="Q70" i="11" s="1"/>
  <c r="W74" i="7"/>
  <c r="N72" i="11" s="1"/>
  <c r="AE70" i="7"/>
  <c r="R68" i="11" s="1"/>
  <c r="AA71" i="7"/>
  <c r="P69" i="11" s="1"/>
  <c r="Q75" i="7"/>
  <c r="K73" i="11" s="1"/>
  <c r="W72" i="7"/>
  <c r="N70" i="11" s="1"/>
  <c r="O77" i="7"/>
  <c r="J75" i="11" s="1"/>
  <c r="K77" i="7"/>
  <c r="H75" i="11" s="1"/>
  <c r="M76" i="7"/>
  <c r="I74" i="11" s="1"/>
  <c r="O75" i="7"/>
  <c r="J73" i="11" s="1"/>
  <c r="Q74" i="7"/>
  <c r="K72" i="11" s="1"/>
  <c r="S73" i="7"/>
  <c r="L71" i="11" s="1"/>
  <c r="U72" i="7"/>
  <c r="M70" i="11" s="1"/>
  <c r="W71" i="7"/>
  <c r="N69" i="11" s="1"/>
  <c r="Y70" i="7"/>
  <c r="O68" i="11" s="1"/>
  <c r="S71" i="7"/>
  <c r="L69" i="11" s="1"/>
  <c r="AC77" i="7"/>
  <c r="Q75" i="11" s="1"/>
  <c r="G76" i="7"/>
  <c r="F74" i="11" s="1"/>
  <c r="I75" i="7"/>
  <c r="G73" i="11" s="1"/>
  <c r="K74" i="7"/>
  <c r="H72" i="11" s="1"/>
  <c r="O72" i="7"/>
  <c r="J70" i="11" s="1"/>
  <c r="Q71" i="7"/>
  <c r="K69" i="11" s="1"/>
  <c r="Y74" i="7"/>
  <c r="O72" i="11" s="1"/>
  <c r="I70" i="7"/>
  <c r="G68" i="11" s="1"/>
  <c r="Q77" i="7"/>
  <c r="K75" i="11" s="1"/>
  <c r="Q76" i="7"/>
  <c r="K74" i="11" s="1"/>
  <c r="U74" i="7"/>
  <c r="M72" i="11" s="1"/>
  <c r="AC70" i="7"/>
  <c r="Q68" i="11" s="1"/>
  <c r="S74" i="7"/>
  <c r="L72" i="11" s="1"/>
  <c r="I77" i="7"/>
  <c r="G75" i="11" s="1"/>
  <c r="K76" i="7"/>
  <c r="H74" i="11" s="1"/>
  <c r="M75" i="7"/>
  <c r="I73" i="11" s="1"/>
  <c r="O74" i="7"/>
  <c r="J72" i="11" s="1"/>
  <c r="Q73" i="7"/>
  <c r="K71" i="11" s="1"/>
  <c r="S72" i="7"/>
  <c r="L70" i="11" s="1"/>
  <c r="U71" i="7"/>
  <c r="M69" i="11" s="1"/>
  <c r="W70" i="7"/>
  <c r="N68" i="11" s="1"/>
  <c r="AE77" i="7"/>
  <c r="R75" i="11" s="1"/>
  <c r="G77" i="7"/>
  <c r="F75" i="11" s="1"/>
  <c r="I76" i="7"/>
  <c r="G74" i="11" s="1"/>
  <c r="K75" i="7"/>
  <c r="H73" i="11" s="1"/>
  <c r="M74" i="7"/>
  <c r="I72" i="11" s="1"/>
  <c r="O73" i="7"/>
  <c r="J71" i="11" s="1"/>
  <c r="Q72" i="7"/>
  <c r="K70" i="11" s="1"/>
  <c r="U70" i="7"/>
  <c r="M68" i="11" s="1"/>
  <c r="AE76" i="7"/>
  <c r="R74" i="11" s="1"/>
  <c r="M73" i="7"/>
  <c r="I71" i="11" s="1"/>
  <c r="S70" i="7"/>
  <c r="L68" i="11" s="1"/>
  <c r="AE71" i="7"/>
  <c r="R69" i="11" s="1"/>
  <c r="U75" i="7"/>
  <c r="M73" i="11" s="1"/>
  <c r="S75" i="7"/>
  <c r="L73" i="11" s="1"/>
  <c r="W73" i="7"/>
  <c r="N71" i="11" s="1"/>
  <c r="M77" i="7"/>
  <c r="I75" i="11" s="1"/>
  <c r="Y71" i="7"/>
  <c r="O69" i="11" s="1"/>
  <c r="Y42" i="8"/>
  <c r="AD42" i="14" s="1"/>
  <c r="AA41" i="8"/>
  <c r="AE41" i="14" s="1"/>
  <c r="AC40" i="8"/>
  <c r="AF40" i="14" s="1"/>
  <c r="AA40" i="8"/>
  <c r="AE40" i="14" s="1"/>
  <c r="W41" i="8"/>
  <c r="AC41" i="14" s="1"/>
  <c r="S42" i="8"/>
  <c r="AA42" i="14" s="1"/>
  <c r="W40" i="8"/>
  <c r="AC40" i="14" s="1"/>
  <c r="Q42" i="8"/>
  <c r="Z42" i="14" s="1"/>
  <c r="S41" i="8"/>
  <c r="AA41" i="14" s="1"/>
  <c r="U40" i="8"/>
  <c r="AB40" i="14" s="1"/>
  <c r="O42" i="8"/>
  <c r="Y42" i="14" s="1"/>
  <c r="S40" i="8"/>
  <c r="AA40" i="14" s="1"/>
  <c r="Q40" i="8"/>
  <c r="Z40" i="14" s="1"/>
  <c r="W42" i="8"/>
  <c r="AC42" i="14" s="1"/>
  <c r="Y41" i="8"/>
  <c r="AD41" i="14" s="1"/>
  <c r="U42" i="8"/>
  <c r="AB42" i="14" s="1"/>
  <c r="Y40" i="8"/>
  <c r="AD40" i="14" s="1"/>
  <c r="U41" i="8"/>
  <c r="AB41" i="14" s="1"/>
  <c r="Q41" i="8"/>
  <c r="Z41" i="14" s="1"/>
  <c r="O41" i="8"/>
  <c r="Y41" i="14" s="1"/>
  <c r="M42" i="8"/>
  <c r="X42" i="14" s="1"/>
  <c r="K42" i="8"/>
  <c r="W42" i="14" s="1"/>
  <c r="G40" i="8"/>
  <c r="U40" i="14" s="1"/>
  <c r="I42" i="8"/>
  <c r="V42" i="14" s="1"/>
  <c r="K41" i="8"/>
  <c r="W41" i="14" s="1"/>
  <c r="M40" i="8"/>
  <c r="X40" i="14" s="1"/>
  <c r="AA42" i="8"/>
  <c r="AE42" i="14" s="1"/>
  <c r="AE40" i="8"/>
  <c r="AG40" i="14" s="1"/>
  <c r="AE42" i="8"/>
  <c r="AG42" i="14" s="1"/>
  <c r="G42" i="8"/>
  <c r="U42" i="14" s="1"/>
  <c r="I41" i="8"/>
  <c r="V41" i="14" s="1"/>
  <c r="K40" i="8"/>
  <c r="W40" i="14" s="1"/>
  <c r="AC42" i="8"/>
  <c r="AF42" i="14" s="1"/>
  <c r="AE41" i="8"/>
  <c r="AG41" i="14" s="1"/>
  <c r="G41" i="8"/>
  <c r="U41" i="14" s="1"/>
  <c r="I40" i="8"/>
  <c r="V40" i="14" s="1"/>
  <c r="AC41" i="8"/>
  <c r="AF41" i="14" s="1"/>
  <c r="M41" i="8"/>
  <c r="X41" i="14" s="1"/>
  <c r="O40" i="8"/>
  <c r="Y40" i="14" s="1"/>
  <c r="D197" i="24"/>
  <c r="O197" i="24"/>
  <c r="Z198" i="24"/>
  <c r="D202" i="25"/>
  <c r="O202" i="25"/>
  <c r="Z206" i="25"/>
  <c r="D202" i="24"/>
  <c r="O202" i="24"/>
  <c r="Z206" i="24"/>
  <c r="W94" i="7"/>
  <c r="N92" i="11" s="1"/>
  <c r="G94" i="7"/>
  <c r="F92" i="11" s="1"/>
  <c r="U94" i="7"/>
  <c r="M92" i="11" s="1"/>
  <c r="AE94" i="7"/>
  <c r="R92" i="11" s="1"/>
  <c r="M94" i="7"/>
  <c r="I92" i="11" s="1"/>
  <c r="I94" i="7"/>
  <c r="G92" i="11" s="1"/>
  <c r="S94" i="7"/>
  <c r="L92" i="11" s="1"/>
  <c r="O94" i="7"/>
  <c r="J92" i="11" s="1"/>
  <c r="AC94" i="7"/>
  <c r="Q92" i="11" s="1"/>
  <c r="K94" i="7"/>
  <c r="H92" i="11" s="1"/>
  <c r="Q94" i="7"/>
  <c r="K92" i="11" s="1"/>
  <c r="AA94" i="7"/>
  <c r="P92" i="11" s="1"/>
  <c r="Y94" i="7"/>
  <c r="O92" i="11" s="1"/>
  <c r="G119" i="7"/>
  <c r="F117" i="11" s="1"/>
  <c r="G108" i="7"/>
  <c r="F106" i="11" s="1"/>
  <c r="G88" i="7"/>
  <c r="F86" i="11" s="1"/>
  <c r="G82" i="7"/>
  <c r="F80" i="11" s="1"/>
  <c r="G67" i="7"/>
  <c r="F65" i="11" s="1"/>
  <c r="G56" i="7"/>
  <c r="F54" i="11" s="1"/>
  <c r="G45" i="7"/>
  <c r="F43" i="11" s="1"/>
  <c r="G36" i="7"/>
  <c r="F34" i="11" s="1"/>
  <c r="G21" i="7"/>
  <c r="F19" i="11" s="1"/>
  <c r="G10" i="7"/>
  <c r="F8" i="11" s="1"/>
  <c r="G113" i="7"/>
  <c r="F111" i="11" s="1"/>
  <c r="G109" i="7"/>
  <c r="F107" i="11" s="1"/>
  <c r="G89" i="7"/>
  <c r="F87" i="11" s="1"/>
  <c r="G80" i="7"/>
  <c r="F78" i="11" s="1"/>
  <c r="G60" i="7"/>
  <c r="F58" i="11" s="1"/>
  <c r="G57" i="7"/>
  <c r="F55" i="11" s="1"/>
  <c r="G46" i="7"/>
  <c r="F44" i="11" s="1"/>
  <c r="G30" i="7"/>
  <c r="F28" i="11" s="1"/>
  <c r="G15" i="7"/>
  <c r="F13" i="11" s="1"/>
  <c r="G11" i="7"/>
  <c r="F9" i="11" s="1"/>
  <c r="G117" i="7"/>
  <c r="F115" i="11" s="1"/>
  <c r="G86" i="7"/>
  <c r="F84" i="11" s="1"/>
  <c r="G43" i="7"/>
  <c r="F41" i="11" s="1"/>
  <c r="G55" i="7"/>
  <c r="F53" i="11" s="1"/>
  <c r="G102" i="7"/>
  <c r="F100" i="11" s="1"/>
  <c r="G110" i="7"/>
  <c r="F108" i="11" s="1"/>
  <c r="G90" i="7"/>
  <c r="F88" i="11" s="1"/>
  <c r="G61" i="7"/>
  <c r="F59" i="11" s="1"/>
  <c r="G50" i="7"/>
  <c r="F48" i="11" s="1"/>
  <c r="G49" i="7"/>
  <c r="F47" i="11" s="1"/>
  <c r="G39" i="7"/>
  <c r="F37" i="11" s="1"/>
  <c r="G22" i="7"/>
  <c r="F20" i="11" s="1"/>
  <c r="G16" i="7"/>
  <c r="F14" i="11" s="1"/>
  <c r="G7" i="7"/>
  <c r="F5" i="11" s="1"/>
  <c r="G65" i="7"/>
  <c r="F63" i="11" s="1"/>
  <c r="G8" i="7"/>
  <c r="F6" i="11" s="1"/>
  <c r="G87" i="7"/>
  <c r="F85" i="11" s="1"/>
  <c r="G35" i="7"/>
  <c r="F33" i="11" s="1"/>
  <c r="G114" i="7"/>
  <c r="F112" i="11" s="1"/>
  <c r="G103" i="7"/>
  <c r="F101" i="11" s="1"/>
  <c r="G101" i="7"/>
  <c r="F99" i="11" s="1"/>
  <c r="G91" i="7"/>
  <c r="F89" i="11" s="1"/>
  <c r="G62" i="7"/>
  <c r="F60" i="11" s="1"/>
  <c r="G51" i="7"/>
  <c r="F49" i="11" s="1"/>
  <c r="G40" i="7"/>
  <c r="F38" i="11" s="1"/>
  <c r="G31" i="7"/>
  <c r="F29" i="11" s="1"/>
  <c r="G23" i="7"/>
  <c r="F21" i="11" s="1"/>
  <c r="G17" i="7"/>
  <c r="F15" i="11" s="1"/>
  <c r="G106" i="7"/>
  <c r="F104" i="11" s="1"/>
  <c r="G85" i="7"/>
  <c r="F83" i="11" s="1"/>
  <c r="G26" i="7"/>
  <c r="F24" i="11" s="1"/>
  <c r="G107" i="7"/>
  <c r="F105" i="11" s="1"/>
  <c r="G44" i="7"/>
  <c r="F42" i="11" s="1"/>
  <c r="G115" i="7"/>
  <c r="F113" i="11" s="1"/>
  <c r="G104" i="7"/>
  <c r="F102" i="11" s="1"/>
  <c r="G98" i="7"/>
  <c r="F96" i="11" s="1"/>
  <c r="G92" i="7"/>
  <c r="F90" i="11" s="1"/>
  <c r="G63" i="7"/>
  <c r="F61" i="11" s="1"/>
  <c r="G52" i="7"/>
  <c r="F50" i="11" s="1"/>
  <c r="G41" i="7"/>
  <c r="F39" i="11" s="1"/>
  <c r="G32" i="7"/>
  <c r="F30" i="11" s="1"/>
  <c r="G24" i="7"/>
  <c r="F22" i="11" s="1"/>
  <c r="G18" i="7"/>
  <c r="F16" i="11" s="1"/>
  <c r="G54" i="7"/>
  <c r="F52" i="11" s="1"/>
  <c r="G81" i="7"/>
  <c r="F79" i="11" s="1"/>
  <c r="G9" i="7"/>
  <c r="F7" i="11" s="1"/>
  <c r="G116" i="7"/>
  <c r="F114" i="11" s="1"/>
  <c r="G105" i="7"/>
  <c r="F103" i="11" s="1"/>
  <c r="G97" i="7"/>
  <c r="F95" i="11" s="1"/>
  <c r="G93" i="7"/>
  <c r="F91" i="11" s="1"/>
  <c r="G64" i="7"/>
  <c r="F62" i="11" s="1"/>
  <c r="G53" i="7"/>
  <c r="F51" i="11" s="1"/>
  <c r="G42" i="7"/>
  <c r="F40" i="11" s="1"/>
  <c r="G33" i="7"/>
  <c r="F31" i="11" s="1"/>
  <c r="G25" i="7"/>
  <c r="F23" i="11" s="1"/>
  <c r="G14" i="7"/>
  <c r="F12" i="11" s="1"/>
  <c r="G34" i="7"/>
  <c r="F32" i="11" s="1"/>
  <c r="G118" i="7"/>
  <c r="F116" i="11" s="1"/>
  <c r="G66" i="7"/>
  <c r="F64" i="11" s="1"/>
  <c r="G27" i="7"/>
  <c r="F25" i="11" s="1"/>
  <c r="I88" i="7"/>
  <c r="G86" i="11" s="1"/>
  <c r="K88" i="7"/>
  <c r="H86" i="11" s="1"/>
  <c r="M88" i="7"/>
  <c r="I86" i="11" s="1"/>
  <c r="O88" i="7"/>
  <c r="J86" i="11" s="1"/>
  <c r="Q88" i="7"/>
  <c r="K86" i="11" s="1"/>
  <c r="S88" i="7"/>
  <c r="L86" i="11" s="1"/>
  <c r="U88" i="7"/>
  <c r="M86" i="11" s="1"/>
  <c r="W88" i="7"/>
  <c r="N86" i="11" s="1"/>
  <c r="Y88" i="7"/>
  <c r="O86" i="11" s="1"/>
  <c r="AA88" i="7"/>
  <c r="P86" i="11" s="1"/>
  <c r="AE88" i="7"/>
  <c r="R86" i="11" s="1"/>
  <c r="AC88" i="7"/>
  <c r="Q86" i="11" s="1"/>
  <c r="AC12" i="8"/>
  <c r="AF12" i="14" s="1"/>
  <c r="G36" i="8"/>
  <c r="U36" i="14" s="1"/>
  <c r="G27" i="8"/>
  <c r="U27" i="14" s="1"/>
  <c r="G11" i="8"/>
  <c r="U11" i="14" s="1"/>
  <c r="I51" i="8"/>
  <c r="V51" i="14" s="1"/>
  <c r="G37" i="8"/>
  <c r="U37" i="14" s="1"/>
  <c r="G24" i="8"/>
  <c r="U24" i="14" s="1"/>
  <c r="G8" i="8"/>
  <c r="U8" i="14" s="1"/>
  <c r="G45" i="8"/>
  <c r="U45" i="14" s="1"/>
  <c r="G35" i="8"/>
  <c r="U35" i="14" s="1"/>
  <c r="G21" i="8"/>
  <c r="U21" i="14" s="1"/>
  <c r="G7" i="8"/>
  <c r="U7" i="14" s="1"/>
  <c r="G25" i="8"/>
  <c r="U25" i="14" s="1"/>
  <c r="G13" i="8"/>
  <c r="U13" i="14" s="1"/>
  <c r="G50" i="8"/>
  <c r="U50" i="14" s="1"/>
  <c r="G31" i="8"/>
  <c r="U31" i="14" s="1"/>
  <c r="G20" i="8"/>
  <c r="U20" i="14" s="1"/>
  <c r="G51" i="8"/>
  <c r="U51" i="14" s="1"/>
  <c r="G32" i="8"/>
  <c r="U32" i="14" s="1"/>
  <c r="G17" i="8"/>
  <c r="U17" i="14" s="1"/>
  <c r="G12" i="8"/>
  <c r="U12" i="14" s="1"/>
  <c r="G26" i="8"/>
  <c r="U26" i="14" s="1"/>
  <c r="G49" i="8"/>
  <c r="U49" i="14" s="1"/>
  <c r="G30" i="8"/>
  <c r="U30" i="14" s="1"/>
  <c r="G16" i="8"/>
  <c r="U16" i="14" s="1"/>
  <c r="G46" i="8"/>
  <c r="U46" i="14" s="1"/>
  <c r="O193" i="22"/>
  <c r="D193" i="22"/>
  <c r="Z202" i="22"/>
  <c r="AC89" i="7"/>
  <c r="Q87" i="11" s="1"/>
  <c r="M85" i="7"/>
  <c r="I83" i="11" s="1"/>
  <c r="AA41" i="7"/>
  <c r="P39" i="11" s="1"/>
  <c r="K17" i="7"/>
  <c r="H15" i="11" s="1"/>
  <c r="K50" i="7"/>
  <c r="H48" i="11" s="1"/>
  <c r="O40" i="7"/>
  <c r="J38" i="11" s="1"/>
  <c r="I9" i="7"/>
  <c r="G7" i="11" s="1"/>
  <c r="M55" i="7"/>
  <c r="I53" i="11" s="1"/>
  <c r="M14" i="7"/>
  <c r="I12" i="11" s="1"/>
  <c r="S32" i="7"/>
  <c r="L30" i="11" s="1"/>
  <c r="I60" i="7"/>
  <c r="G58" i="11" s="1"/>
  <c r="Q36" i="7"/>
  <c r="K34" i="11" s="1"/>
  <c r="I42" i="7"/>
  <c r="G40" i="11" s="1"/>
  <c r="I15" i="7"/>
  <c r="G13" i="11" s="1"/>
  <c r="W46" i="7"/>
  <c r="N44" i="11" s="1"/>
  <c r="U80" i="7"/>
  <c r="M78" i="11" s="1"/>
  <c r="I11" i="7"/>
  <c r="G9" i="11" s="1"/>
  <c r="I56" i="7"/>
  <c r="G54" i="11" s="1"/>
  <c r="K7" i="7"/>
  <c r="H5" i="11" s="1"/>
  <c r="K15" i="7"/>
  <c r="H13" i="11" s="1"/>
  <c r="M10" i="7"/>
  <c r="I8" i="11" s="1"/>
  <c r="Q34" i="7"/>
  <c r="K32" i="11" s="1"/>
  <c r="W36" i="7"/>
  <c r="N34" i="11" s="1"/>
  <c r="I10" i="7"/>
  <c r="G8" i="11" s="1"/>
  <c r="I43" i="7"/>
  <c r="G41" i="11" s="1"/>
  <c r="K57" i="7"/>
  <c r="H55" i="11" s="1"/>
  <c r="M67" i="7"/>
  <c r="I65" i="11" s="1"/>
  <c r="O52" i="7"/>
  <c r="J50" i="11" s="1"/>
  <c r="S45" i="7"/>
  <c r="L43" i="11" s="1"/>
  <c r="Y31" i="7"/>
  <c r="O29" i="11" s="1"/>
  <c r="I40" i="7"/>
  <c r="G38" i="11" s="1"/>
  <c r="K49" i="7"/>
  <c r="H47" i="11" s="1"/>
  <c r="M54" i="7"/>
  <c r="I52" i="11" s="1"/>
  <c r="O39" i="7"/>
  <c r="J37" i="11" s="1"/>
  <c r="S31" i="7"/>
  <c r="L29" i="11" s="1"/>
  <c r="AA40" i="7"/>
  <c r="P38" i="11" s="1"/>
  <c r="I39" i="7"/>
  <c r="G37" i="11" s="1"/>
  <c r="K46" i="7"/>
  <c r="H44" i="11" s="1"/>
  <c r="M52" i="7"/>
  <c r="I50" i="11" s="1"/>
  <c r="O35" i="7"/>
  <c r="J33" i="11" s="1"/>
  <c r="S26" i="7"/>
  <c r="L24" i="11" s="1"/>
  <c r="AA30" i="7"/>
  <c r="P28" i="11" s="1"/>
  <c r="I66" i="7"/>
  <c r="G64" i="11" s="1"/>
  <c r="I25" i="7"/>
  <c r="G23" i="11" s="1"/>
  <c r="K30" i="7"/>
  <c r="H28" i="11" s="1"/>
  <c r="M27" i="7"/>
  <c r="I25" i="11" s="1"/>
  <c r="O10" i="7"/>
  <c r="J8" i="11" s="1"/>
  <c r="U27" i="7"/>
  <c r="M25" i="11" s="1"/>
  <c r="AE30" i="7"/>
  <c r="R28" i="11" s="1"/>
  <c r="I65" i="7"/>
  <c r="G63" i="11" s="1"/>
  <c r="I16" i="7"/>
  <c r="G14" i="11" s="1"/>
  <c r="K18" i="7"/>
  <c r="H16" i="11" s="1"/>
  <c r="M15" i="7"/>
  <c r="I13" i="11" s="1"/>
  <c r="Q39" i="7"/>
  <c r="K37" i="11" s="1"/>
  <c r="W49" i="7"/>
  <c r="N47" i="11" s="1"/>
  <c r="AE27" i="7"/>
  <c r="R25" i="11" s="1"/>
  <c r="AC25" i="7"/>
  <c r="Q23" i="11" s="1"/>
  <c r="I55" i="7"/>
  <c r="G53" i="11" s="1"/>
  <c r="I33" i="7"/>
  <c r="G31" i="11" s="1"/>
  <c r="K82" i="7"/>
  <c r="H80" i="11" s="1"/>
  <c r="K45" i="7"/>
  <c r="H43" i="11" s="1"/>
  <c r="K10" i="7"/>
  <c r="H8" i="11" s="1"/>
  <c r="M49" i="7"/>
  <c r="I47" i="11" s="1"/>
  <c r="O82" i="7"/>
  <c r="J80" i="11" s="1"/>
  <c r="O32" i="7"/>
  <c r="J30" i="11" s="1"/>
  <c r="Q31" i="7"/>
  <c r="K29" i="11" s="1"/>
  <c r="S21" i="7"/>
  <c r="L19" i="11" s="1"/>
  <c r="W35" i="7"/>
  <c r="N33" i="11" s="1"/>
  <c r="AA27" i="7"/>
  <c r="P25" i="11" s="1"/>
  <c r="U63" i="7"/>
  <c r="M61" i="11" s="1"/>
  <c r="M35" i="7"/>
  <c r="I33" i="11" s="1"/>
  <c r="AC39" i="7"/>
  <c r="Q37" i="11" s="1"/>
  <c r="I30" i="7"/>
  <c r="G28" i="11" s="1"/>
  <c r="K35" i="7"/>
  <c r="H33" i="11" s="1"/>
  <c r="O60" i="7"/>
  <c r="J58" i="11" s="1"/>
  <c r="Q15" i="7"/>
  <c r="K13" i="11" s="1"/>
  <c r="Y43" i="7"/>
  <c r="O41" i="11" s="1"/>
  <c r="I80" i="7"/>
  <c r="G78" i="11" s="1"/>
  <c r="I52" i="7"/>
  <c r="G50" i="11" s="1"/>
  <c r="I27" i="7"/>
  <c r="G25" i="11" s="1"/>
  <c r="K62" i="7"/>
  <c r="H60" i="11" s="1"/>
  <c r="K33" i="7"/>
  <c r="H31" i="11" s="1"/>
  <c r="AC7" i="7"/>
  <c r="Q5" i="11" s="1"/>
  <c r="M34" i="7"/>
  <c r="I32" i="11" s="1"/>
  <c r="O57" i="7"/>
  <c r="J55" i="11" s="1"/>
  <c r="O17" i="7"/>
  <c r="J15" i="11" s="1"/>
  <c r="Q14" i="7"/>
  <c r="K12" i="11" s="1"/>
  <c r="U40" i="7"/>
  <c r="M38" i="11" s="1"/>
  <c r="Y42" i="7"/>
  <c r="O40" i="11" s="1"/>
  <c r="AC36" i="7"/>
  <c r="Q34" i="11" s="1"/>
  <c r="I53" i="7"/>
  <c r="G51" i="11" s="1"/>
  <c r="K63" i="7"/>
  <c r="H61" i="11" s="1"/>
  <c r="AA7" i="7"/>
  <c r="P5" i="11" s="1"/>
  <c r="O18" i="7"/>
  <c r="J16" i="11" s="1"/>
  <c r="U46" i="7"/>
  <c r="M44" i="11" s="1"/>
  <c r="S57" i="7"/>
  <c r="L55" i="11" s="1"/>
  <c r="I67" i="7"/>
  <c r="G65" i="11" s="1"/>
  <c r="I46" i="7"/>
  <c r="G44" i="11" s="1"/>
  <c r="I26" i="7"/>
  <c r="G24" i="11" s="1"/>
  <c r="K60" i="7"/>
  <c r="H58" i="11" s="1"/>
  <c r="K32" i="7"/>
  <c r="H30" i="11" s="1"/>
  <c r="M82" i="7"/>
  <c r="I80" i="11" s="1"/>
  <c r="M32" i="7"/>
  <c r="I30" i="11" s="1"/>
  <c r="O55" i="7"/>
  <c r="J53" i="11" s="1"/>
  <c r="O15" i="7"/>
  <c r="J13" i="11" s="1"/>
  <c r="Q10" i="7"/>
  <c r="K8" i="11" s="1"/>
  <c r="U39" i="7"/>
  <c r="M37" i="11" s="1"/>
  <c r="Y32" i="7"/>
  <c r="O30" i="11" s="1"/>
  <c r="AC26" i="7"/>
  <c r="Q24" i="11" s="1"/>
  <c r="M45" i="8"/>
  <c r="X45" i="14" s="1"/>
  <c r="S20" i="8"/>
  <c r="AA20" i="14" s="1"/>
  <c r="I8" i="7"/>
  <c r="G6" i="11" s="1"/>
  <c r="I63" i="7"/>
  <c r="G61" i="11" s="1"/>
  <c r="I50" i="7"/>
  <c r="G48" i="11" s="1"/>
  <c r="I36" i="7"/>
  <c r="G34" i="11" s="1"/>
  <c r="I23" i="7"/>
  <c r="G21" i="11" s="1"/>
  <c r="K80" i="7"/>
  <c r="H78" i="11" s="1"/>
  <c r="K56" i="7"/>
  <c r="H54" i="11" s="1"/>
  <c r="K43" i="7"/>
  <c r="H41" i="11" s="1"/>
  <c r="K27" i="7"/>
  <c r="H25" i="11" s="1"/>
  <c r="K8" i="7"/>
  <c r="H6" i="11" s="1"/>
  <c r="M65" i="7"/>
  <c r="I63" i="11" s="1"/>
  <c r="M45" i="7"/>
  <c r="I43" i="11" s="1"/>
  <c r="M25" i="7"/>
  <c r="I23" i="11" s="1"/>
  <c r="O80" i="7"/>
  <c r="J78" i="11" s="1"/>
  <c r="O50" i="7"/>
  <c r="J48" i="11" s="1"/>
  <c r="O30" i="7"/>
  <c r="J28" i="11" s="1"/>
  <c r="O8" i="7"/>
  <c r="J6" i="11" s="1"/>
  <c r="Q26" i="7"/>
  <c r="K24" i="11" s="1"/>
  <c r="S43" i="7"/>
  <c r="L41" i="11" s="1"/>
  <c r="S18" i="7"/>
  <c r="L16" i="11" s="1"/>
  <c r="U26" i="7"/>
  <c r="M24" i="11" s="1"/>
  <c r="W25" i="7"/>
  <c r="N23" i="11" s="1"/>
  <c r="Y21" i="7"/>
  <c r="O19" i="11" s="1"/>
  <c r="AA17" i="7"/>
  <c r="P15" i="11" s="1"/>
  <c r="AC15" i="7"/>
  <c r="Q13" i="11" s="1"/>
  <c r="W63" i="7"/>
  <c r="N61" i="11" s="1"/>
  <c r="I62" i="7"/>
  <c r="G60" i="11" s="1"/>
  <c r="I49" i="7"/>
  <c r="G47" i="11" s="1"/>
  <c r="I35" i="7"/>
  <c r="G33" i="11" s="1"/>
  <c r="I22" i="7"/>
  <c r="G20" i="11" s="1"/>
  <c r="K67" i="7"/>
  <c r="H65" i="11" s="1"/>
  <c r="K55" i="7"/>
  <c r="H53" i="11" s="1"/>
  <c r="K42" i="7"/>
  <c r="H40" i="11" s="1"/>
  <c r="K25" i="7"/>
  <c r="H23" i="11" s="1"/>
  <c r="M7" i="7"/>
  <c r="I5" i="11" s="1"/>
  <c r="M64" i="7"/>
  <c r="I62" i="11" s="1"/>
  <c r="M44" i="7"/>
  <c r="I42" i="11" s="1"/>
  <c r="M24" i="7"/>
  <c r="I22" i="11" s="1"/>
  <c r="O67" i="7"/>
  <c r="J65" i="11" s="1"/>
  <c r="O49" i="7"/>
  <c r="J47" i="11" s="1"/>
  <c r="O27" i="7"/>
  <c r="J25" i="11" s="1"/>
  <c r="Q46" i="7"/>
  <c r="K44" i="11" s="1"/>
  <c r="Q25" i="7"/>
  <c r="K23" i="11" s="1"/>
  <c r="S42" i="7"/>
  <c r="L40" i="11" s="1"/>
  <c r="S15" i="7"/>
  <c r="L13" i="11" s="1"/>
  <c r="U16" i="7"/>
  <c r="M14" i="11" s="1"/>
  <c r="W24" i="7"/>
  <c r="N22" i="11" s="1"/>
  <c r="Y18" i="7"/>
  <c r="O16" i="11" s="1"/>
  <c r="AA15" i="7"/>
  <c r="P13" i="11" s="1"/>
  <c r="AC14" i="7"/>
  <c r="Q12" i="11" s="1"/>
  <c r="Y55" i="7"/>
  <c r="O53" i="11" s="1"/>
  <c r="K53" i="7"/>
  <c r="H51" i="11" s="1"/>
  <c r="K23" i="7"/>
  <c r="H21" i="11" s="1"/>
  <c r="M62" i="7"/>
  <c r="I60" i="11" s="1"/>
  <c r="M22" i="7"/>
  <c r="I20" i="11" s="1"/>
  <c r="O65" i="7"/>
  <c r="J63" i="11" s="1"/>
  <c r="O45" i="7"/>
  <c r="J43" i="11" s="1"/>
  <c r="O25" i="7"/>
  <c r="J23" i="11" s="1"/>
  <c r="Q44" i="7"/>
  <c r="K42" i="11" s="1"/>
  <c r="Q23" i="7"/>
  <c r="K21" i="11" s="1"/>
  <c r="S40" i="7"/>
  <c r="L38" i="11" s="1"/>
  <c r="S8" i="7"/>
  <c r="L6" i="11" s="1"/>
  <c r="U15" i="7"/>
  <c r="M13" i="11" s="1"/>
  <c r="W14" i="7"/>
  <c r="N12" i="11" s="1"/>
  <c r="Y8" i="7"/>
  <c r="O6" i="11" s="1"/>
  <c r="AC50" i="7"/>
  <c r="Q48" i="11" s="1"/>
  <c r="AE49" i="7"/>
  <c r="R47" i="11" s="1"/>
  <c r="AA54" i="7"/>
  <c r="P52" i="11" s="1"/>
  <c r="AC116" i="7"/>
  <c r="Q114" i="11" s="1"/>
  <c r="I18" i="7"/>
  <c r="G16" i="11" s="1"/>
  <c r="K66" i="7"/>
  <c r="H64" i="11" s="1"/>
  <c r="K40" i="7"/>
  <c r="H38" i="11" s="1"/>
  <c r="Q7" i="7"/>
  <c r="K5" i="11" s="1"/>
  <c r="M42" i="7"/>
  <c r="I40" i="11" s="1"/>
  <c r="I82" i="7"/>
  <c r="G80" i="11" s="1"/>
  <c r="I57" i="7"/>
  <c r="G55" i="11" s="1"/>
  <c r="I45" i="7"/>
  <c r="G43" i="11" s="1"/>
  <c r="I32" i="7"/>
  <c r="G30" i="11" s="1"/>
  <c r="I17" i="7"/>
  <c r="G15" i="11" s="1"/>
  <c r="K65" i="7"/>
  <c r="H63" i="11" s="1"/>
  <c r="K52" i="7"/>
  <c r="H50" i="11" s="1"/>
  <c r="K39" i="7"/>
  <c r="H37" i="11" s="1"/>
  <c r="K22" i="7"/>
  <c r="H20" i="11" s="1"/>
  <c r="W7" i="7"/>
  <c r="N5" i="11" s="1"/>
  <c r="M57" i="7"/>
  <c r="I55" i="11" s="1"/>
  <c r="M39" i="7"/>
  <c r="I37" i="11" s="1"/>
  <c r="M17" i="7"/>
  <c r="I15" i="11" s="1"/>
  <c r="O62" i="7"/>
  <c r="J60" i="11" s="1"/>
  <c r="O42" i="7"/>
  <c r="J40" i="11" s="1"/>
  <c r="O22" i="7"/>
  <c r="J20" i="11" s="1"/>
  <c r="Q41" i="7"/>
  <c r="K39" i="11" s="1"/>
  <c r="Q17" i="7"/>
  <c r="K15" i="11" s="1"/>
  <c r="S34" i="7"/>
  <c r="L32" i="11" s="1"/>
  <c r="U50" i="7"/>
  <c r="M48" i="11" s="1"/>
  <c r="W51" i="7"/>
  <c r="N49" i="11" s="1"/>
  <c r="W10" i="7"/>
  <c r="N8" i="11" s="1"/>
  <c r="AA51" i="7"/>
  <c r="P49" i="11" s="1"/>
  <c r="AC49" i="7"/>
  <c r="Q47" i="11" s="1"/>
  <c r="AE46" i="7"/>
  <c r="R44" i="11" s="1"/>
  <c r="AE60" i="7"/>
  <c r="R58" i="11" s="1"/>
  <c r="U93" i="7"/>
  <c r="M91" i="11" s="1"/>
  <c r="W61" i="7"/>
  <c r="N59" i="11" s="1"/>
  <c r="Y54" i="7"/>
  <c r="O52" i="11" s="1"/>
  <c r="AC80" i="7"/>
  <c r="Q78" i="11" s="1"/>
  <c r="Q80" i="7"/>
  <c r="K78" i="11" s="1"/>
  <c r="S54" i="7"/>
  <c r="L52" i="11" s="1"/>
  <c r="AA20" i="8"/>
  <c r="AE20" i="14" s="1"/>
  <c r="AC115" i="7"/>
  <c r="Q113" i="11" s="1"/>
  <c r="W91" i="7"/>
  <c r="N89" i="11" s="1"/>
  <c r="K36" i="7"/>
  <c r="H34" i="11" s="1"/>
  <c r="K26" i="7"/>
  <c r="H24" i="11" s="1"/>
  <c r="K16" i="7"/>
  <c r="H14" i="11" s="1"/>
  <c r="O7" i="7"/>
  <c r="J5" i="11" s="1"/>
  <c r="AE7" i="7"/>
  <c r="R5" i="11" s="1"/>
  <c r="M63" i="7"/>
  <c r="I61" i="11" s="1"/>
  <c r="M53" i="7"/>
  <c r="I51" i="11" s="1"/>
  <c r="M43" i="7"/>
  <c r="I41" i="11" s="1"/>
  <c r="M33" i="7"/>
  <c r="I31" i="11" s="1"/>
  <c r="M23" i="7"/>
  <c r="I21" i="11" s="1"/>
  <c r="M11" i="7"/>
  <c r="I9" i="11" s="1"/>
  <c r="O66" i="7"/>
  <c r="J64" i="11" s="1"/>
  <c r="O56" i="7"/>
  <c r="J54" i="11" s="1"/>
  <c r="O46" i="7"/>
  <c r="J44" i="11" s="1"/>
  <c r="O36" i="7"/>
  <c r="J34" i="11" s="1"/>
  <c r="O26" i="7"/>
  <c r="J24" i="11" s="1"/>
  <c r="O16" i="7"/>
  <c r="J14" i="11" s="1"/>
  <c r="Q45" i="7"/>
  <c r="K43" i="11" s="1"/>
  <c r="Q35" i="7"/>
  <c r="K33" i="11" s="1"/>
  <c r="Q24" i="7"/>
  <c r="K22" i="11" s="1"/>
  <c r="Q11" i="7"/>
  <c r="K9" i="11" s="1"/>
  <c r="S41" i="7"/>
  <c r="L39" i="11" s="1"/>
  <c r="S30" i="7"/>
  <c r="L28" i="11" s="1"/>
  <c r="S16" i="7"/>
  <c r="L14" i="11" s="1"/>
  <c r="U49" i="7"/>
  <c r="M47" i="11" s="1"/>
  <c r="U36" i="7"/>
  <c r="M34" i="11" s="1"/>
  <c r="U25" i="7"/>
  <c r="M23" i="11" s="1"/>
  <c r="U14" i="7"/>
  <c r="M12" i="11" s="1"/>
  <c r="W45" i="7"/>
  <c r="N43" i="11" s="1"/>
  <c r="W34" i="7"/>
  <c r="N32" i="11" s="1"/>
  <c r="W22" i="7"/>
  <c r="N20" i="11" s="1"/>
  <c r="W9" i="7"/>
  <c r="N7" i="11" s="1"/>
  <c r="Y41" i="7"/>
  <c r="O39" i="11" s="1"/>
  <c r="Y30" i="7"/>
  <c r="O28" i="11" s="1"/>
  <c r="Y17" i="7"/>
  <c r="O15" i="11" s="1"/>
  <c r="AA50" i="7"/>
  <c r="P48" i="11" s="1"/>
  <c r="AA39" i="7"/>
  <c r="P37" i="11" s="1"/>
  <c r="AA25" i="7"/>
  <c r="P23" i="11" s="1"/>
  <c r="AA14" i="7"/>
  <c r="P12" i="11" s="1"/>
  <c r="AC46" i="7"/>
  <c r="Q44" i="11" s="1"/>
  <c r="AC35" i="7"/>
  <c r="Q33" i="11" s="1"/>
  <c r="AC24" i="7"/>
  <c r="Q22" i="11" s="1"/>
  <c r="AC8" i="7"/>
  <c r="Q6" i="11" s="1"/>
  <c r="AE45" i="7"/>
  <c r="R43" i="11" s="1"/>
  <c r="AE25" i="7"/>
  <c r="R23" i="11" s="1"/>
  <c r="U62" i="7"/>
  <c r="M60" i="11" s="1"/>
  <c r="W54" i="7"/>
  <c r="N52" i="11" s="1"/>
  <c r="Y52" i="7"/>
  <c r="O50" i="11" s="1"/>
  <c r="AC67" i="7"/>
  <c r="Q65" i="11" s="1"/>
  <c r="Q63" i="7"/>
  <c r="K61" i="11" s="1"/>
  <c r="S49" i="7"/>
  <c r="L47" i="11" s="1"/>
  <c r="I32" i="8"/>
  <c r="V32" i="14" s="1"/>
  <c r="U32" i="8"/>
  <c r="AB32" i="14" s="1"/>
  <c r="AA8" i="8"/>
  <c r="AE8" i="14" s="1"/>
  <c r="W113" i="7"/>
  <c r="N111" i="11" s="1"/>
  <c r="M87" i="7"/>
  <c r="I85" i="11" s="1"/>
  <c r="U35" i="7"/>
  <c r="M33" i="11" s="1"/>
  <c r="U24" i="7"/>
  <c r="M22" i="11" s="1"/>
  <c r="U11" i="7"/>
  <c r="M9" i="11" s="1"/>
  <c r="W44" i="7"/>
  <c r="N42" i="11" s="1"/>
  <c r="W32" i="7"/>
  <c r="N30" i="11" s="1"/>
  <c r="W21" i="7"/>
  <c r="N19" i="11" s="1"/>
  <c r="W8" i="7"/>
  <c r="N6" i="11" s="1"/>
  <c r="Y40" i="7"/>
  <c r="O38" i="11" s="1"/>
  <c r="Y27" i="7"/>
  <c r="O25" i="11" s="1"/>
  <c r="Y16" i="7"/>
  <c r="O14" i="11" s="1"/>
  <c r="AA49" i="7"/>
  <c r="P47" i="11" s="1"/>
  <c r="AA35" i="7"/>
  <c r="P33" i="11" s="1"/>
  <c r="AA24" i="7"/>
  <c r="P22" i="11" s="1"/>
  <c r="AA11" i="7"/>
  <c r="P9" i="11" s="1"/>
  <c r="AC45" i="7"/>
  <c r="Q43" i="11" s="1"/>
  <c r="AC34" i="7"/>
  <c r="Q32" i="11" s="1"/>
  <c r="AC23" i="7"/>
  <c r="Q21" i="11" s="1"/>
  <c r="AE57" i="7"/>
  <c r="R55" i="11" s="1"/>
  <c r="AE44" i="7"/>
  <c r="R42" i="11" s="1"/>
  <c r="AE18" i="7"/>
  <c r="R16" i="11" s="1"/>
  <c r="U60" i="7"/>
  <c r="M58" i="11" s="1"/>
  <c r="W53" i="7"/>
  <c r="N51" i="11" s="1"/>
  <c r="AA67" i="7"/>
  <c r="P65" i="11" s="1"/>
  <c r="AC65" i="7"/>
  <c r="Q63" i="11" s="1"/>
  <c r="Q60" i="7"/>
  <c r="K58" i="11" s="1"/>
  <c r="I16" i="8"/>
  <c r="V16" i="14" s="1"/>
  <c r="O26" i="8"/>
  <c r="Y26" i="14" s="1"/>
  <c r="U12" i="8"/>
  <c r="AB12" i="14" s="1"/>
  <c r="AC24" i="8"/>
  <c r="AF24" i="14" s="1"/>
  <c r="S110" i="7"/>
  <c r="L108" i="11" s="1"/>
  <c r="Q85" i="7"/>
  <c r="K83" i="11" s="1"/>
  <c r="I86" i="7"/>
  <c r="G84" i="11" s="1"/>
  <c r="Y86" i="7"/>
  <c r="O84" i="11" s="1"/>
  <c r="Q87" i="7"/>
  <c r="K85" i="11" s="1"/>
  <c r="I89" i="7"/>
  <c r="G87" i="11" s="1"/>
  <c r="Y89" i="7"/>
  <c r="O87" i="11" s="1"/>
  <c r="Q90" i="7"/>
  <c r="K88" i="11" s="1"/>
  <c r="I91" i="7"/>
  <c r="G89" i="11" s="1"/>
  <c r="Y91" i="7"/>
  <c r="O89" i="11" s="1"/>
  <c r="Q92" i="7"/>
  <c r="K90" i="11" s="1"/>
  <c r="I93" i="7"/>
  <c r="G91" i="11" s="1"/>
  <c r="Y93" i="7"/>
  <c r="O91" i="11" s="1"/>
  <c r="I97" i="7"/>
  <c r="G95" i="11" s="1"/>
  <c r="Y97" i="7"/>
  <c r="O95" i="11" s="1"/>
  <c r="Q98" i="7"/>
  <c r="K96" i="11" s="1"/>
  <c r="Q101" i="7"/>
  <c r="K99" i="11" s="1"/>
  <c r="I102" i="7"/>
  <c r="G100" i="11" s="1"/>
  <c r="Y102" i="7"/>
  <c r="O100" i="11" s="1"/>
  <c r="Q103" i="7"/>
  <c r="K101" i="11" s="1"/>
  <c r="I104" i="7"/>
  <c r="G102" i="11" s="1"/>
  <c r="Y104" i="7"/>
  <c r="O102" i="11" s="1"/>
  <c r="Q105" i="7"/>
  <c r="K103" i="11" s="1"/>
  <c r="I106" i="7"/>
  <c r="G104" i="11" s="1"/>
  <c r="Y106" i="7"/>
  <c r="O104" i="11" s="1"/>
  <c r="Q107" i="7"/>
  <c r="K105" i="11" s="1"/>
  <c r="I108" i="7"/>
  <c r="G106" i="11" s="1"/>
  <c r="Y108" i="7"/>
  <c r="O106" i="11" s="1"/>
  <c r="Q109" i="7"/>
  <c r="K107" i="11" s="1"/>
  <c r="I110" i="7"/>
  <c r="G108" i="11" s="1"/>
  <c r="Y110" i="7"/>
  <c r="O108" i="11" s="1"/>
  <c r="I113" i="7"/>
  <c r="G111" i="11" s="1"/>
  <c r="Y113" i="7"/>
  <c r="O111" i="11" s="1"/>
  <c r="Q114" i="7"/>
  <c r="K112" i="11" s="1"/>
  <c r="I115" i="7"/>
  <c r="G113" i="11" s="1"/>
  <c r="Y115" i="7"/>
  <c r="O113" i="11" s="1"/>
  <c r="Q116" i="7"/>
  <c r="K114" i="11" s="1"/>
  <c r="I117" i="7"/>
  <c r="G115" i="11" s="1"/>
  <c r="Y117" i="7"/>
  <c r="O115" i="11" s="1"/>
  <c r="Q118" i="7"/>
  <c r="K116" i="11" s="1"/>
  <c r="I119" i="7"/>
  <c r="G117" i="11" s="1"/>
  <c r="Y119" i="7"/>
  <c r="O117" i="11" s="1"/>
  <c r="S85" i="7"/>
  <c r="L83" i="11" s="1"/>
  <c r="K86" i="7"/>
  <c r="H84" i="11" s="1"/>
  <c r="AA86" i="7"/>
  <c r="P84" i="11" s="1"/>
  <c r="S87" i="7"/>
  <c r="L85" i="11" s="1"/>
  <c r="K89" i="7"/>
  <c r="H87" i="11" s="1"/>
  <c r="AA89" i="7"/>
  <c r="P87" i="11" s="1"/>
  <c r="S90" i="7"/>
  <c r="L88" i="11" s="1"/>
  <c r="K91" i="7"/>
  <c r="H89" i="11" s="1"/>
  <c r="AA91" i="7"/>
  <c r="P89" i="11" s="1"/>
  <c r="S92" i="7"/>
  <c r="L90" i="11" s="1"/>
  <c r="K93" i="7"/>
  <c r="H91" i="11" s="1"/>
  <c r="AA93" i="7"/>
  <c r="P91" i="11" s="1"/>
  <c r="K97" i="7"/>
  <c r="H95" i="11" s="1"/>
  <c r="AA97" i="7"/>
  <c r="P95" i="11" s="1"/>
  <c r="S98" i="7"/>
  <c r="L96" i="11" s="1"/>
  <c r="S101" i="7"/>
  <c r="L99" i="11" s="1"/>
  <c r="K102" i="7"/>
  <c r="H100" i="11" s="1"/>
  <c r="AA102" i="7"/>
  <c r="P100" i="11" s="1"/>
  <c r="S103" i="7"/>
  <c r="L101" i="11" s="1"/>
  <c r="K104" i="7"/>
  <c r="H102" i="11" s="1"/>
  <c r="AA104" i="7"/>
  <c r="P102" i="11" s="1"/>
  <c r="S105" i="7"/>
  <c r="L103" i="11" s="1"/>
  <c r="K106" i="7"/>
  <c r="H104" i="11" s="1"/>
  <c r="AA106" i="7"/>
  <c r="P104" i="11" s="1"/>
  <c r="S107" i="7"/>
  <c r="L105" i="11" s="1"/>
  <c r="K108" i="7"/>
  <c r="H106" i="11" s="1"/>
  <c r="AA108" i="7"/>
  <c r="P106" i="11" s="1"/>
  <c r="S109" i="7"/>
  <c r="L107" i="11" s="1"/>
  <c r="K110" i="7"/>
  <c r="H108" i="11" s="1"/>
  <c r="AA110" i="7"/>
  <c r="P108" i="11" s="1"/>
  <c r="K113" i="7"/>
  <c r="H111" i="11" s="1"/>
  <c r="AA113" i="7"/>
  <c r="P111" i="11" s="1"/>
  <c r="S114" i="7"/>
  <c r="L112" i="11" s="1"/>
  <c r="K115" i="7"/>
  <c r="H113" i="11" s="1"/>
  <c r="AA115" i="7"/>
  <c r="P113" i="11" s="1"/>
  <c r="S116" i="7"/>
  <c r="L114" i="11" s="1"/>
  <c r="K117" i="7"/>
  <c r="H115" i="11" s="1"/>
  <c r="AA117" i="7"/>
  <c r="P115" i="11" s="1"/>
  <c r="S118" i="7"/>
  <c r="L116" i="11" s="1"/>
  <c r="K119" i="7"/>
  <c r="H117" i="11" s="1"/>
  <c r="AA119" i="7"/>
  <c r="P117" i="11" s="1"/>
  <c r="U85" i="7"/>
  <c r="M83" i="11" s="1"/>
  <c r="M86" i="7"/>
  <c r="I84" i="11" s="1"/>
  <c r="AC86" i="7"/>
  <c r="Q84" i="11" s="1"/>
  <c r="U87" i="7"/>
  <c r="M85" i="11" s="1"/>
  <c r="M89" i="7"/>
  <c r="I87" i="11" s="1"/>
  <c r="U90" i="7"/>
  <c r="M88" i="11" s="1"/>
  <c r="M91" i="7"/>
  <c r="I89" i="11" s="1"/>
  <c r="AC91" i="7"/>
  <c r="Q89" i="11" s="1"/>
  <c r="U92" i="7"/>
  <c r="M90" i="11" s="1"/>
  <c r="M93" i="7"/>
  <c r="I91" i="11" s="1"/>
  <c r="AC93" i="7"/>
  <c r="Q91" i="11" s="1"/>
  <c r="M97" i="7"/>
  <c r="I95" i="11" s="1"/>
  <c r="AC97" i="7"/>
  <c r="Q95" i="11" s="1"/>
  <c r="U98" i="7"/>
  <c r="M96" i="11" s="1"/>
  <c r="U101" i="7"/>
  <c r="M99" i="11" s="1"/>
  <c r="M102" i="7"/>
  <c r="I100" i="11" s="1"/>
  <c r="AC102" i="7"/>
  <c r="Q100" i="11" s="1"/>
  <c r="U103" i="7"/>
  <c r="M101" i="11" s="1"/>
  <c r="M104" i="7"/>
  <c r="I102" i="11" s="1"/>
  <c r="AC104" i="7"/>
  <c r="Q102" i="11" s="1"/>
  <c r="U105" i="7"/>
  <c r="M103" i="11" s="1"/>
  <c r="M106" i="7"/>
  <c r="I104" i="11" s="1"/>
  <c r="AC106" i="7"/>
  <c r="Q104" i="11" s="1"/>
  <c r="U107" i="7"/>
  <c r="M105" i="11" s="1"/>
  <c r="M108" i="7"/>
  <c r="I106" i="11" s="1"/>
  <c r="AC108" i="7"/>
  <c r="Q106" i="11" s="1"/>
  <c r="U109" i="7"/>
  <c r="M107" i="11" s="1"/>
  <c r="M110" i="7"/>
  <c r="I108" i="11" s="1"/>
  <c r="AC110" i="7"/>
  <c r="Q108" i="11" s="1"/>
  <c r="M113" i="7"/>
  <c r="I111" i="11" s="1"/>
  <c r="W85" i="7"/>
  <c r="N83" i="11" s="1"/>
  <c r="O86" i="7"/>
  <c r="J84" i="11" s="1"/>
  <c r="AE86" i="7"/>
  <c r="R84" i="11" s="1"/>
  <c r="W87" i="7"/>
  <c r="N85" i="11" s="1"/>
  <c r="O89" i="7"/>
  <c r="J87" i="11" s="1"/>
  <c r="AE89" i="7"/>
  <c r="R87" i="11" s="1"/>
  <c r="W90" i="7"/>
  <c r="N88" i="11" s="1"/>
  <c r="O91" i="7"/>
  <c r="J89" i="11" s="1"/>
  <c r="AE91" i="7"/>
  <c r="R89" i="11" s="1"/>
  <c r="W92" i="7"/>
  <c r="N90" i="11" s="1"/>
  <c r="O93" i="7"/>
  <c r="J91" i="11" s="1"/>
  <c r="AE93" i="7"/>
  <c r="R91" i="11" s="1"/>
  <c r="O97" i="7"/>
  <c r="J95" i="11" s="1"/>
  <c r="AE97" i="7"/>
  <c r="R95" i="11" s="1"/>
  <c r="W98" i="7"/>
  <c r="N96" i="11" s="1"/>
  <c r="W101" i="7"/>
  <c r="N99" i="11" s="1"/>
  <c r="O102" i="7"/>
  <c r="J100" i="11" s="1"/>
  <c r="AE102" i="7"/>
  <c r="R100" i="11" s="1"/>
  <c r="W103" i="7"/>
  <c r="N101" i="11" s="1"/>
  <c r="O104" i="7"/>
  <c r="J102" i="11" s="1"/>
  <c r="AE104" i="7"/>
  <c r="R102" i="11" s="1"/>
  <c r="W105" i="7"/>
  <c r="N103" i="11" s="1"/>
  <c r="O106" i="7"/>
  <c r="J104" i="11" s="1"/>
  <c r="AE106" i="7"/>
  <c r="R104" i="11" s="1"/>
  <c r="W107" i="7"/>
  <c r="N105" i="11" s="1"/>
  <c r="O108" i="7"/>
  <c r="J106" i="11" s="1"/>
  <c r="AE108" i="7"/>
  <c r="R106" i="11" s="1"/>
  <c r="W109" i="7"/>
  <c r="N107" i="11" s="1"/>
  <c r="O110" i="7"/>
  <c r="J108" i="11" s="1"/>
  <c r="AE110" i="7"/>
  <c r="R108" i="11" s="1"/>
  <c r="O113" i="7"/>
  <c r="J111" i="11" s="1"/>
  <c r="AE113" i="7"/>
  <c r="R111" i="11" s="1"/>
  <c r="I85" i="7"/>
  <c r="G83" i="11" s="1"/>
  <c r="Y85" i="7"/>
  <c r="O83" i="11" s="1"/>
  <c r="Q86" i="7"/>
  <c r="K84" i="11" s="1"/>
  <c r="I87" i="7"/>
  <c r="G85" i="11" s="1"/>
  <c r="Y87" i="7"/>
  <c r="O85" i="11" s="1"/>
  <c r="Q89" i="7"/>
  <c r="K87" i="11" s="1"/>
  <c r="I90" i="7"/>
  <c r="G88" i="11" s="1"/>
  <c r="Y90" i="7"/>
  <c r="O88" i="11" s="1"/>
  <c r="Q91" i="7"/>
  <c r="K89" i="11" s="1"/>
  <c r="I92" i="7"/>
  <c r="G90" i="11" s="1"/>
  <c r="Y92" i="7"/>
  <c r="O90" i="11" s="1"/>
  <c r="Q93" i="7"/>
  <c r="K91" i="11" s="1"/>
  <c r="Q97" i="7"/>
  <c r="K95" i="11" s="1"/>
  <c r="I98" i="7"/>
  <c r="G96" i="11" s="1"/>
  <c r="Y98" i="7"/>
  <c r="O96" i="11" s="1"/>
  <c r="I101" i="7"/>
  <c r="G99" i="11" s="1"/>
  <c r="Y101" i="7"/>
  <c r="O99" i="11" s="1"/>
  <c r="Q102" i="7"/>
  <c r="K100" i="11" s="1"/>
  <c r="I103" i="7"/>
  <c r="G101" i="11" s="1"/>
  <c r="Y103" i="7"/>
  <c r="O101" i="11" s="1"/>
  <c r="Q104" i="7"/>
  <c r="K102" i="11" s="1"/>
  <c r="I105" i="7"/>
  <c r="G103" i="11" s="1"/>
  <c r="Y105" i="7"/>
  <c r="O103" i="11" s="1"/>
  <c r="Q106" i="7"/>
  <c r="K104" i="11" s="1"/>
  <c r="I107" i="7"/>
  <c r="G105" i="11" s="1"/>
  <c r="Y107" i="7"/>
  <c r="O105" i="11" s="1"/>
  <c r="Q108" i="7"/>
  <c r="K106" i="11" s="1"/>
  <c r="I109" i="7"/>
  <c r="G107" i="11" s="1"/>
  <c r="Y109" i="7"/>
  <c r="O107" i="11" s="1"/>
  <c r="Q110" i="7"/>
  <c r="K108" i="11" s="1"/>
  <c r="Q113" i="7"/>
  <c r="K111" i="11" s="1"/>
  <c r="I114" i="7"/>
  <c r="G112" i="11" s="1"/>
  <c r="Y114" i="7"/>
  <c r="O112" i="11" s="1"/>
  <c r="Q115" i="7"/>
  <c r="K113" i="11" s="1"/>
  <c r="I116" i="7"/>
  <c r="G114" i="11" s="1"/>
  <c r="Y116" i="7"/>
  <c r="O114" i="11" s="1"/>
  <c r="Q117" i="7"/>
  <c r="K115" i="11" s="1"/>
  <c r="I118" i="7"/>
  <c r="G116" i="11" s="1"/>
  <c r="Y118" i="7"/>
  <c r="O116" i="11" s="1"/>
  <c r="Q119" i="7"/>
  <c r="K117" i="11" s="1"/>
  <c r="AA85" i="7"/>
  <c r="P83" i="11" s="1"/>
  <c r="O87" i="7"/>
  <c r="J85" i="11" s="1"/>
  <c r="M90" i="7"/>
  <c r="I88" i="11" s="1"/>
  <c r="K92" i="7"/>
  <c r="H90" i="11" s="1"/>
  <c r="W93" i="7"/>
  <c r="N91" i="11" s="1"/>
  <c r="M98" i="7"/>
  <c r="I96" i="11" s="1"/>
  <c r="AA101" i="7"/>
  <c r="P99" i="11" s="1"/>
  <c r="O103" i="7"/>
  <c r="J101" i="11" s="1"/>
  <c r="M105" i="7"/>
  <c r="I103" i="11" s="1"/>
  <c r="K107" i="7"/>
  <c r="H105" i="11" s="1"/>
  <c r="W108" i="7"/>
  <c r="N106" i="11" s="1"/>
  <c r="U110" i="7"/>
  <c r="M108" i="11" s="1"/>
  <c r="AC113" i="7"/>
  <c r="Q111" i="11" s="1"/>
  <c r="AE114" i="7"/>
  <c r="R112" i="11" s="1"/>
  <c r="K116" i="7"/>
  <c r="H114" i="11" s="1"/>
  <c r="M117" i="7"/>
  <c r="I115" i="11" s="1"/>
  <c r="M118" i="7"/>
  <c r="I116" i="11" s="1"/>
  <c r="O119" i="7"/>
  <c r="J117" i="11" s="1"/>
  <c r="AC85" i="7"/>
  <c r="Q83" i="11" s="1"/>
  <c r="AA87" i="7"/>
  <c r="P85" i="11" s="1"/>
  <c r="O90" i="7"/>
  <c r="J88" i="11" s="1"/>
  <c r="M92" i="7"/>
  <c r="I90" i="11" s="1"/>
  <c r="O98" i="7"/>
  <c r="J96" i="11" s="1"/>
  <c r="AC101" i="7"/>
  <c r="Q99" i="11" s="1"/>
  <c r="AA103" i="7"/>
  <c r="P101" i="11" s="1"/>
  <c r="O105" i="7"/>
  <c r="J103" i="11" s="1"/>
  <c r="M107" i="7"/>
  <c r="I105" i="11" s="1"/>
  <c r="K109" i="7"/>
  <c r="H107" i="11" s="1"/>
  <c r="W110" i="7"/>
  <c r="N108" i="11" s="1"/>
  <c r="K114" i="7"/>
  <c r="H112" i="11" s="1"/>
  <c r="M115" i="7"/>
  <c r="I113" i="11" s="1"/>
  <c r="M116" i="7"/>
  <c r="I114" i="11" s="1"/>
  <c r="O117" i="7"/>
  <c r="J115" i="11" s="1"/>
  <c r="O118" i="7"/>
  <c r="J116" i="11" s="1"/>
  <c r="S119" i="7"/>
  <c r="L117" i="11" s="1"/>
  <c r="AE85" i="7"/>
  <c r="R83" i="11" s="1"/>
  <c r="AC87" i="7"/>
  <c r="Q85" i="11" s="1"/>
  <c r="AA90" i="7"/>
  <c r="P88" i="11" s="1"/>
  <c r="O92" i="7"/>
  <c r="J90" i="11" s="1"/>
  <c r="AA98" i="7"/>
  <c r="P96" i="11" s="1"/>
  <c r="AE101" i="7"/>
  <c r="R99" i="11" s="1"/>
  <c r="AC103" i="7"/>
  <c r="Q101" i="11" s="1"/>
  <c r="AA105" i="7"/>
  <c r="P103" i="11" s="1"/>
  <c r="O107" i="7"/>
  <c r="J105" i="11" s="1"/>
  <c r="M109" i="7"/>
  <c r="I107" i="11" s="1"/>
  <c r="M114" i="7"/>
  <c r="I112" i="11" s="1"/>
  <c r="O115" i="7"/>
  <c r="J113" i="11" s="1"/>
  <c r="O116" i="7"/>
  <c r="J114" i="11" s="1"/>
  <c r="S117" i="7"/>
  <c r="L115" i="11" s="1"/>
  <c r="U118" i="7"/>
  <c r="M116" i="11" s="1"/>
  <c r="U119" i="7"/>
  <c r="M117" i="11" s="1"/>
  <c r="S86" i="7"/>
  <c r="L84" i="11" s="1"/>
  <c r="AE87" i="7"/>
  <c r="R85" i="11" s="1"/>
  <c r="AC90" i="7"/>
  <c r="Q88" i="11" s="1"/>
  <c r="AA92" i="7"/>
  <c r="P90" i="11" s="1"/>
  <c r="AC98" i="7"/>
  <c r="Q96" i="11" s="1"/>
  <c r="S102" i="7"/>
  <c r="L100" i="11" s="1"/>
  <c r="AE103" i="7"/>
  <c r="R101" i="11" s="1"/>
  <c r="AC105" i="7"/>
  <c r="Q103" i="11" s="1"/>
  <c r="AA107" i="7"/>
  <c r="P105" i="11" s="1"/>
  <c r="O109" i="7"/>
  <c r="J107" i="11" s="1"/>
  <c r="O114" i="7"/>
  <c r="J112" i="11" s="1"/>
  <c r="S115" i="7"/>
  <c r="L113" i="11" s="1"/>
  <c r="U116" i="7"/>
  <c r="M114" i="11" s="1"/>
  <c r="U117" i="7"/>
  <c r="M115" i="11" s="1"/>
  <c r="W118" i="7"/>
  <c r="N116" i="11" s="1"/>
  <c r="W119" i="7"/>
  <c r="N117" i="11" s="1"/>
  <c r="U86" i="7"/>
  <c r="M84" i="11" s="1"/>
  <c r="S89" i="7"/>
  <c r="L87" i="11" s="1"/>
  <c r="K85" i="7"/>
  <c r="H83" i="11" s="1"/>
  <c r="W86" i="7"/>
  <c r="N84" i="11" s="1"/>
  <c r="U89" i="7"/>
  <c r="M87" i="11" s="1"/>
  <c r="S91" i="7"/>
  <c r="L89" i="11" s="1"/>
  <c r="AE92" i="7"/>
  <c r="R90" i="11" s="1"/>
  <c r="U97" i="7"/>
  <c r="M95" i="11" s="1"/>
  <c r="K101" i="7"/>
  <c r="H99" i="11" s="1"/>
  <c r="W102" i="7"/>
  <c r="N100" i="11" s="1"/>
  <c r="U104" i="7"/>
  <c r="M102" i="11" s="1"/>
  <c r="S106" i="7"/>
  <c r="L104" i="11" s="1"/>
  <c r="AE107" i="7"/>
  <c r="R105" i="11" s="1"/>
  <c r="AC109" i="7"/>
  <c r="Q107" i="11" s="1"/>
  <c r="S113" i="7"/>
  <c r="L111" i="11" s="1"/>
  <c r="W114" i="7"/>
  <c r="N112" i="11" s="1"/>
  <c r="W115" i="7"/>
  <c r="N113" i="11" s="1"/>
  <c r="AA116" i="7"/>
  <c r="P114" i="11" s="1"/>
  <c r="AC117" i="7"/>
  <c r="Q115" i="11" s="1"/>
  <c r="AC118" i="7"/>
  <c r="Q116" i="11" s="1"/>
  <c r="AE119" i="7"/>
  <c r="R117" i="11" s="1"/>
  <c r="W89" i="7"/>
  <c r="N87" i="11" s="1"/>
  <c r="S97" i="7"/>
  <c r="L95" i="11" s="1"/>
  <c r="M103" i="7"/>
  <c r="I101" i="11" s="1"/>
  <c r="S108" i="7"/>
  <c r="L106" i="11" s="1"/>
  <c r="U114" i="7"/>
  <c r="M112" i="11" s="1"/>
  <c r="AE116" i="7"/>
  <c r="R114" i="11" s="1"/>
  <c r="S50" i="7"/>
  <c r="L48" i="11" s="1"/>
  <c r="S60" i="7"/>
  <c r="L58" i="11" s="1"/>
  <c r="S80" i="7"/>
  <c r="L78" i="11" s="1"/>
  <c r="Q54" i="7"/>
  <c r="K52" i="11" s="1"/>
  <c r="Q64" i="7"/>
  <c r="K62" i="11" s="1"/>
  <c r="AE61" i="7"/>
  <c r="R59" i="11" s="1"/>
  <c r="AE81" i="7"/>
  <c r="R79" i="11" s="1"/>
  <c r="AC61" i="7"/>
  <c r="Q59" i="11" s="1"/>
  <c r="AC81" i="7"/>
  <c r="Q79" i="11" s="1"/>
  <c r="AA60" i="7"/>
  <c r="P58" i="11" s="1"/>
  <c r="AA80" i="7"/>
  <c r="P78" i="11" s="1"/>
  <c r="Y56" i="7"/>
  <c r="O54" i="11" s="1"/>
  <c r="Y66" i="7"/>
  <c r="O64" i="11" s="1"/>
  <c r="W55" i="7"/>
  <c r="N53" i="11" s="1"/>
  <c r="W65" i="7"/>
  <c r="N63" i="11" s="1"/>
  <c r="U54" i="7"/>
  <c r="M52" i="11" s="1"/>
  <c r="U64" i="7"/>
  <c r="M62" i="11" s="1"/>
  <c r="AE9" i="7"/>
  <c r="R7" i="11" s="1"/>
  <c r="AE21" i="7"/>
  <c r="R19" i="11" s="1"/>
  <c r="AE31" i="7"/>
  <c r="R29" i="11" s="1"/>
  <c r="AE41" i="7"/>
  <c r="R39" i="11" s="1"/>
  <c r="AE51" i="7"/>
  <c r="R49" i="11" s="1"/>
  <c r="AC9" i="7"/>
  <c r="Q7" i="11" s="1"/>
  <c r="AC21" i="7"/>
  <c r="Q19" i="11" s="1"/>
  <c r="AC31" i="7"/>
  <c r="Q29" i="11" s="1"/>
  <c r="AC41" i="7"/>
  <c r="Q39" i="11" s="1"/>
  <c r="AC51" i="7"/>
  <c r="Q49" i="11" s="1"/>
  <c r="AA16" i="7"/>
  <c r="P14" i="11" s="1"/>
  <c r="AA26" i="7"/>
  <c r="P24" i="11" s="1"/>
  <c r="AA36" i="7"/>
  <c r="P34" i="11" s="1"/>
  <c r="AA46" i="7"/>
  <c r="P44" i="11" s="1"/>
  <c r="Y14" i="7"/>
  <c r="O12" i="11" s="1"/>
  <c r="Y24" i="7"/>
  <c r="O22" i="11" s="1"/>
  <c r="Y34" i="7"/>
  <c r="O32" i="11" s="1"/>
  <c r="Y44" i="7"/>
  <c r="O42" i="11" s="1"/>
  <c r="W11" i="7"/>
  <c r="N9" i="11" s="1"/>
  <c r="W23" i="7"/>
  <c r="N21" i="11" s="1"/>
  <c r="W33" i="7"/>
  <c r="N31" i="11" s="1"/>
  <c r="W43" i="7"/>
  <c r="N41" i="11" s="1"/>
  <c r="U9" i="7"/>
  <c r="M7" i="11" s="1"/>
  <c r="U21" i="7"/>
  <c r="M19" i="11" s="1"/>
  <c r="U31" i="7"/>
  <c r="M29" i="11" s="1"/>
  <c r="U41" i="7"/>
  <c r="M39" i="11" s="1"/>
  <c r="U51" i="7"/>
  <c r="M49" i="11" s="1"/>
  <c r="S17" i="7"/>
  <c r="L15" i="11" s="1"/>
  <c r="S27" i="7"/>
  <c r="L25" i="11" s="1"/>
  <c r="S39" i="7"/>
  <c r="L37" i="11" s="1"/>
  <c r="Q8" i="7"/>
  <c r="K6" i="11" s="1"/>
  <c r="Q18" i="7"/>
  <c r="K16" i="11" s="1"/>
  <c r="Q30" i="7"/>
  <c r="K28" i="11" s="1"/>
  <c r="K90" i="7"/>
  <c r="H88" i="11" s="1"/>
  <c r="W97" i="7"/>
  <c r="N95" i="11" s="1"/>
  <c r="S104" i="7"/>
  <c r="L102" i="11" s="1"/>
  <c r="U108" i="7"/>
  <c r="M106" i="11" s="1"/>
  <c r="AA114" i="7"/>
  <c r="P112" i="11" s="1"/>
  <c r="W117" i="7"/>
  <c r="N115" i="11" s="1"/>
  <c r="S51" i="7"/>
  <c r="L49" i="11" s="1"/>
  <c r="S61" i="7"/>
  <c r="L59" i="11" s="1"/>
  <c r="S81" i="7"/>
  <c r="L79" i="11" s="1"/>
  <c r="Q55" i="7"/>
  <c r="K53" i="11" s="1"/>
  <c r="Q65" i="7"/>
  <c r="K63" i="11" s="1"/>
  <c r="AE62" i="7"/>
  <c r="R60" i="11" s="1"/>
  <c r="AE82" i="7"/>
  <c r="R80" i="11" s="1"/>
  <c r="AC62" i="7"/>
  <c r="Q60" i="11" s="1"/>
  <c r="AC82" i="7"/>
  <c r="Q80" i="11" s="1"/>
  <c r="AA61" i="7"/>
  <c r="P59" i="11" s="1"/>
  <c r="AA81" i="7"/>
  <c r="P79" i="11" s="1"/>
  <c r="Y57" i="7"/>
  <c r="O55" i="11" s="1"/>
  <c r="Y67" i="7"/>
  <c r="O65" i="11" s="1"/>
  <c r="W56" i="7"/>
  <c r="N54" i="11" s="1"/>
  <c r="W66" i="7"/>
  <c r="N64" i="11" s="1"/>
  <c r="U55" i="7"/>
  <c r="M53" i="11" s="1"/>
  <c r="U65" i="7"/>
  <c r="M63" i="11" s="1"/>
  <c r="AE10" i="7"/>
  <c r="R8" i="11" s="1"/>
  <c r="AE22" i="7"/>
  <c r="R20" i="11" s="1"/>
  <c r="AE32" i="7"/>
  <c r="R30" i="11" s="1"/>
  <c r="AE42" i="7"/>
  <c r="R40" i="11" s="1"/>
  <c r="AE52" i="7"/>
  <c r="R50" i="11" s="1"/>
  <c r="AC10" i="7"/>
  <c r="Q8" i="11" s="1"/>
  <c r="AE90" i="7"/>
  <c r="R88" i="11" s="1"/>
  <c r="K98" i="7"/>
  <c r="H96" i="11" s="1"/>
  <c r="W104" i="7"/>
  <c r="N102" i="11" s="1"/>
  <c r="AA109" i="7"/>
  <c r="P107" i="11" s="1"/>
  <c r="AC114" i="7"/>
  <c r="Q112" i="11" s="1"/>
  <c r="AE117" i="7"/>
  <c r="R115" i="11" s="1"/>
  <c r="S52" i="7"/>
  <c r="L50" i="11" s="1"/>
  <c r="S62" i="7"/>
  <c r="L60" i="11" s="1"/>
  <c r="S82" i="7"/>
  <c r="L80" i="11" s="1"/>
  <c r="Q56" i="7"/>
  <c r="K54" i="11" s="1"/>
  <c r="Q66" i="7"/>
  <c r="K64" i="11" s="1"/>
  <c r="AE63" i="7"/>
  <c r="R61" i="11" s="1"/>
  <c r="AC53" i="7"/>
  <c r="Q51" i="11" s="1"/>
  <c r="AC63" i="7"/>
  <c r="Q61" i="11" s="1"/>
  <c r="AA52" i="7"/>
  <c r="P50" i="11" s="1"/>
  <c r="AA62" i="7"/>
  <c r="P60" i="11" s="1"/>
  <c r="AA82" i="7"/>
  <c r="P80" i="11" s="1"/>
  <c r="Y60" i="7"/>
  <c r="O58" i="11" s="1"/>
  <c r="Y80" i="7"/>
  <c r="O78" i="11" s="1"/>
  <c r="W57" i="7"/>
  <c r="N55" i="11" s="1"/>
  <c r="W67" i="7"/>
  <c r="N65" i="11" s="1"/>
  <c r="U56" i="7"/>
  <c r="M54" i="11" s="1"/>
  <c r="U66" i="7"/>
  <c r="M64" i="11" s="1"/>
  <c r="AE11" i="7"/>
  <c r="R9" i="11" s="1"/>
  <c r="AE23" i="7"/>
  <c r="R21" i="11" s="1"/>
  <c r="AE33" i="7"/>
  <c r="R31" i="11" s="1"/>
  <c r="AE43" i="7"/>
  <c r="R41" i="11" s="1"/>
  <c r="AE53" i="7"/>
  <c r="R51" i="11" s="1"/>
  <c r="AC11" i="7"/>
  <c r="Q9" i="11" s="1"/>
  <c r="U91" i="7"/>
  <c r="M89" i="11" s="1"/>
  <c r="AE98" i="7"/>
  <c r="R96" i="11" s="1"/>
  <c r="K105" i="7"/>
  <c r="H103" i="11" s="1"/>
  <c r="AE109" i="7"/>
  <c r="R107" i="11" s="1"/>
  <c r="U115" i="7"/>
  <c r="M113" i="11" s="1"/>
  <c r="K118" i="7"/>
  <c r="H116" i="11" s="1"/>
  <c r="S53" i="7"/>
  <c r="L51" i="11" s="1"/>
  <c r="S63" i="7"/>
  <c r="L61" i="11" s="1"/>
  <c r="Q49" i="7"/>
  <c r="K47" i="11" s="1"/>
  <c r="Q57" i="7"/>
  <c r="K55" i="11" s="1"/>
  <c r="Q67" i="7"/>
  <c r="K65" i="11" s="1"/>
  <c r="AE64" i="7"/>
  <c r="R62" i="11" s="1"/>
  <c r="AC54" i="7"/>
  <c r="Q52" i="11" s="1"/>
  <c r="AC64" i="7"/>
  <c r="Q62" i="11" s="1"/>
  <c r="AA53" i="7"/>
  <c r="P51" i="11" s="1"/>
  <c r="AA63" i="7"/>
  <c r="P61" i="11" s="1"/>
  <c r="Y51" i="7"/>
  <c r="O49" i="11" s="1"/>
  <c r="Y61" i="7"/>
  <c r="O59" i="11" s="1"/>
  <c r="Y81" i="7"/>
  <c r="O79" i="11" s="1"/>
  <c r="W60" i="7"/>
  <c r="N58" i="11" s="1"/>
  <c r="W80" i="7"/>
  <c r="N78" i="11" s="1"/>
  <c r="U57" i="7"/>
  <c r="M55" i="11" s="1"/>
  <c r="U67" i="7"/>
  <c r="M65" i="11" s="1"/>
  <c r="AE14" i="7"/>
  <c r="R12" i="11" s="1"/>
  <c r="AE24" i="7"/>
  <c r="R22" i="11" s="1"/>
  <c r="AE34" i="7"/>
  <c r="R32" i="11" s="1"/>
  <c r="O85" i="7"/>
  <c r="J83" i="11" s="1"/>
  <c r="AC92" i="7"/>
  <c r="Q90" i="11" s="1"/>
  <c r="O101" i="7"/>
  <c r="J99" i="11" s="1"/>
  <c r="U106" i="7"/>
  <c r="M104" i="11" s="1"/>
  <c r="AE115" i="7"/>
  <c r="R113" i="11" s="1"/>
  <c r="AE118" i="7"/>
  <c r="R116" i="11" s="1"/>
  <c r="S55" i="7"/>
  <c r="L53" i="11" s="1"/>
  <c r="S65" i="7"/>
  <c r="L63" i="11" s="1"/>
  <c r="Q51" i="7"/>
  <c r="K49" i="11" s="1"/>
  <c r="Q61" i="7"/>
  <c r="K59" i="11" s="1"/>
  <c r="Q81" i="7"/>
  <c r="K79" i="11" s="1"/>
  <c r="AE66" i="7"/>
  <c r="R64" i="11" s="1"/>
  <c r="AC56" i="7"/>
  <c r="Q54" i="11" s="1"/>
  <c r="AC66" i="7"/>
  <c r="Q64" i="11" s="1"/>
  <c r="AA55" i="7"/>
  <c r="P53" i="11" s="1"/>
  <c r="AA65" i="7"/>
  <c r="P63" i="11" s="1"/>
  <c r="Y53" i="7"/>
  <c r="O51" i="11" s="1"/>
  <c r="Y63" i="7"/>
  <c r="O61" i="11" s="1"/>
  <c r="W52" i="7"/>
  <c r="N50" i="11" s="1"/>
  <c r="W62" i="7"/>
  <c r="N60" i="11" s="1"/>
  <c r="W82" i="7"/>
  <c r="N80" i="11" s="1"/>
  <c r="U61" i="7"/>
  <c r="M59" i="11" s="1"/>
  <c r="U81" i="7"/>
  <c r="M79" i="11" s="1"/>
  <c r="AE16" i="7"/>
  <c r="R14" i="11" s="1"/>
  <c r="AE26" i="7"/>
  <c r="R24" i="11" s="1"/>
  <c r="K87" i="7"/>
  <c r="H85" i="11" s="1"/>
  <c r="S93" i="7"/>
  <c r="L91" i="11" s="1"/>
  <c r="U102" i="7"/>
  <c r="M100" i="11" s="1"/>
  <c r="W106" i="7"/>
  <c r="N104" i="11" s="1"/>
  <c r="U113" i="7"/>
  <c r="M111" i="11" s="1"/>
  <c r="W116" i="7"/>
  <c r="N114" i="11" s="1"/>
  <c r="M119" i="7"/>
  <c r="I117" i="11" s="1"/>
  <c r="S56" i="7"/>
  <c r="L54" i="11" s="1"/>
  <c r="S66" i="7"/>
  <c r="L64" i="11" s="1"/>
  <c r="Q52" i="7"/>
  <c r="K50" i="11" s="1"/>
  <c r="Q62" i="7"/>
  <c r="K60" i="11" s="1"/>
  <c r="Q82" i="7"/>
  <c r="K80" i="11" s="1"/>
  <c r="AE67" i="7"/>
  <c r="R65" i="11" s="1"/>
  <c r="AC57" i="7"/>
  <c r="Q55" i="11" s="1"/>
  <c r="I64" i="7"/>
  <c r="G62" i="11" s="1"/>
  <c r="I54" i="7"/>
  <c r="G52" i="11" s="1"/>
  <c r="I44" i="7"/>
  <c r="G42" i="11" s="1"/>
  <c r="I34" i="7"/>
  <c r="G32" i="11" s="1"/>
  <c r="I24" i="7"/>
  <c r="G22" i="11" s="1"/>
  <c r="I14" i="7"/>
  <c r="G12" i="11" s="1"/>
  <c r="K64" i="7"/>
  <c r="H62" i="11" s="1"/>
  <c r="K54" i="7"/>
  <c r="H52" i="11" s="1"/>
  <c r="K44" i="7"/>
  <c r="H42" i="11" s="1"/>
  <c r="K34" i="7"/>
  <c r="H32" i="11" s="1"/>
  <c r="K24" i="7"/>
  <c r="H22" i="11" s="1"/>
  <c r="K14" i="7"/>
  <c r="H12" i="11" s="1"/>
  <c r="S7" i="7"/>
  <c r="L5" i="11" s="1"/>
  <c r="M81" i="7"/>
  <c r="I79" i="11" s="1"/>
  <c r="M61" i="7"/>
  <c r="I59" i="11" s="1"/>
  <c r="M51" i="7"/>
  <c r="I49" i="11" s="1"/>
  <c r="M41" i="7"/>
  <c r="I39" i="11" s="1"/>
  <c r="M31" i="7"/>
  <c r="I29" i="11" s="1"/>
  <c r="M21" i="7"/>
  <c r="I19" i="11" s="1"/>
  <c r="M9" i="7"/>
  <c r="I7" i="11" s="1"/>
  <c r="O64" i="7"/>
  <c r="J62" i="11" s="1"/>
  <c r="O54" i="7"/>
  <c r="J52" i="11" s="1"/>
  <c r="O44" i="7"/>
  <c r="J42" i="11" s="1"/>
  <c r="O34" i="7"/>
  <c r="J32" i="11" s="1"/>
  <c r="O24" i="7"/>
  <c r="J22" i="11" s="1"/>
  <c r="O14" i="7"/>
  <c r="J12" i="11" s="1"/>
  <c r="Q43" i="7"/>
  <c r="K41" i="11" s="1"/>
  <c r="Q33" i="7"/>
  <c r="K31" i="11" s="1"/>
  <c r="Q22" i="7"/>
  <c r="K20" i="11" s="1"/>
  <c r="Q9" i="7"/>
  <c r="K7" i="11" s="1"/>
  <c r="S36" i="7"/>
  <c r="L34" i="11" s="1"/>
  <c r="S25" i="7"/>
  <c r="L23" i="11" s="1"/>
  <c r="S14" i="7"/>
  <c r="L12" i="11" s="1"/>
  <c r="U45" i="7"/>
  <c r="M43" i="11" s="1"/>
  <c r="U34" i="7"/>
  <c r="M32" i="11" s="1"/>
  <c r="U23" i="7"/>
  <c r="M21" i="11" s="1"/>
  <c r="U10" i="7"/>
  <c r="M8" i="11" s="1"/>
  <c r="W42" i="7"/>
  <c r="N40" i="11" s="1"/>
  <c r="W31" i="7"/>
  <c r="N29" i="11" s="1"/>
  <c r="W18" i="7"/>
  <c r="N16" i="11" s="1"/>
  <c r="Y50" i="7"/>
  <c r="O48" i="11" s="1"/>
  <c r="Y39" i="7"/>
  <c r="O37" i="11" s="1"/>
  <c r="Y26" i="7"/>
  <c r="O24" i="11" s="1"/>
  <c r="Y15" i="7"/>
  <c r="O13" i="11" s="1"/>
  <c r="AA45" i="7"/>
  <c r="P43" i="11" s="1"/>
  <c r="AA34" i="7"/>
  <c r="P32" i="11" s="1"/>
  <c r="AA23" i="7"/>
  <c r="P21" i="11" s="1"/>
  <c r="AA10" i="7"/>
  <c r="P8" i="11" s="1"/>
  <c r="AC44" i="7"/>
  <c r="Q42" i="11" s="1"/>
  <c r="AC33" i="7"/>
  <c r="Q31" i="11" s="1"/>
  <c r="AC22" i="7"/>
  <c r="Q20" i="11" s="1"/>
  <c r="AE56" i="7"/>
  <c r="R54" i="11" s="1"/>
  <c r="AE40" i="7"/>
  <c r="R38" i="11" s="1"/>
  <c r="AE17" i="7"/>
  <c r="R15" i="11" s="1"/>
  <c r="U53" i="7"/>
  <c r="M51" i="11" s="1"/>
  <c r="Y82" i="7"/>
  <c r="O80" i="11" s="1"/>
  <c r="AA66" i="7"/>
  <c r="P64" i="11" s="1"/>
  <c r="AC60" i="7"/>
  <c r="Q58" i="11" s="1"/>
  <c r="Q53" i="7"/>
  <c r="K51" i="11" s="1"/>
  <c r="I8" i="8"/>
  <c r="V8" i="14" s="1"/>
  <c r="W35" i="8"/>
  <c r="AC35" i="14" s="1"/>
  <c r="AC107" i="7"/>
  <c r="Q105" i="11" s="1"/>
  <c r="Y49" i="8"/>
  <c r="AD49" i="14" s="1"/>
  <c r="S50" i="8"/>
  <c r="AA50" i="14" s="1"/>
  <c r="M51" i="8"/>
  <c r="X51" i="14" s="1"/>
  <c r="AC51" i="8"/>
  <c r="AF51" i="14" s="1"/>
  <c r="K49" i="8"/>
  <c r="W49" i="14" s="1"/>
  <c r="AA49" i="8"/>
  <c r="AE49" i="14" s="1"/>
  <c r="U50" i="8"/>
  <c r="AB50" i="14" s="1"/>
  <c r="O51" i="8"/>
  <c r="Y51" i="14" s="1"/>
  <c r="AE51" i="8"/>
  <c r="AG51" i="14" s="1"/>
  <c r="M49" i="8"/>
  <c r="X49" i="14" s="1"/>
  <c r="AC49" i="8"/>
  <c r="AF49" i="14" s="1"/>
  <c r="W50" i="8"/>
  <c r="AC50" i="14" s="1"/>
  <c r="Q51" i="8"/>
  <c r="Z51" i="14" s="1"/>
  <c r="O49" i="8"/>
  <c r="Y49" i="14" s="1"/>
  <c r="AE49" i="8"/>
  <c r="AG49" i="14" s="1"/>
  <c r="Y50" i="8"/>
  <c r="AD50" i="14" s="1"/>
  <c r="S51" i="8"/>
  <c r="AA51" i="14" s="1"/>
  <c r="Q49" i="8"/>
  <c r="Z49" i="14" s="1"/>
  <c r="K50" i="8"/>
  <c r="W50" i="14" s="1"/>
  <c r="AA50" i="8"/>
  <c r="AE50" i="14" s="1"/>
  <c r="U51" i="8"/>
  <c r="AB51" i="14" s="1"/>
  <c r="I49" i="8"/>
  <c r="V49" i="14" s="1"/>
  <c r="S49" i="8"/>
  <c r="AA49" i="14" s="1"/>
  <c r="M50" i="8"/>
  <c r="X50" i="14" s="1"/>
  <c r="AC50" i="8"/>
  <c r="AF50" i="14" s="1"/>
  <c r="W51" i="8"/>
  <c r="AC51" i="14" s="1"/>
  <c r="I50" i="8"/>
  <c r="V50" i="14" s="1"/>
  <c r="AA51" i="8"/>
  <c r="AE51" i="14" s="1"/>
  <c r="AE16" i="8"/>
  <c r="AG16" i="14" s="1"/>
  <c r="AE30" i="8"/>
  <c r="AG30" i="14" s="1"/>
  <c r="AC13" i="8"/>
  <c r="AF13" i="14" s="1"/>
  <c r="AC25" i="8"/>
  <c r="AF25" i="14" s="1"/>
  <c r="AC37" i="8"/>
  <c r="AF37" i="14" s="1"/>
  <c r="AA12" i="8"/>
  <c r="AE12" i="14" s="1"/>
  <c r="AA24" i="8"/>
  <c r="AE24" i="14" s="1"/>
  <c r="AA36" i="8"/>
  <c r="AE36" i="14" s="1"/>
  <c r="Y13" i="8"/>
  <c r="AD13" i="14" s="1"/>
  <c r="Y25" i="8"/>
  <c r="AD25" i="14" s="1"/>
  <c r="Y37" i="8"/>
  <c r="AD37" i="14" s="1"/>
  <c r="W13" i="8"/>
  <c r="AC13" i="14" s="1"/>
  <c r="W25" i="8"/>
  <c r="AC25" i="14" s="1"/>
  <c r="W37" i="8"/>
  <c r="AC37" i="14" s="1"/>
  <c r="U26" i="8"/>
  <c r="AB26" i="14" s="1"/>
  <c r="U45" i="8"/>
  <c r="AB45" i="14" s="1"/>
  <c r="S11" i="8"/>
  <c r="AA11" i="14" s="1"/>
  <c r="S21" i="8"/>
  <c r="AA21" i="14" s="1"/>
  <c r="S35" i="8"/>
  <c r="AA35" i="14" s="1"/>
  <c r="Q12" i="8"/>
  <c r="Z12" i="14" s="1"/>
  <c r="Q24" i="8"/>
  <c r="Z24" i="14" s="1"/>
  <c r="Q36" i="8"/>
  <c r="Z36" i="14" s="1"/>
  <c r="O8" i="8"/>
  <c r="Y8" i="14" s="1"/>
  <c r="O20" i="8"/>
  <c r="Y20" i="14" s="1"/>
  <c r="O32" i="8"/>
  <c r="Y32" i="14" s="1"/>
  <c r="M16" i="8"/>
  <c r="X16" i="14" s="1"/>
  <c r="M30" i="8"/>
  <c r="X30" i="14" s="1"/>
  <c r="K27" i="8"/>
  <c r="W27" i="14" s="1"/>
  <c r="K46" i="8"/>
  <c r="W46" i="14" s="1"/>
  <c r="U7" i="8"/>
  <c r="AB7" i="14" s="1"/>
  <c r="I12" i="8"/>
  <c r="V12" i="14" s="1"/>
  <c r="I24" i="8"/>
  <c r="V24" i="14" s="1"/>
  <c r="I36" i="8"/>
  <c r="V36" i="14" s="1"/>
  <c r="U49" i="8"/>
  <c r="AB49" i="14" s="1"/>
  <c r="AE17" i="8"/>
  <c r="AG17" i="14" s="1"/>
  <c r="AE31" i="8"/>
  <c r="AG31" i="14" s="1"/>
  <c r="AC26" i="8"/>
  <c r="AF26" i="14" s="1"/>
  <c r="AC45" i="8"/>
  <c r="AF45" i="14" s="1"/>
  <c r="AA13" i="8"/>
  <c r="AE13" i="14" s="1"/>
  <c r="AA25" i="8"/>
  <c r="AE25" i="14" s="1"/>
  <c r="AA37" i="8"/>
  <c r="AE37" i="14" s="1"/>
  <c r="Y26" i="8"/>
  <c r="AD26" i="14" s="1"/>
  <c r="Y45" i="8"/>
  <c r="AD45" i="14" s="1"/>
  <c r="W26" i="8"/>
  <c r="AC26" i="14" s="1"/>
  <c r="W45" i="8"/>
  <c r="AC45" i="14" s="1"/>
  <c r="U27" i="8"/>
  <c r="AB27" i="14" s="1"/>
  <c r="U46" i="8"/>
  <c r="AB46" i="14" s="1"/>
  <c r="S12" i="8"/>
  <c r="AA12" i="14" s="1"/>
  <c r="S24" i="8"/>
  <c r="AA24" i="14" s="1"/>
  <c r="S36" i="8"/>
  <c r="AA36" i="14" s="1"/>
  <c r="Q13" i="8"/>
  <c r="Z13" i="14" s="1"/>
  <c r="Q25" i="8"/>
  <c r="Z25" i="14" s="1"/>
  <c r="Q37" i="8"/>
  <c r="Z37" i="14" s="1"/>
  <c r="O11" i="8"/>
  <c r="Y11" i="14" s="1"/>
  <c r="O21" i="8"/>
  <c r="Y21" i="14" s="1"/>
  <c r="O35" i="8"/>
  <c r="Y35" i="14" s="1"/>
  <c r="M17" i="8"/>
  <c r="X17" i="14" s="1"/>
  <c r="M31" i="8"/>
  <c r="X31" i="14" s="1"/>
  <c r="K16" i="8"/>
  <c r="W16" i="14" s="1"/>
  <c r="K30" i="8"/>
  <c r="W30" i="14" s="1"/>
  <c r="S7" i="8"/>
  <c r="AA7" i="14" s="1"/>
  <c r="I13" i="8"/>
  <c r="V13" i="14" s="1"/>
  <c r="I25" i="8"/>
  <c r="V25" i="14" s="1"/>
  <c r="I37" i="8"/>
  <c r="V37" i="14" s="1"/>
  <c r="W49" i="8"/>
  <c r="AC49" i="14" s="1"/>
  <c r="AE8" i="8"/>
  <c r="AG8" i="14" s="1"/>
  <c r="AE20" i="8"/>
  <c r="AG20" i="14" s="1"/>
  <c r="AE32" i="8"/>
  <c r="AG32" i="14" s="1"/>
  <c r="AC27" i="8"/>
  <c r="AF27" i="14" s="1"/>
  <c r="AC46" i="8"/>
  <c r="AF46" i="14" s="1"/>
  <c r="AA26" i="8"/>
  <c r="AE26" i="14" s="1"/>
  <c r="AA45" i="8"/>
  <c r="AE45" i="14" s="1"/>
  <c r="Y27" i="8"/>
  <c r="AD27" i="14" s="1"/>
  <c r="Y46" i="8"/>
  <c r="AD46" i="14" s="1"/>
  <c r="W27" i="8"/>
  <c r="AC27" i="14" s="1"/>
  <c r="W46" i="8"/>
  <c r="AC46" i="14" s="1"/>
  <c r="U16" i="8"/>
  <c r="AB16" i="14" s="1"/>
  <c r="U30" i="8"/>
  <c r="AB30" i="14" s="1"/>
  <c r="S13" i="8"/>
  <c r="AA13" i="14" s="1"/>
  <c r="S25" i="8"/>
  <c r="AA25" i="14" s="1"/>
  <c r="S37" i="8"/>
  <c r="AA37" i="14" s="1"/>
  <c r="Q26" i="8"/>
  <c r="Z26" i="14" s="1"/>
  <c r="Q45" i="8"/>
  <c r="Z45" i="14" s="1"/>
  <c r="O12" i="8"/>
  <c r="Y12" i="14" s="1"/>
  <c r="O24" i="8"/>
  <c r="Y24" i="14" s="1"/>
  <c r="O36" i="8"/>
  <c r="Y36" i="14" s="1"/>
  <c r="M8" i="8"/>
  <c r="X8" i="14" s="1"/>
  <c r="M20" i="8"/>
  <c r="X20" i="14" s="1"/>
  <c r="M32" i="8"/>
  <c r="X32" i="14" s="1"/>
  <c r="K17" i="8"/>
  <c r="W17" i="14" s="1"/>
  <c r="K31" i="8"/>
  <c r="W31" i="14" s="1"/>
  <c r="O50" i="8"/>
  <c r="Y50" i="14" s="1"/>
  <c r="AE11" i="8"/>
  <c r="AG11" i="14" s="1"/>
  <c r="AE21" i="8"/>
  <c r="AG21" i="14" s="1"/>
  <c r="AE35" i="8"/>
  <c r="AG35" i="14" s="1"/>
  <c r="AC16" i="8"/>
  <c r="AF16" i="14" s="1"/>
  <c r="AC30" i="8"/>
  <c r="AF30" i="14" s="1"/>
  <c r="AA27" i="8"/>
  <c r="AE27" i="14" s="1"/>
  <c r="AA46" i="8"/>
  <c r="AE46" i="14" s="1"/>
  <c r="Y16" i="8"/>
  <c r="AD16" i="14" s="1"/>
  <c r="Y30" i="8"/>
  <c r="AD30" i="14" s="1"/>
  <c r="W16" i="8"/>
  <c r="AC16" i="14" s="1"/>
  <c r="W30" i="8"/>
  <c r="AC30" i="14" s="1"/>
  <c r="U17" i="8"/>
  <c r="AB17" i="14" s="1"/>
  <c r="U31" i="8"/>
  <c r="AB31" i="14" s="1"/>
  <c r="S26" i="8"/>
  <c r="AA26" i="14" s="1"/>
  <c r="S45" i="8"/>
  <c r="AA45" i="14" s="1"/>
  <c r="Q27" i="8"/>
  <c r="Z27" i="14" s="1"/>
  <c r="Q46" i="8"/>
  <c r="Z46" i="14" s="1"/>
  <c r="O13" i="8"/>
  <c r="Y13" i="14" s="1"/>
  <c r="O25" i="8"/>
  <c r="Y25" i="14" s="1"/>
  <c r="O37" i="8"/>
  <c r="Y37" i="14" s="1"/>
  <c r="M11" i="8"/>
  <c r="X11" i="14" s="1"/>
  <c r="M21" i="8"/>
  <c r="X21" i="14" s="1"/>
  <c r="M35" i="8"/>
  <c r="X35" i="14" s="1"/>
  <c r="K8" i="8"/>
  <c r="W8" i="14" s="1"/>
  <c r="K20" i="8"/>
  <c r="W20" i="14" s="1"/>
  <c r="K32" i="8"/>
  <c r="W32" i="14" s="1"/>
  <c r="AE7" i="8"/>
  <c r="AG7" i="14" s="1"/>
  <c r="O7" i="8"/>
  <c r="Y7" i="14" s="1"/>
  <c r="I27" i="8"/>
  <c r="V27" i="14" s="1"/>
  <c r="I46" i="8"/>
  <c r="V46" i="14" s="1"/>
  <c r="Q50" i="8"/>
  <c r="Z50" i="14" s="1"/>
  <c r="AE50" i="8"/>
  <c r="AG50" i="14" s="1"/>
  <c r="AE13" i="8"/>
  <c r="AG13" i="14" s="1"/>
  <c r="AE25" i="8"/>
  <c r="AG25" i="14" s="1"/>
  <c r="AE37" i="8"/>
  <c r="AG37" i="14" s="1"/>
  <c r="AC8" i="8"/>
  <c r="AF8" i="14" s="1"/>
  <c r="AC20" i="8"/>
  <c r="AF20" i="14" s="1"/>
  <c r="AC32" i="8"/>
  <c r="AF32" i="14" s="1"/>
  <c r="AA17" i="8"/>
  <c r="AE17" i="14" s="1"/>
  <c r="AA31" i="8"/>
  <c r="AE31" i="14" s="1"/>
  <c r="Y8" i="8"/>
  <c r="AD8" i="14" s="1"/>
  <c r="Y20" i="8"/>
  <c r="AD20" i="14" s="1"/>
  <c r="Y32" i="8"/>
  <c r="AD32" i="14" s="1"/>
  <c r="W8" i="8"/>
  <c r="AC8" i="14" s="1"/>
  <c r="W20" i="8"/>
  <c r="AC20" i="14" s="1"/>
  <c r="W32" i="8"/>
  <c r="AC32" i="14" s="1"/>
  <c r="U11" i="8"/>
  <c r="AB11" i="14" s="1"/>
  <c r="U21" i="8"/>
  <c r="AB21" i="14" s="1"/>
  <c r="U35" i="8"/>
  <c r="AB35" i="14" s="1"/>
  <c r="S16" i="8"/>
  <c r="AA16" i="14" s="1"/>
  <c r="S30" i="8"/>
  <c r="AA30" i="14" s="1"/>
  <c r="Q17" i="8"/>
  <c r="Z17" i="14" s="1"/>
  <c r="Q31" i="8"/>
  <c r="Z31" i="14" s="1"/>
  <c r="O27" i="8"/>
  <c r="Y27" i="14" s="1"/>
  <c r="O46" i="8"/>
  <c r="Y46" i="14" s="1"/>
  <c r="M13" i="8"/>
  <c r="X13" i="14" s="1"/>
  <c r="M25" i="8"/>
  <c r="X25" i="14" s="1"/>
  <c r="M37" i="8"/>
  <c r="X37" i="14" s="1"/>
  <c r="K12" i="8"/>
  <c r="W12" i="14" s="1"/>
  <c r="K24" i="8"/>
  <c r="W24" i="14" s="1"/>
  <c r="K36" i="8"/>
  <c r="W36" i="14" s="1"/>
  <c r="AA7" i="8"/>
  <c r="AE7" i="14" s="1"/>
  <c r="K7" i="8"/>
  <c r="W7" i="14" s="1"/>
  <c r="I17" i="8"/>
  <c r="V17" i="14" s="1"/>
  <c r="I31" i="8"/>
  <c r="V31" i="14" s="1"/>
  <c r="K51" i="8"/>
  <c r="W51" i="14" s="1"/>
  <c r="AE45" i="8"/>
  <c r="AG45" i="14" s="1"/>
  <c r="AC31" i="8"/>
  <c r="AF31" i="14" s="1"/>
  <c r="AA21" i="8"/>
  <c r="AE21" i="14" s="1"/>
  <c r="Y21" i="8"/>
  <c r="AD21" i="14" s="1"/>
  <c r="W17" i="8"/>
  <c r="AC17" i="14" s="1"/>
  <c r="U13" i="8"/>
  <c r="AB13" i="14" s="1"/>
  <c r="S46" i="8"/>
  <c r="AA46" i="14" s="1"/>
  <c r="Q35" i="8"/>
  <c r="Z35" i="14" s="1"/>
  <c r="O30" i="8"/>
  <c r="Y30" i="14" s="1"/>
  <c r="M24" i="8"/>
  <c r="X24" i="14" s="1"/>
  <c r="Y7" i="8"/>
  <c r="AD7" i="14" s="1"/>
  <c r="I20" i="8"/>
  <c r="V20" i="14" s="1"/>
  <c r="Y51" i="8"/>
  <c r="AD51" i="14" s="1"/>
  <c r="AE12" i="8"/>
  <c r="AG12" i="14" s="1"/>
  <c r="AE46" i="8"/>
  <c r="AG46" i="14" s="1"/>
  <c r="AC35" i="8"/>
  <c r="AF35" i="14" s="1"/>
  <c r="AA30" i="8"/>
  <c r="AE30" i="14" s="1"/>
  <c r="Y24" i="8"/>
  <c r="AD24" i="14" s="1"/>
  <c r="W21" i="8"/>
  <c r="AC21" i="14" s="1"/>
  <c r="U20" i="8"/>
  <c r="AB20" i="14" s="1"/>
  <c r="S8" i="8"/>
  <c r="AA8" i="14" s="1"/>
  <c r="Q8" i="8"/>
  <c r="Z8" i="14" s="1"/>
  <c r="O31" i="8"/>
  <c r="Y31" i="14" s="1"/>
  <c r="M26" i="8"/>
  <c r="X26" i="14" s="1"/>
  <c r="K21" i="8"/>
  <c r="W21" i="14" s="1"/>
  <c r="W7" i="8"/>
  <c r="AC7" i="14" s="1"/>
  <c r="I21" i="8"/>
  <c r="V21" i="14" s="1"/>
  <c r="AC36" i="8"/>
  <c r="AF36" i="14" s="1"/>
  <c r="AA32" i="8"/>
  <c r="AE32" i="14" s="1"/>
  <c r="Y31" i="8"/>
  <c r="AD31" i="14" s="1"/>
  <c r="W24" i="8"/>
  <c r="AC24" i="14" s="1"/>
  <c r="U24" i="8"/>
  <c r="AB24" i="14" s="1"/>
  <c r="Q11" i="8"/>
  <c r="Z11" i="14" s="1"/>
  <c r="O45" i="8"/>
  <c r="Y45" i="14" s="1"/>
  <c r="M27" i="8"/>
  <c r="X27" i="14" s="1"/>
  <c r="K25" i="8"/>
  <c r="W25" i="14" s="1"/>
  <c r="Q7" i="8"/>
  <c r="Z7" i="14" s="1"/>
  <c r="I26" i="8"/>
  <c r="V26" i="14" s="1"/>
  <c r="I7" i="8"/>
  <c r="V7" i="14" s="1"/>
  <c r="AC11" i="8"/>
  <c r="AF11" i="14" s="1"/>
  <c r="AA35" i="8"/>
  <c r="AE35" i="14" s="1"/>
  <c r="Y35" i="8"/>
  <c r="AD35" i="14" s="1"/>
  <c r="W31" i="8"/>
  <c r="AC31" i="14" s="1"/>
  <c r="U25" i="8"/>
  <c r="AB25" i="14" s="1"/>
  <c r="S17" i="8"/>
  <c r="AA17" i="14" s="1"/>
  <c r="Q16" i="8"/>
  <c r="Z16" i="14" s="1"/>
  <c r="M36" i="8"/>
  <c r="X36" i="14" s="1"/>
  <c r="K26" i="8"/>
  <c r="W26" i="14" s="1"/>
  <c r="M7" i="8"/>
  <c r="X7" i="14" s="1"/>
  <c r="I30" i="8"/>
  <c r="V30" i="14" s="1"/>
  <c r="AE26" i="8"/>
  <c r="AG26" i="14" s="1"/>
  <c r="AC17" i="8"/>
  <c r="AF17" i="14" s="1"/>
  <c r="AA11" i="8"/>
  <c r="AE11" i="14" s="1"/>
  <c r="Y11" i="8"/>
  <c r="AD11" i="14" s="1"/>
  <c r="W36" i="8"/>
  <c r="AC36" i="14" s="1"/>
  <c r="U36" i="8"/>
  <c r="AB36" i="14" s="1"/>
  <c r="S27" i="8"/>
  <c r="AA27" i="14" s="1"/>
  <c r="Q21" i="8"/>
  <c r="Z21" i="14" s="1"/>
  <c r="O16" i="8"/>
  <c r="Y16" i="14" s="1"/>
  <c r="M12" i="8"/>
  <c r="X12" i="14" s="1"/>
  <c r="M46" i="8"/>
  <c r="X46" i="14" s="1"/>
  <c r="K37" i="8"/>
  <c r="W37" i="14" s="1"/>
  <c r="I11" i="8"/>
  <c r="V11" i="14" s="1"/>
  <c r="I35" i="8"/>
  <c r="V35" i="14" s="1"/>
  <c r="AE27" i="8"/>
  <c r="AG27" i="14" s="1"/>
  <c r="AC21" i="8"/>
  <c r="AF21" i="14" s="1"/>
  <c r="AA16" i="8"/>
  <c r="AE16" i="14" s="1"/>
  <c r="Y12" i="8"/>
  <c r="AD12" i="14" s="1"/>
  <c r="W11" i="8"/>
  <c r="AC11" i="14" s="1"/>
  <c r="U8" i="8"/>
  <c r="AB8" i="14" s="1"/>
  <c r="U37" i="8"/>
  <c r="AB37" i="14" s="1"/>
  <c r="S31" i="8"/>
  <c r="AA31" i="14" s="1"/>
  <c r="Q30" i="8"/>
  <c r="Z30" i="14" s="1"/>
  <c r="O17" i="8"/>
  <c r="Y17" i="14" s="1"/>
  <c r="K11" i="8"/>
  <c r="W11" i="14" s="1"/>
  <c r="K45" i="8"/>
  <c r="W45" i="14" s="1"/>
  <c r="I45" i="8"/>
  <c r="V45" i="14" s="1"/>
  <c r="K11" i="7"/>
  <c r="H9" i="11" s="1"/>
  <c r="U7" i="7"/>
  <c r="M5" i="11" s="1"/>
  <c r="M80" i="7"/>
  <c r="I78" i="11" s="1"/>
  <c r="M60" i="7"/>
  <c r="I58" i="11" s="1"/>
  <c r="M50" i="7"/>
  <c r="I48" i="11" s="1"/>
  <c r="M40" i="7"/>
  <c r="I38" i="11" s="1"/>
  <c r="M30" i="7"/>
  <c r="I28" i="11" s="1"/>
  <c r="M18" i="7"/>
  <c r="I16" i="11" s="1"/>
  <c r="M8" i="7"/>
  <c r="I6" i="11" s="1"/>
  <c r="O63" i="7"/>
  <c r="J61" i="11" s="1"/>
  <c r="O53" i="7"/>
  <c r="J51" i="11" s="1"/>
  <c r="O43" i="7"/>
  <c r="J41" i="11" s="1"/>
  <c r="O33" i="7"/>
  <c r="J31" i="11" s="1"/>
  <c r="O23" i="7"/>
  <c r="J21" i="11" s="1"/>
  <c r="O11" i="7"/>
  <c r="J9" i="11" s="1"/>
  <c r="Q42" i="7"/>
  <c r="K40" i="11" s="1"/>
  <c r="Q32" i="7"/>
  <c r="K30" i="11" s="1"/>
  <c r="Q21" i="7"/>
  <c r="K19" i="11" s="1"/>
  <c r="S46" i="7"/>
  <c r="L44" i="11" s="1"/>
  <c r="S35" i="7"/>
  <c r="L33" i="11" s="1"/>
  <c r="S24" i="7"/>
  <c r="L22" i="11" s="1"/>
  <c r="S11" i="7"/>
  <c r="L9" i="11" s="1"/>
  <c r="U44" i="7"/>
  <c r="M42" i="11" s="1"/>
  <c r="U33" i="7"/>
  <c r="M31" i="11" s="1"/>
  <c r="U22" i="7"/>
  <c r="M20" i="11" s="1"/>
  <c r="U8" i="7"/>
  <c r="M6" i="11" s="1"/>
  <c r="W41" i="7"/>
  <c r="N39" i="11" s="1"/>
  <c r="W30" i="7"/>
  <c r="N28" i="11" s="1"/>
  <c r="W17" i="7"/>
  <c r="N15" i="11" s="1"/>
  <c r="Y49" i="7"/>
  <c r="O47" i="11" s="1"/>
  <c r="Y36" i="7"/>
  <c r="O34" i="11" s="1"/>
  <c r="Y25" i="7"/>
  <c r="O23" i="11" s="1"/>
  <c r="Y11" i="7"/>
  <c r="O9" i="11" s="1"/>
  <c r="AA44" i="7"/>
  <c r="P42" i="11" s="1"/>
  <c r="AA33" i="7"/>
  <c r="P31" i="11" s="1"/>
  <c r="AA22" i="7"/>
  <c r="P20" i="11" s="1"/>
  <c r="AA9" i="7"/>
  <c r="P7" i="11" s="1"/>
  <c r="AC43" i="7"/>
  <c r="Q41" i="11" s="1"/>
  <c r="AC32" i="7"/>
  <c r="Q30" i="11" s="1"/>
  <c r="AC18" i="7"/>
  <c r="Q16" i="11" s="1"/>
  <c r="AE55" i="7"/>
  <c r="R53" i="11" s="1"/>
  <c r="AE39" i="7"/>
  <c r="R37" i="11" s="1"/>
  <c r="AE15" i="7"/>
  <c r="R13" i="11" s="1"/>
  <c r="U52" i="7"/>
  <c r="M50" i="11" s="1"/>
  <c r="Y65" i="7"/>
  <c r="O63" i="11" s="1"/>
  <c r="AA64" i="7"/>
  <c r="P62" i="11" s="1"/>
  <c r="AC55" i="7"/>
  <c r="Q53" i="11" s="1"/>
  <c r="Q50" i="7"/>
  <c r="K48" i="11" s="1"/>
  <c r="AC7" i="8"/>
  <c r="AF7" i="14" s="1"/>
  <c r="Q32" i="8"/>
  <c r="Z32" i="14" s="1"/>
  <c r="W12" i="8"/>
  <c r="AC12" i="14" s="1"/>
  <c r="AE36" i="8"/>
  <c r="AG36" i="14" s="1"/>
  <c r="AE105" i="7"/>
  <c r="R103" i="11" s="1"/>
  <c r="W40" i="7"/>
  <c r="N38" i="11" s="1"/>
  <c r="W27" i="7"/>
  <c r="N25" i="11" s="1"/>
  <c r="W16" i="7"/>
  <c r="N14" i="11" s="1"/>
  <c r="Y46" i="7"/>
  <c r="O44" i="11" s="1"/>
  <c r="Y35" i="7"/>
  <c r="O33" i="11" s="1"/>
  <c r="Y23" i="7"/>
  <c r="O21" i="11" s="1"/>
  <c r="Y10" i="7"/>
  <c r="O8" i="11" s="1"/>
  <c r="AA43" i="7"/>
  <c r="P41" i="11" s="1"/>
  <c r="AA32" i="7"/>
  <c r="P30" i="11" s="1"/>
  <c r="AA21" i="7"/>
  <c r="P19" i="11" s="1"/>
  <c r="AA8" i="7"/>
  <c r="P6" i="11" s="1"/>
  <c r="AC42" i="7"/>
  <c r="Q40" i="11" s="1"/>
  <c r="AC30" i="7"/>
  <c r="Q28" i="11" s="1"/>
  <c r="AC17" i="7"/>
  <c r="Q15" i="11" s="1"/>
  <c r="AE54" i="7"/>
  <c r="R52" i="11" s="1"/>
  <c r="AE36" i="7"/>
  <c r="R34" i="11" s="1"/>
  <c r="AE8" i="7"/>
  <c r="R6" i="11" s="1"/>
  <c r="W81" i="7"/>
  <c r="N79" i="11" s="1"/>
  <c r="Y64" i="7"/>
  <c r="O62" i="11" s="1"/>
  <c r="AA57" i="7"/>
  <c r="P55" i="11" s="1"/>
  <c r="AE80" i="7"/>
  <c r="R78" i="11" s="1"/>
  <c r="S67" i="7"/>
  <c r="L65" i="11" s="1"/>
  <c r="K35" i="8"/>
  <c r="W35" i="14" s="1"/>
  <c r="Q20" i="8"/>
  <c r="Z20" i="14" s="1"/>
  <c r="Y36" i="8"/>
  <c r="AD36" i="14" s="1"/>
  <c r="AE24" i="8"/>
  <c r="AG24" i="14" s="1"/>
  <c r="AC119" i="7"/>
  <c r="Q117" i="11" s="1"/>
  <c r="K103" i="7"/>
  <c r="H101" i="11" s="1"/>
  <c r="S23" i="7"/>
  <c r="L21" i="11" s="1"/>
  <c r="S10" i="7"/>
  <c r="L8" i="11" s="1"/>
  <c r="U43" i="7"/>
  <c r="M41" i="11" s="1"/>
  <c r="U32" i="7"/>
  <c r="M30" i="11" s="1"/>
  <c r="U18" i="7"/>
  <c r="M16" i="11" s="1"/>
  <c r="I7" i="7"/>
  <c r="G5" i="11" s="1"/>
  <c r="I81" i="7"/>
  <c r="G79" i="11" s="1"/>
  <c r="I61" i="7"/>
  <c r="G59" i="11" s="1"/>
  <c r="I51" i="7"/>
  <c r="G49" i="11" s="1"/>
  <c r="I41" i="7"/>
  <c r="G39" i="11" s="1"/>
  <c r="I31" i="7"/>
  <c r="G29" i="11" s="1"/>
  <c r="I21" i="7"/>
  <c r="G19" i="11" s="1"/>
  <c r="K81" i="7"/>
  <c r="H79" i="11" s="1"/>
  <c r="K61" i="7"/>
  <c r="H59" i="11" s="1"/>
  <c r="K51" i="7"/>
  <c r="H49" i="11" s="1"/>
  <c r="K41" i="7"/>
  <c r="H39" i="11" s="1"/>
  <c r="K31" i="7"/>
  <c r="H29" i="11" s="1"/>
  <c r="K21" i="7"/>
  <c r="H19" i="11" s="1"/>
  <c r="K9" i="7"/>
  <c r="H7" i="11" s="1"/>
  <c r="Y7" i="7"/>
  <c r="O5" i="11" s="1"/>
  <c r="M66" i="7"/>
  <c r="I64" i="11" s="1"/>
  <c r="M56" i="7"/>
  <c r="I54" i="11" s="1"/>
  <c r="M46" i="7"/>
  <c r="I44" i="11" s="1"/>
  <c r="M36" i="7"/>
  <c r="I34" i="11" s="1"/>
  <c r="M26" i="7"/>
  <c r="I24" i="11" s="1"/>
  <c r="M16" i="7"/>
  <c r="I14" i="11" s="1"/>
  <c r="O81" i="7"/>
  <c r="J79" i="11" s="1"/>
  <c r="O61" i="7"/>
  <c r="J59" i="11" s="1"/>
  <c r="O51" i="7"/>
  <c r="J49" i="11" s="1"/>
  <c r="O41" i="7"/>
  <c r="J39" i="11" s="1"/>
  <c r="O31" i="7"/>
  <c r="J29" i="11" s="1"/>
  <c r="O21" i="7"/>
  <c r="J19" i="11" s="1"/>
  <c r="O9" i="7"/>
  <c r="J7" i="11" s="1"/>
  <c r="Q40" i="7"/>
  <c r="K38" i="11" s="1"/>
  <c r="Q27" i="7"/>
  <c r="K25" i="11" s="1"/>
  <c r="Q16" i="7"/>
  <c r="K14" i="11" s="1"/>
  <c r="S44" i="7"/>
  <c r="L42" i="11" s="1"/>
  <c r="S33" i="7"/>
  <c r="L31" i="11" s="1"/>
  <c r="S22" i="7"/>
  <c r="L20" i="11" s="1"/>
  <c r="S9" i="7"/>
  <c r="L7" i="11" s="1"/>
  <c r="U42" i="7"/>
  <c r="M40" i="11" s="1"/>
  <c r="U30" i="7"/>
  <c r="M28" i="11" s="1"/>
  <c r="U17" i="7"/>
  <c r="M15" i="11" s="1"/>
  <c r="W50" i="7"/>
  <c r="N48" i="11" s="1"/>
  <c r="W39" i="7"/>
  <c r="N37" i="11" s="1"/>
  <c r="W26" i="7"/>
  <c r="N24" i="11" s="1"/>
  <c r="W15" i="7"/>
  <c r="N13" i="11" s="1"/>
  <c r="Y45" i="7"/>
  <c r="O43" i="11" s="1"/>
  <c r="Y33" i="7"/>
  <c r="O31" i="11" s="1"/>
  <c r="Y22" i="7"/>
  <c r="O20" i="11" s="1"/>
  <c r="Y9" i="7"/>
  <c r="O7" i="11" s="1"/>
  <c r="AA42" i="7"/>
  <c r="P40" i="11" s="1"/>
  <c r="AA31" i="7"/>
  <c r="P29" i="11" s="1"/>
  <c r="AA18" i="7"/>
  <c r="P16" i="11" s="1"/>
  <c r="AC52" i="7"/>
  <c r="Q50" i="11" s="1"/>
  <c r="AC40" i="7"/>
  <c r="Q38" i="11" s="1"/>
  <c r="AC27" i="7"/>
  <c r="Q25" i="11" s="1"/>
  <c r="AC16" i="7"/>
  <c r="Q14" i="11" s="1"/>
  <c r="AE50" i="7"/>
  <c r="R48" i="11" s="1"/>
  <c r="AE35" i="7"/>
  <c r="R33" i="11" s="1"/>
  <c r="U82" i="7"/>
  <c r="M80" i="11" s="1"/>
  <c r="W64" i="7"/>
  <c r="N62" i="11" s="1"/>
  <c r="Y62" i="7"/>
  <c r="O60" i="11" s="1"/>
  <c r="AA56" i="7"/>
  <c r="P54" i="11" s="1"/>
  <c r="AE65" i="7"/>
  <c r="R63" i="11" s="1"/>
  <c r="S64" i="7"/>
  <c r="L62" i="11" s="1"/>
  <c r="K13" i="8"/>
  <c r="W13" i="14" s="1"/>
  <c r="S32" i="8"/>
  <c r="AA32" i="14" s="1"/>
  <c r="Y17" i="8"/>
  <c r="AD17" i="14" s="1"/>
  <c r="AA118" i="7"/>
  <c r="P116" i="11" s="1"/>
  <c r="M101" i="7"/>
  <c r="I99" i="11" s="1"/>
  <c r="D101" i="19"/>
  <c r="D113" i="19"/>
  <c r="D117" i="19"/>
  <c r="D120" i="19"/>
  <c r="D125" i="19"/>
  <c r="D128" i="19"/>
  <c r="D133" i="19"/>
  <c r="D97" i="19"/>
  <c r="D130" i="19"/>
  <c r="D122" i="19"/>
  <c r="D103" i="19"/>
  <c r="D119" i="19"/>
  <c r="D112" i="19"/>
  <c r="D99" i="19"/>
  <c r="D132" i="19"/>
  <c r="D124" i="19"/>
  <c r="D116" i="19"/>
  <c r="D105" i="19"/>
  <c r="D129" i="19"/>
  <c r="D121" i="19"/>
  <c r="D102" i="19"/>
  <c r="D134" i="19"/>
  <c r="D118" i="19"/>
  <c r="D98" i="19"/>
  <c r="D131" i="19"/>
  <c r="D123" i="19"/>
  <c r="D104" i="19"/>
  <c r="D27" i="19"/>
  <c r="D23" i="19"/>
  <c r="D35" i="19"/>
  <c r="D93" i="19"/>
  <c r="D79" i="19"/>
  <c r="D67" i="19"/>
  <c r="D63" i="19"/>
  <c r="D43" i="19"/>
  <c r="D92" i="19"/>
  <c r="D78" i="19"/>
  <c r="D74" i="19"/>
  <c r="D66" i="19"/>
  <c r="D62" i="19"/>
  <c r="D58" i="19"/>
  <c r="D54" i="19"/>
  <c r="D46" i="19"/>
  <c r="D42" i="19"/>
  <c r="D38" i="19"/>
  <c r="D34" i="19"/>
  <c r="D30" i="19"/>
  <c r="D26" i="19"/>
  <c r="D22" i="19"/>
  <c r="D75" i="19"/>
  <c r="D39" i="19"/>
  <c r="D55" i="19"/>
  <c r="D77" i="19"/>
  <c r="D73" i="19"/>
  <c r="D69" i="19"/>
  <c r="D65" i="19"/>
  <c r="D61" i="19"/>
  <c r="D57" i="19"/>
  <c r="D53" i="19"/>
  <c r="D45" i="19"/>
  <c r="D37" i="19"/>
  <c r="D33" i="19"/>
  <c r="D29" i="19"/>
  <c r="D21" i="19"/>
  <c r="D47" i="19"/>
  <c r="D51" i="19"/>
  <c r="D94" i="19"/>
  <c r="D76" i="19"/>
  <c r="D72" i="19"/>
  <c r="D68" i="19"/>
  <c r="D64" i="19"/>
  <c r="D56" i="19"/>
  <c r="D52" i="19"/>
  <c r="D48" i="19"/>
  <c r="D44" i="19"/>
  <c r="D36" i="19"/>
  <c r="D28" i="19"/>
  <c r="D20" i="19"/>
  <c r="O201" i="22" a="1"/>
  <c r="D205" i="25" a="1"/>
  <c r="D205" i="24" a="1"/>
  <c r="D198" i="24" a="1"/>
  <c r="D201" i="22" a="1"/>
  <c r="O198" i="24" a="1"/>
  <c r="O205" i="24" a="1"/>
  <c r="O205" i="25" a="1"/>
  <c r="O198" i="24" l="1"/>
  <c r="D198" i="24"/>
  <c r="O205" i="25"/>
  <c r="D205" i="25"/>
  <c r="Z207" i="25"/>
  <c r="O205" i="24"/>
  <c r="D205" i="24"/>
  <c r="Z207" i="24"/>
  <c r="D201" i="22"/>
  <c r="O201" i="22"/>
  <c r="Z203" i="22"/>
  <c r="Z204" i="22" s="1"/>
  <c r="Z205" i="22" s="1"/>
  <c r="I58" i="2"/>
  <c r="I59" i="2"/>
  <c r="I57" i="2"/>
  <c r="O202" i="22" a="1"/>
  <c r="D206" i="24" a="1"/>
  <c r="D202" i="22" a="1"/>
  <c r="O206" i="24" a="1"/>
  <c r="D206" i="25" a="1"/>
  <c r="O206" i="25" a="1"/>
  <c r="O206" i="25" l="1"/>
  <c r="D206" i="25"/>
  <c r="D206" i="24"/>
  <c r="O206" i="24"/>
  <c r="D202" i="22"/>
  <c r="O202" i="22"/>
  <c r="Z206" i="22"/>
  <c r="I61" i="2"/>
  <c r="I62" i="2"/>
  <c r="I60" i="2"/>
  <c r="I56" i="2"/>
  <c r="I55" i="2"/>
  <c r="O70" i="2"/>
  <c r="O207" i="24" a="1"/>
  <c r="D205" i="22" a="1"/>
  <c r="D207" i="25" a="1"/>
  <c r="O205" i="22" a="1"/>
  <c r="D207" i="24" a="1"/>
  <c r="O207" i="25" a="1"/>
  <c r="O207" i="25" l="1"/>
  <c r="D207" i="25"/>
  <c r="O207" i="24"/>
  <c r="D207" i="24"/>
  <c r="O205" i="22"/>
  <c r="D205" i="22"/>
  <c r="Z207" i="22"/>
  <c r="O62" i="2"/>
  <c r="O63" i="2"/>
  <c r="O64" i="2"/>
  <c r="O61" i="2"/>
  <c r="O58" i="2"/>
  <c r="O59" i="2"/>
  <c r="O60" i="2"/>
  <c r="O57" i="2"/>
  <c r="O67" i="2"/>
  <c r="O68" i="2"/>
  <c r="O69" i="2"/>
  <c r="D206" i="22" a="1"/>
  <c r="O206" i="22" a="1"/>
  <c r="D206" i="22" l="1"/>
  <c r="O206" i="22"/>
  <c r="O66" i="2"/>
  <c r="O55" i="2"/>
  <c r="O56" i="2"/>
  <c r="O54" i="2"/>
  <c r="O207" i="22" a="1"/>
  <c r="D207" i="22" a="1"/>
  <c r="BO20" i="25" l="1"/>
  <c r="BO20" i="22"/>
  <c r="BO96" i="22" s="1"/>
  <c r="AV20" i="22"/>
  <c r="AV96" i="22" s="1"/>
  <c r="AV20" i="24"/>
  <c r="BO20" i="24"/>
  <c r="BO20" i="19"/>
  <c r="AV20" i="19"/>
  <c r="AV96" i="19" s="1"/>
  <c r="AV20" i="25"/>
  <c r="BO96" i="19"/>
  <c r="O207" i="22"/>
  <c r="D207" i="22"/>
  <c r="D70" i="2"/>
  <c r="C70" i="2"/>
  <c r="D69" i="2"/>
  <c r="C69" i="2"/>
  <c r="D68" i="2"/>
  <c r="I54" i="2"/>
  <c r="J46" i="2"/>
  <c r="H46" i="2"/>
  <c r="G46" i="2"/>
  <c r="F46" i="2"/>
  <c r="E46" i="2"/>
  <c r="J45" i="2"/>
  <c r="H45" i="2"/>
  <c r="G45" i="2"/>
  <c r="F45" i="2"/>
  <c r="E45" i="2"/>
  <c r="J44" i="2"/>
  <c r="H44" i="2"/>
  <c r="G44" i="2"/>
  <c r="F44" i="2"/>
  <c r="E44" i="2"/>
  <c r="J43" i="2"/>
  <c r="H43" i="2"/>
  <c r="G43" i="2"/>
  <c r="F43" i="2"/>
  <c r="E43" i="2"/>
  <c r="J42" i="2"/>
  <c r="H42" i="2"/>
  <c r="G42" i="2" s="1"/>
  <c r="F42" i="2"/>
  <c r="E42" i="2"/>
  <c r="J41" i="2"/>
  <c r="H41" i="2"/>
  <c r="G41" i="2" s="1"/>
  <c r="F41" i="2"/>
  <c r="E41" i="2"/>
  <c r="J40" i="2"/>
  <c r="H40" i="2"/>
  <c r="G40" i="2"/>
  <c r="F40" i="2"/>
  <c r="E40" i="2"/>
  <c r="J39" i="2"/>
  <c r="H39" i="2"/>
  <c r="G39" i="2"/>
  <c r="F39" i="2"/>
  <c r="E39" i="2"/>
  <c r="J38" i="2"/>
  <c r="H38" i="2"/>
  <c r="G38" i="2"/>
  <c r="F38" i="2"/>
  <c r="E38" i="2"/>
  <c r="J37" i="2"/>
  <c r="H37" i="2"/>
  <c r="G37" i="2"/>
  <c r="F37" i="2"/>
  <c r="E37" i="2"/>
  <c r="J36" i="2"/>
  <c r="H36" i="2"/>
  <c r="G36" i="2"/>
  <c r="F36" i="2"/>
  <c r="E36" i="2"/>
  <c r="H27" i="2"/>
  <c r="G27" i="2"/>
  <c r="D27" i="2"/>
  <c r="C27" i="2"/>
  <c r="H26" i="2"/>
  <c r="G26" i="2"/>
  <c r="D26" i="2"/>
  <c r="C26" i="2"/>
  <c r="H25" i="2"/>
  <c r="G25" i="2"/>
  <c r="D25" i="2"/>
  <c r="C25" i="2"/>
  <c r="J16" i="2"/>
  <c r="I16" i="2"/>
  <c r="H16" i="2"/>
  <c r="E16" i="2"/>
  <c r="D16" i="2"/>
  <c r="J15" i="2"/>
  <c r="I15" i="2"/>
  <c r="H15" i="2"/>
  <c r="E15" i="2"/>
  <c r="D15" i="2"/>
  <c r="J14" i="2"/>
  <c r="I14" i="2"/>
  <c r="H14" i="2"/>
  <c r="E14" i="2"/>
  <c r="D14" i="2"/>
  <c r="J13" i="2"/>
  <c r="I13" i="2"/>
  <c r="L24" i="21" s="1"/>
  <c r="H13" i="2"/>
  <c r="E13" i="2"/>
  <c r="D13" i="2"/>
  <c r="J12" i="2"/>
  <c r="K26" i="21" s="1"/>
  <c r="K27" i="21" s="1"/>
  <c r="I12" i="2"/>
  <c r="K24" i="21" s="1"/>
  <c r="H12" i="2"/>
  <c r="E12" i="2"/>
  <c r="D12" i="2"/>
  <c r="J11" i="2"/>
  <c r="I11" i="2"/>
  <c r="J24" i="21" s="1"/>
  <c r="H11" i="2"/>
  <c r="E11" i="2"/>
  <c r="D11" i="2"/>
  <c r="J10" i="2"/>
  <c r="I26" i="21" s="1"/>
  <c r="I27" i="21" s="1"/>
  <c r="I10" i="2"/>
  <c r="I24" i="21" s="1"/>
  <c r="H10" i="2"/>
  <c r="E10" i="2"/>
  <c r="D10" i="2"/>
  <c r="J9" i="2"/>
  <c r="I9" i="2"/>
  <c r="H24" i="21" s="1"/>
  <c r="H9" i="2"/>
  <c r="E9" i="2"/>
  <c r="H23" i="21" s="1"/>
  <c r="D9" i="2"/>
  <c r="J8" i="2"/>
  <c r="I8" i="2"/>
  <c r="G24" i="21" s="1"/>
  <c r="H8" i="2"/>
  <c r="E8" i="2"/>
  <c r="G23" i="21" s="1"/>
  <c r="D8" i="2"/>
  <c r="J7" i="2"/>
  <c r="F26" i="21" s="1"/>
  <c r="I7" i="2"/>
  <c r="F24" i="21" s="1"/>
  <c r="H7" i="2"/>
  <c r="E7" i="2"/>
  <c r="D7" i="2"/>
  <c r="J6" i="2"/>
  <c r="I6" i="2"/>
  <c r="E24" i="21" s="1"/>
  <c r="H6" i="2"/>
  <c r="E6" i="2"/>
  <c r="E23" i="21" s="1"/>
  <c r="D6" i="2"/>
  <c r="BO86" i="25" l="1"/>
  <c r="BO122" i="25"/>
  <c r="BO33" i="25"/>
  <c r="BO87" i="25"/>
  <c r="BO116" i="25"/>
  <c r="BO37" i="25"/>
  <c r="BO79" i="25"/>
  <c r="BO108" i="25"/>
  <c r="BO26" i="25"/>
  <c r="BO110" i="25"/>
  <c r="BO58" i="25"/>
  <c r="BO29" i="25"/>
  <c r="BO80" i="25"/>
  <c r="BO66" i="25"/>
  <c r="BO40" i="25"/>
  <c r="BO74" i="25"/>
  <c r="BO30" i="25"/>
  <c r="BO31" i="25"/>
  <c r="BO32" i="25"/>
  <c r="BO83" i="25"/>
  <c r="BO78" i="25"/>
  <c r="BO41" i="25"/>
  <c r="BO115" i="25"/>
  <c r="BO76" i="25"/>
  <c r="BO68" i="25"/>
  <c r="BO125" i="25"/>
  <c r="BO38" i="25"/>
  <c r="BO114" i="25"/>
  <c r="BO50" i="25"/>
  <c r="BO111" i="25"/>
  <c r="BO34" i="25"/>
  <c r="BO118" i="25"/>
  <c r="BO106" i="25"/>
  <c r="BO43" i="25"/>
  <c r="BO123" i="25"/>
  <c r="BO42" i="25"/>
  <c r="BO53" i="25"/>
  <c r="BO120" i="25"/>
  <c r="BO91" i="25"/>
  <c r="BO89" i="25"/>
  <c r="BO107" i="25"/>
  <c r="BO47" i="25"/>
  <c r="BO51" i="25"/>
  <c r="BO84" i="25"/>
  <c r="BO97" i="25"/>
  <c r="BO121" i="25"/>
  <c r="BO113" i="25"/>
  <c r="BO45" i="25"/>
  <c r="BO44" i="25"/>
  <c r="BO95" i="25"/>
  <c r="BO49" i="25"/>
  <c r="BO101" i="25"/>
  <c r="BO93" i="25"/>
  <c r="BO46" i="25"/>
  <c r="BO73" i="25"/>
  <c r="BO82" i="25"/>
  <c r="BO88" i="25"/>
  <c r="BO65" i="25"/>
  <c r="BO59" i="25"/>
  <c r="BO60" i="25"/>
  <c r="BO72" i="25"/>
  <c r="BO102" i="25"/>
  <c r="BO63" i="25"/>
  <c r="BO112" i="25"/>
  <c r="BO77" i="25"/>
  <c r="BO103" i="25"/>
  <c r="BO119" i="25"/>
  <c r="BO28" i="25"/>
  <c r="BO39" i="25"/>
  <c r="BO105" i="25"/>
  <c r="BO96" i="25"/>
  <c r="BO61" i="25"/>
  <c r="BO62" i="25"/>
  <c r="BO109" i="25"/>
  <c r="BO69" i="25"/>
  <c r="BO52" i="25"/>
  <c r="BO85" i="25"/>
  <c r="BO55" i="25"/>
  <c r="BO56" i="25"/>
  <c r="BO92" i="25"/>
  <c r="BO70" i="25"/>
  <c r="BO117" i="25"/>
  <c r="BO36" i="25"/>
  <c r="BO67" i="25"/>
  <c r="BO75" i="25"/>
  <c r="BO99" i="25"/>
  <c r="BO71" i="25"/>
  <c r="BO48" i="25"/>
  <c r="BO100" i="25"/>
  <c r="BO124" i="25"/>
  <c r="BO35" i="25"/>
  <c r="BO81" i="25"/>
  <c r="BO104" i="25"/>
  <c r="BO54" i="25"/>
  <c r="BO57" i="25"/>
  <c r="BO64" i="25"/>
  <c r="BO90" i="25"/>
  <c r="BO98" i="25"/>
  <c r="BO27" i="25"/>
  <c r="BO94" i="25"/>
  <c r="BO22" i="25"/>
  <c r="AV29" i="25"/>
  <c r="AV74" i="25"/>
  <c r="AV109" i="25"/>
  <c r="AV84" i="25"/>
  <c r="AV97" i="25"/>
  <c r="AV121" i="25"/>
  <c r="AV70" i="25"/>
  <c r="AV117" i="25"/>
  <c r="AV47" i="25"/>
  <c r="AV33" i="25"/>
  <c r="AV31" i="25"/>
  <c r="AV111" i="25"/>
  <c r="AV91" i="25"/>
  <c r="AV118" i="25"/>
  <c r="AV82" i="25"/>
  <c r="AV88" i="25"/>
  <c r="AV53" i="25"/>
  <c r="AV69" i="25"/>
  <c r="AV102" i="25"/>
  <c r="AV63" i="25"/>
  <c r="AV62" i="25"/>
  <c r="AV96" i="25"/>
  <c r="AV83" i="25"/>
  <c r="AV78" i="25"/>
  <c r="AV54" i="25"/>
  <c r="AV115" i="25"/>
  <c r="AV50" i="25"/>
  <c r="AV32" i="25"/>
  <c r="AV56" i="25"/>
  <c r="AV66" i="25"/>
  <c r="AV40" i="25"/>
  <c r="AV122" i="25"/>
  <c r="AV30" i="25"/>
  <c r="AV116" i="25"/>
  <c r="AV37" i="25"/>
  <c r="AV108" i="25"/>
  <c r="AV110" i="25"/>
  <c r="AV61" i="25"/>
  <c r="AV67" i="25"/>
  <c r="AV39" i="25"/>
  <c r="AV75" i="25"/>
  <c r="AV104" i="25"/>
  <c r="AV34" i="25"/>
  <c r="AV89" i="25"/>
  <c r="AV42" i="25"/>
  <c r="AV58" i="25"/>
  <c r="AV27" i="25"/>
  <c r="AV95" i="25"/>
  <c r="AV94" i="25"/>
  <c r="AV46" i="25"/>
  <c r="AV51" i="25"/>
  <c r="AV59" i="25"/>
  <c r="AV52" i="25"/>
  <c r="AV60" i="25"/>
  <c r="AV72" i="25"/>
  <c r="AV49" i="25"/>
  <c r="AV112" i="25"/>
  <c r="AV77" i="25"/>
  <c r="AV107" i="25"/>
  <c r="AV43" i="25"/>
  <c r="AV79" i="25"/>
  <c r="AV119" i="25"/>
  <c r="AV28" i="25"/>
  <c r="AV101" i="25"/>
  <c r="AV113" i="25"/>
  <c r="AV41" i="25"/>
  <c r="AV100" i="25"/>
  <c r="AV81" i="25"/>
  <c r="AV55" i="25"/>
  <c r="AV71" i="25"/>
  <c r="AV123" i="25"/>
  <c r="AV44" i="25"/>
  <c r="AV48" i="25"/>
  <c r="AV124" i="25"/>
  <c r="AV35" i="25"/>
  <c r="AV68" i="25"/>
  <c r="AV38" i="25"/>
  <c r="AV80" i="25"/>
  <c r="AV92" i="25"/>
  <c r="AV36" i="25"/>
  <c r="AV99" i="25"/>
  <c r="AV26" i="25"/>
  <c r="AV98" i="25"/>
  <c r="AV120" i="25"/>
  <c r="AV73" i="25"/>
  <c r="AV114" i="25"/>
  <c r="AV86" i="25"/>
  <c r="AV87" i="25"/>
  <c r="AV57" i="25"/>
  <c r="AV76" i="25"/>
  <c r="AV64" i="25"/>
  <c r="AV93" i="25"/>
  <c r="AV90" i="25"/>
  <c r="AV103" i="25"/>
  <c r="BO26" i="24"/>
  <c r="BO22" i="24"/>
  <c r="BO53" i="24"/>
  <c r="BO105" i="24"/>
  <c r="BO52" i="24"/>
  <c r="BO29" i="24"/>
  <c r="BO43" i="24"/>
  <c r="BO72" i="24"/>
  <c r="BO78" i="24"/>
  <c r="BO68" i="24"/>
  <c r="BO57" i="24"/>
  <c r="BO50" i="24"/>
  <c r="BO36" i="24"/>
  <c r="BO47" i="24"/>
  <c r="BO86" i="24"/>
  <c r="BO116" i="24"/>
  <c r="BO30" i="24"/>
  <c r="BO88" i="24"/>
  <c r="BO70" i="24"/>
  <c r="BO65" i="24"/>
  <c r="BO115" i="24"/>
  <c r="BO59" i="24"/>
  <c r="BO80" i="24"/>
  <c r="BO111" i="24"/>
  <c r="BO96" i="24"/>
  <c r="BO125" i="24"/>
  <c r="BO51" i="24"/>
  <c r="BO106" i="24"/>
  <c r="BO56" i="24"/>
  <c r="BO67" i="24"/>
  <c r="BO49" i="24"/>
  <c r="BO48" i="24"/>
  <c r="BO44" i="24"/>
  <c r="BO107" i="24"/>
  <c r="BO31" i="24"/>
  <c r="BO83" i="24"/>
  <c r="BO32" i="24"/>
  <c r="BO37" i="24"/>
  <c r="BO64" i="24"/>
  <c r="BO120" i="24"/>
  <c r="BO113" i="24"/>
  <c r="BO94" i="24"/>
  <c r="BO123" i="24"/>
  <c r="BO28" i="24"/>
  <c r="BO84" i="24"/>
  <c r="BO91" i="24"/>
  <c r="BO118" i="24"/>
  <c r="BO46" i="24"/>
  <c r="BO100" i="24"/>
  <c r="BO109" i="24"/>
  <c r="BO76" i="24"/>
  <c r="BO27" i="24"/>
  <c r="BO74" i="24"/>
  <c r="BO73" i="24"/>
  <c r="BO38" i="24"/>
  <c r="BO89" i="24"/>
  <c r="BO102" i="24"/>
  <c r="BO124" i="24"/>
  <c r="BO63" i="24"/>
  <c r="BO108" i="24"/>
  <c r="BO77" i="24"/>
  <c r="BO97" i="24"/>
  <c r="BO121" i="24"/>
  <c r="BO60" i="24"/>
  <c r="BO35" i="24"/>
  <c r="BO79" i="24"/>
  <c r="BO119" i="24"/>
  <c r="BO75" i="24"/>
  <c r="BO112" i="24"/>
  <c r="BO41" i="24"/>
  <c r="BO55" i="24"/>
  <c r="BO42" i="24"/>
  <c r="BO45" i="24"/>
  <c r="BO69" i="24"/>
  <c r="BO104" i="24"/>
  <c r="BO114" i="24"/>
  <c r="BO103" i="24"/>
  <c r="BO93" i="24"/>
  <c r="BO54" i="24"/>
  <c r="BO95" i="24"/>
  <c r="BO34" i="24"/>
  <c r="BO40" i="24"/>
  <c r="BO99" i="24"/>
  <c r="BO122" i="24"/>
  <c r="BO71" i="24"/>
  <c r="BO61" i="24"/>
  <c r="BO82" i="24"/>
  <c r="BO39" i="24"/>
  <c r="BO92" i="24"/>
  <c r="BO81" i="24"/>
  <c r="BO62" i="24"/>
  <c r="BO87" i="24"/>
  <c r="BO58" i="24"/>
  <c r="BO117" i="24"/>
  <c r="BO98" i="24"/>
  <c r="BO101" i="24"/>
  <c r="BO85" i="24"/>
  <c r="BO90" i="24"/>
  <c r="BO110" i="24"/>
  <c r="BO66" i="24"/>
  <c r="BO33" i="24"/>
  <c r="AR20" i="25"/>
  <c r="AR20" i="22"/>
  <c r="AR96" i="22" s="1"/>
  <c r="BK20" i="19"/>
  <c r="BK96" i="19" s="1"/>
  <c r="BK20" i="24"/>
  <c r="AR20" i="24"/>
  <c r="AR20" i="19"/>
  <c r="AR96" i="19" s="1"/>
  <c r="BK20" i="25"/>
  <c r="BK20" i="22"/>
  <c r="AV96" i="24"/>
  <c r="AV36" i="24"/>
  <c r="AV50" i="24"/>
  <c r="AV32" i="24"/>
  <c r="AV104" i="24"/>
  <c r="AV34" i="24"/>
  <c r="AV26" i="24"/>
  <c r="AV38" i="24"/>
  <c r="AV102" i="24"/>
  <c r="AV79" i="24"/>
  <c r="AV51" i="24"/>
  <c r="AV67" i="24"/>
  <c r="AV97" i="24"/>
  <c r="AV31" i="24"/>
  <c r="AV71" i="24"/>
  <c r="AV101" i="24"/>
  <c r="AV109" i="24"/>
  <c r="AV44" i="24"/>
  <c r="AV70" i="24"/>
  <c r="AV53" i="24"/>
  <c r="AV107" i="24"/>
  <c r="AV29" i="24"/>
  <c r="AV86" i="24"/>
  <c r="AV56" i="24"/>
  <c r="AV92" i="24"/>
  <c r="AV49" i="24"/>
  <c r="AV30" i="24"/>
  <c r="AV63" i="24"/>
  <c r="AV83" i="24"/>
  <c r="AV118" i="24"/>
  <c r="AV68" i="24"/>
  <c r="AV58" i="24"/>
  <c r="AV100" i="24"/>
  <c r="AV39" i="24"/>
  <c r="AV27" i="24"/>
  <c r="AV62" i="24"/>
  <c r="AV99" i="24"/>
  <c r="AV122" i="24"/>
  <c r="AV37" i="24"/>
  <c r="AV124" i="24"/>
  <c r="AV88" i="24"/>
  <c r="AV108" i="24"/>
  <c r="AV120" i="24"/>
  <c r="AV28" i="24"/>
  <c r="AV84" i="24"/>
  <c r="AV91" i="24"/>
  <c r="AV64" i="24"/>
  <c r="AV73" i="24"/>
  <c r="AV116" i="24"/>
  <c r="AV52" i="24"/>
  <c r="AV75" i="24"/>
  <c r="AV72" i="24"/>
  <c r="AV89" i="24"/>
  <c r="AV47" i="24"/>
  <c r="AV119" i="24"/>
  <c r="AV103" i="24"/>
  <c r="AV43" i="24"/>
  <c r="AV77" i="24"/>
  <c r="AV114" i="24"/>
  <c r="AV81" i="24"/>
  <c r="AV87" i="24"/>
  <c r="AV93" i="24"/>
  <c r="AV90" i="24"/>
  <c r="AV82" i="24"/>
  <c r="AV95" i="24"/>
  <c r="AV110" i="24"/>
  <c r="AV48" i="24"/>
  <c r="AV60" i="24"/>
  <c r="AV35" i="24"/>
  <c r="AV80" i="24"/>
  <c r="AV111" i="24"/>
  <c r="AV41" i="24"/>
  <c r="AV46" i="24"/>
  <c r="AV98" i="24"/>
  <c r="AV33" i="24"/>
  <c r="AV78" i="24"/>
  <c r="AV112" i="24"/>
  <c r="AV40" i="24"/>
  <c r="AV94" i="24"/>
  <c r="AV66" i="24"/>
  <c r="AV54" i="24"/>
  <c r="AV42" i="24"/>
  <c r="AV59" i="24"/>
  <c r="AV113" i="24"/>
  <c r="AV61" i="24"/>
  <c r="AV117" i="24"/>
  <c r="AV115" i="24"/>
  <c r="AV76" i="24"/>
  <c r="AV121" i="24"/>
  <c r="AV57" i="24"/>
  <c r="AV123" i="24"/>
  <c r="AV69" i="24"/>
  <c r="AV55" i="24"/>
  <c r="AV74" i="24"/>
  <c r="BK96" i="22"/>
  <c r="AV118" i="19"/>
  <c r="AV102" i="19"/>
  <c r="AV111" i="19"/>
  <c r="AV103" i="19"/>
  <c r="AV123" i="19"/>
  <c r="AV115" i="19"/>
  <c r="AV101" i="19"/>
  <c r="AV100" i="19"/>
  <c r="AV112" i="19"/>
  <c r="AV117" i="19"/>
  <c r="AV109" i="19"/>
  <c r="AV122" i="19"/>
  <c r="AV107" i="19"/>
  <c r="AV114" i="19"/>
  <c r="AV121" i="19"/>
  <c r="AV113" i="19"/>
  <c r="AV124" i="19"/>
  <c r="AV98" i="19"/>
  <c r="AV99" i="19"/>
  <c r="AV116" i="19"/>
  <c r="AV97" i="19"/>
  <c r="AV108" i="19"/>
  <c r="AV120" i="19"/>
  <c r="AV104" i="19"/>
  <c r="AV110" i="19"/>
  <c r="AV119" i="19"/>
  <c r="BO30" i="22"/>
  <c r="BO114" i="22"/>
  <c r="BO72" i="22"/>
  <c r="BO90" i="22"/>
  <c r="BO47" i="22"/>
  <c r="BO113" i="22"/>
  <c r="BO40" i="22"/>
  <c r="BO71" i="22"/>
  <c r="BO50" i="22"/>
  <c r="BO124" i="22"/>
  <c r="BO64" i="22"/>
  <c r="BO22" i="22"/>
  <c r="BO46" i="22"/>
  <c r="BO55" i="22"/>
  <c r="BO70" i="22"/>
  <c r="BO38" i="22"/>
  <c r="BO76" i="22"/>
  <c r="BO59" i="22"/>
  <c r="BO116" i="22"/>
  <c r="BO106" i="22"/>
  <c r="BO74" i="22"/>
  <c r="BO93" i="22"/>
  <c r="BO112" i="22"/>
  <c r="BO33" i="22"/>
  <c r="BO57" i="22"/>
  <c r="BO66" i="22"/>
  <c r="BO122" i="22"/>
  <c r="BO60" i="22"/>
  <c r="BO107" i="22"/>
  <c r="BO28" i="22"/>
  <c r="BO82" i="22"/>
  <c r="BO51" i="22"/>
  <c r="BO115" i="22"/>
  <c r="BO110" i="22"/>
  <c r="BO67" i="22"/>
  <c r="BO120" i="22"/>
  <c r="BO77" i="22"/>
  <c r="BO88" i="22"/>
  <c r="BO94" i="22"/>
  <c r="BO48" i="22"/>
  <c r="BO69" i="22"/>
  <c r="BO56" i="22"/>
  <c r="BO95" i="22"/>
  <c r="BO42" i="22"/>
  <c r="BO79" i="22"/>
  <c r="BO111" i="22"/>
  <c r="BO58" i="22"/>
  <c r="BO109" i="22"/>
  <c r="BO26" i="22"/>
  <c r="BO62" i="22"/>
  <c r="BO54" i="22"/>
  <c r="BO63" i="22"/>
  <c r="BO117" i="22"/>
  <c r="BO35" i="22"/>
  <c r="BO68" i="22"/>
  <c r="BO75" i="22"/>
  <c r="BO27" i="22"/>
  <c r="BO125" i="22"/>
  <c r="BO31" i="22"/>
  <c r="BO34" i="22"/>
  <c r="BO119" i="22"/>
  <c r="BO53" i="22"/>
  <c r="BO39" i="22"/>
  <c r="BO92" i="22"/>
  <c r="BO102" i="22"/>
  <c r="BO98" i="22"/>
  <c r="BO100" i="22"/>
  <c r="BO43" i="22"/>
  <c r="BO32" i="22"/>
  <c r="BO81" i="22"/>
  <c r="BO99" i="22"/>
  <c r="BO52" i="22"/>
  <c r="BO73" i="22"/>
  <c r="BO97" i="22"/>
  <c r="BO89" i="22"/>
  <c r="BO104" i="22"/>
  <c r="BO61" i="22"/>
  <c r="BO84" i="22"/>
  <c r="BO86" i="22"/>
  <c r="BO123" i="22"/>
  <c r="BO36" i="22"/>
  <c r="BO108" i="22"/>
  <c r="BO41" i="22"/>
  <c r="BO65" i="22"/>
  <c r="BO80" i="22"/>
  <c r="BO105" i="22"/>
  <c r="BO91" i="22"/>
  <c r="BO44" i="22"/>
  <c r="BO85" i="22"/>
  <c r="BO45" i="22"/>
  <c r="BO103" i="22"/>
  <c r="BO118" i="22"/>
  <c r="BO87" i="22"/>
  <c r="BO78" i="22"/>
  <c r="BO121" i="22"/>
  <c r="BO29" i="22"/>
  <c r="BO101" i="22"/>
  <c r="BO37" i="22"/>
  <c r="BO49" i="22"/>
  <c r="BO83" i="22"/>
  <c r="AV30" i="22"/>
  <c r="AV87" i="22"/>
  <c r="AV41" i="22"/>
  <c r="AV81" i="22"/>
  <c r="AV124" i="22"/>
  <c r="AV64" i="22"/>
  <c r="AV108" i="22"/>
  <c r="AV80" i="22"/>
  <c r="AV57" i="22"/>
  <c r="AV122" i="22"/>
  <c r="AV46" i="22"/>
  <c r="AV55" i="22"/>
  <c r="AV70" i="22"/>
  <c r="AV104" i="22"/>
  <c r="AV38" i="22"/>
  <c r="AV76" i="22"/>
  <c r="AV89" i="22"/>
  <c r="AV61" i="22"/>
  <c r="AV84" i="22"/>
  <c r="AV86" i="22"/>
  <c r="AV123" i="22"/>
  <c r="AV36" i="22"/>
  <c r="AV48" i="22"/>
  <c r="AV69" i="22"/>
  <c r="AV121" i="22"/>
  <c r="AV50" i="22"/>
  <c r="AV29" i="22"/>
  <c r="AV95" i="22"/>
  <c r="AV42" i="22"/>
  <c r="AV111" i="22"/>
  <c r="AV78" i="22"/>
  <c r="AV92" i="22"/>
  <c r="AV101" i="22"/>
  <c r="AV94" i="22"/>
  <c r="AV56" i="22"/>
  <c r="AV26" i="22"/>
  <c r="AV62" i="22"/>
  <c r="AV54" i="22"/>
  <c r="AV63" i="22"/>
  <c r="AV98" i="22"/>
  <c r="AV117" i="22"/>
  <c r="AV35" i="22"/>
  <c r="AV68" i="22"/>
  <c r="AV75" i="22"/>
  <c r="AV100" i="22"/>
  <c r="AV27" i="22"/>
  <c r="AV34" i="22"/>
  <c r="AV82" i="22"/>
  <c r="AV119" i="22"/>
  <c r="AV51" i="22"/>
  <c r="AV93" i="22"/>
  <c r="AV112" i="22"/>
  <c r="AV77" i="22"/>
  <c r="AV90" i="22"/>
  <c r="AV43" i="22"/>
  <c r="AV52" i="22"/>
  <c r="AV73" i="22"/>
  <c r="AV32" i="22"/>
  <c r="AV53" i="22"/>
  <c r="AV120" i="22"/>
  <c r="AV39" i="22"/>
  <c r="AV88" i="22"/>
  <c r="AV115" i="22"/>
  <c r="AV31" i="22"/>
  <c r="AV110" i="22"/>
  <c r="AV58" i="22"/>
  <c r="AV67" i="22"/>
  <c r="AV109" i="22"/>
  <c r="AV60" i="22"/>
  <c r="AV79" i="22"/>
  <c r="AV107" i="22"/>
  <c r="AV28" i="22"/>
  <c r="AV114" i="22"/>
  <c r="AV72" i="22"/>
  <c r="AV99" i="22"/>
  <c r="AV47" i="22"/>
  <c r="AV91" i="22"/>
  <c r="AV40" i="22"/>
  <c r="AV44" i="22"/>
  <c r="AV71" i="22"/>
  <c r="AV103" i="22"/>
  <c r="AV97" i="22"/>
  <c r="AV102" i="22"/>
  <c r="AV37" i="22"/>
  <c r="AV49" i="22"/>
  <c r="AV83" i="22"/>
  <c r="AV59" i="22"/>
  <c r="AV116" i="22"/>
  <c r="AV74" i="22"/>
  <c r="AV113" i="22"/>
  <c r="AV33" i="22"/>
  <c r="AV66" i="22"/>
  <c r="AV118" i="22"/>
  <c r="BO99" i="19"/>
  <c r="BO103" i="19"/>
  <c r="BO107" i="19"/>
  <c r="BO111" i="19"/>
  <c r="BO115" i="19"/>
  <c r="BO119" i="19"/>
  <c r="BO123" i="19"/>
  <c r="BO116" i="19"/>
  <c r="BO98" i="19"/>
  <c r="BO102" i="19"/>
  <c r="BO110" i="19"/>
  <c r="BO114" i="19"/>
  <c r="BO118" i="19"/>
  <c r="BO122" i="19"/>
  <c r="BO124" i="19"/>
  <c r="BO97" i="19"/>
  <c r="BO101" i="19"/>
  <c r="BO109" i="19"/>
  <c r="BO113" i="19"/>
  <c r="BO117" i="19"/>
  <c r="BO121" i="19"/>
  <c r="BO100" i="19"/>
  <c r="BO104" i="19"/>
  <c r="BO108" i="19"/>
  <c r="BO112" i="19"/>
  <c r="BO120" i="19"/>
  <c r="BO31" i="19"/>
  <c r="BO39" i="19"/>
  <c r="BO51" i="19"/>
  <c r="BO58" i="19"/>
  <c r="BO73" i="19"/>
  <c r="BO56" i="19"/>
  <c r="BO81" i="19"/>
  <c r="BO89" i="19"/>
  <c r="BO32" i="19"/>
  <c r="BO40" i="19"/>
  <c r="BO55" i="19"/>
  <c r="BO62" i="19"/>
  <c r="BO70" i="19"/>
  <c r="BO82" i="19"/>
  <c r="BO90" i="19"/>
  <c r="BO33" i="19"/>
  <c r="BO41" i="19"/>
  <c r="BO59" i="19"/>
  <c r="BO49" i="19"/>
  <c r="BO72" i="19"/>
  <c r="BO83" i="19"/>
  <c r="BO91" i="19"/>
  <c r="BO68" i="19"/>
  <c r="BO34" i="19"/>
  <c r="BO42" i="19"/>
  <c r="BO60" i="19"/>
  <c r="BO53" i="19"/>
  <c r="BO66" i="19"/>
  <c r="BO69" i="19"/>
  <c r="BO84" i="19"/>
  <c r="BO92" i="19"/>
  <c r="BO74" i="19"/>
  <c r="BO27" i="19"/>
  <c r="BO35" i="19"/>
  <c r="BO43" i="19"/>
  <c r="BO61" i="19"/>
  <c r="BO57" i="19"/>
  <c r="BO71" i="19"/>
  <c r="BO77" i="19"/>
  <c r="BO93" i="19"/>
  <c r="BO88" i="19"/>
  <c r="BO28" i="19"/>
  <c r="BO36" i="19"/>
  <c r="BO44" i="19"/>
  <c r="BO46" i="19"/>
  <c r="BO52" i="19"/>
  <c r="BO78" i="19"/>
  <c r="BO86" i="19"/>
  <c r="BO94" i="19"/>
  <c r="BO48" i="19"/>
  <c r="BO26" i="19"/>
  <c r="BO64" i="19"/>
  <c r="BO29" i="19"/>
  <c r="BO37" i="19"/>
  <c r="BO50" i="19"/>
  <c r="BO63" i="19"/>
  <c r="BO79" i="19"/>
  <c r="BO87" i="19"/>
  <c r="BO95" i="19"/>
  <c r="BO76" i="19"/>
  <c r="BO30" i="19"/>
  <c r="BO38" i="19"/>
  <c r="BO47" i="19"/>
  <c r="BO54" i="19"/>
  <c r="BO67" i="19"/>
  <c r="BO80" i="19"/>
  <c r="AV37" i="19"/>
  <c r="AV42" i="19"/>
  <c r="AV55" i="19"/>
  <c r="AV60" i="19"/>
  <c r="AV70" i="19"/>
  <c r="AV51" i="19"/>
  <c r="AV27" i="19"/>
  <c r="AV80" i="19"/>
  <c r="AV93" i="19"/>
  <c r="AV89" i="19"/>
  <c r="AV52" i="19"/>
  <c r="AV88" i="19"/>
  <c r="AV50" i="19"/>
  <c r="AV63" i="19"/>
  <c r="AV68" i="19"/>
  <c r="AV73" i="19"/>
  <c r="AV78" i="19"/>
  <c r="AV83" i="19"/>
  <c r="AV87" i="19"/>
  <c r="AV35" i="19"/>
  <c r="AV67" i="19"/>
  <c r="AV91" i="19"/>
  <c r="AV61" i="19"/>
  <c r="AV66" i="19"/>
  <c r="AV79" i="19"/>
  <c r="AV84" i="19"/>
  <c r="AV30" i="19"/>
  <c r="AV59" i="19"/>
  <c r="AV47" i="19"/>
  <c r="AV64" i="19"/>
  <c r="AV53" i="19"/>
  <c r="AV58" i="19"/>
  <c r="AV71" i="19"/>
  <c r="AV76" i="19"/>
  <c r="AV81" i="19"/>
  <c r="AV86" i="19"/>
  <c r="AV90" i="19"/>
  <c r="AV95" i="19"/>
  <c r="AV32" i="19"/>
  <c r="AV72" i="19"/>
  <c r="AV94" i="19"/>
  <c r="AV34" i="19"/>
  <c r="AV43" i="19"/>
  <c r="AV69" i="19"/>
  <c r="AV74" i="19"/>
  <c r="AV28" i="19"/>
  <c r="AV33" i="19"/>
  <c r="AV38" i="19"/>
  <c r="AV40" i="19"/>
  <c r="AV57" i="19"/>
  <c r="AV77" i="19"/>
  <c r="AV31" i="19"/>
  <c r="AV36" i="19"/>
  <c r="AV41" i="19"/>
  <c r="AV46" i="19"/>
  <c r="AV48" i="19"/>
  <c r="AV82" i="19"/>
  <c r="AV39" i="19"/>
  <c r="AV44" i="19"/>
  <c r="AV49" i="19"/>
  <c r="AV54" i="19"/>
  <c r="AV56" i="19"/>
  <c r="AV92" i="19"/>
  <c r="AV29" i="19"/>
  <c r="AV62" i="19"/>
  <c r="E26" i="21"/>
  <c r="E27" i="21" s="1"/>
  <c r="G26" i="21"/>
  <c r="G27" i="21" s="1"/>
  <c r="L26" i="21"/>
  <c r="L27" i="21" s="1"/>
  <c r="H26" i="21"/>
  <c r="H27" i="21" s="1"/>
  <c r="F27" i="21"/>
  <c r="J26" i="21"/>
  <c r="J27" i="21" s="1"/>
  <c r="AV26" i="19"/>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BK31" i="25" l="1"/>
  <c r="BK66" i="25"/>
  <c r="BK40" i="25"/>
  <c r="BK30" i="25"/>
  <c r="BK51" i="25"/>
  <c r="BK45" i="25"/>
  <c r="BK122" i="25"/>
  <c r="BK84" i="25"/>
  <c r="BK29" i="25"/>
  <c r="BK96" i="25"/>
  <c r="BK50" i="25"/>
  <c r="BK56" i="25"/>
  <c r="BK89" i="25"/>
  <c r="BK106" i="25"/>
  <c r="BK57" i="25"/>
  <c r="BK92" i="25"/>
  <c r="BK123" i="25"/>
  <c r="BK100" i="25"/>
  <c r="BK119" i="25"/>
  <c r="BK28" i="25"/>
  <c r="BK94" i="25"/>
  <c r="BK32" i="25"/>
  <c r="BK91" i="25"/>
  <c r="BK107" i="25"/>
  <c r="BK82" i="25"/>
  <c r="BK71" i="25"/>
  <c r="BK88" i="25"/>
  <c r="BK103" i="25"/>
  <c r="BK98" i="25"/>
  <c r="BK22" i="25"/>
  <c r="BK34" i="25"/>
  <c r="BK118" i="25"/>
  <c r="BK83" i="25"/>
  <c r="BK78" i="25"/>
  <c r="BK80" i="25"/>
  <c r="BK86" i="25"/>
  <c r="BK109" i="25"/>
  <c r="BK33" i="25"/>
  <c r="BK59" i="25"/>
  <c r="BK117" i="25"/>
  <c r="BK72" i="25"/>
  <c r="BK64" i="25"/>
  <c r="BK49" i="25"/>
  <c r="BK62" i="25"/>
  <c r="BK90" i="25"/>
  <c r="BK116" i="25"/>
  <c r="BK65" i="25"/>
  <c r="BK42" i="25"/>
  <c r="BK110" i="25"/>
  <c r="BK58" i="25"/>
  <c r="BK63" i="25"/>
  <c r="BK101" i="25"/>
  <c r="BK113" i="25"/>
  <c r="BK41" i="25"/>
  <c r="BK69" i="25"/>
  <c r="BK52" i="25"/>
  <c r="BK68" i="25"/>
  <c r="BK125" i="25"/>
  <c r="BK55" i="25"/>
  <c r="BK77" i="25"/>
  <c r="BK105" i="25"/>
  <c r="BK47" i="25"/>
  <c r="BK97" i="25"/>
  <c r="BK43" i="25"/>
  <c r="BK79" i="25"/>
  <c r="BK115" i="25"/>
  <c r="BK36" i="25"/>
  <c r="BK61" i="25"/>
  <c r="BK67" i="25"/>
  <c r="BK39" i="25"/>
  <c r="BK37" i="25"/>
  <c r="BK85" i="25"/>
  <c r="BK81" i="25"/>
  <c r="BK104" i="25"/>
  <c r="BK74" i="25"/>
  <c r="BK121" i="25"/>
  <c r="BK44" i="25"/>
  <c r="BK70" i="25"/>
  <c r="BK76" i="25"/>
  <c r="BK75" i="25"/>
  <c r="BK38" i="25"/>
  <c r="BK73" i="25"/>
  <c r="BK111" i="25"/>
  <c r="BK87" i="25"/>
  <c r="BK27" i="25"/>
  <c r="BK48" i="25"/>
  <c r="BK124" i="25"/>
  <c r="BK102" i="25"/>
  <c r="BK35" i="25"/>
  <c r="BK99" i="25"/>
  <c r="BK93" i="25"/>
  <c r="BK54" i="25"/>
  <c r="BK108" i="25"/>
  <c r="BK26" i="25"/>
  <c r="BK53" i="25"/>
  <c r="BK120" i="25"/>
  <c r="BK60" i="25"/>
  <c r="BK95" i="25"/>
  <c r="BK112" i="25"/>
  <c r="BK46" i="25"/>
  <c r="BK114" i="25"/>
  <c r="AR53" i="24"/>
  <c r="AR32" i="24"/>
  <c r="AR38" i="24"/>
  <c r="AR89" i="24"/>
  <c r="AR37" i="24"/>
  <c r="AR60" i="24"/>
  <c r="AR63" i="24"/>
  <c r="AR108" i="24"/>
  <c r="AR56" i="24"/>
  <c r="AR75" i="24"/>
  <c r="AR114" i="24"/>
  <c r="AR121" i="24"/>
  <c r="AR81" i="24"/>
  <c r="AR87" i="24"/>
  <c r="AR118" i="24"/>
  <c r="AR58" i="24"/>
  <c r="AR113" i="24"/>
  <c r="AR50" i="24"/>
  <c r="AR26" i="24"/>
  <c r="AR96" i="24"/>
  <c r="AR49" i="24"/>
  <c r="AR73" i="24"/>
  <c r="AR44" i="24"/>
  <c r="AR120" i="24"/>
  <c r="AR103" i="24"/>
  <c r="AR46" i="24"/>
  <c r="AR77" i="24"/>
  <c r="AR48" i="24"/>
  <c r="AR86" i="24"/>
  <c r="AR104" i="24"/>
  <c r="AR30" i="24"/>
  <c r="AR116" i="24"/>
  <c r="AR107" i="24"/>
  <c r="AR88" i="24"/>
  <c r="AR92" i="24"/>
  <c r="AR34" i="24"/>
  <c r="AR76" i="24"/>
  <c r="AR33" i="24"/>
  <c r="AR74" i="24"/>
  <c r="AR72" i="24"/>
  <c r="AR78" i="24"/>
  <c r="AR71" i="24"/>
  <c r="AR83" i="24"/>
  <c r="AR40" i="24"/>
  <c r="AR123" i="24"/>
  <c r="AR36" i="24"/>
  <c r="AR97" i="24"/>
  <c r="AR47" i="24"/>
  <c r="AR64" i="24"/>
  <c r="AR102" i="24"/>
  <c r="AR35" i="24"/>
  <c r="AR79" i="24"/>
  <c r="AR124" i="24"/>
  <c r="AR43" i="24"/>
  <c r="AR52" i="24"/>
  <c r="AR70" i="24"/>
  <c r="AR54" i="24"/>
  <c r="AR80" i="24"/>
  <c r="AR117" i="24"/>
  <c r="AR98" i="24"/>
  <c r="AR66" i="24"/>
  <c r="AR29" i="24"/>
  <c r="AR51" i="24"/>
  <c r="AR119" i="24"/>
  <c r="AR67" i="24"/>
  <c r="AR31" i="24"/>
  <c r="AR101" i="24"/>
  <c r="AR57" i="24"/>
  <c r="AR61" i="24"/>
  <c r="AR122" i="24"/>
  <c r="AR100" i="24"/>
  <c r="AR55" i="24"/>
  <c r="AR28" i="24"/>
  <c r="AR112" i="24"/>
  <c r="AR111" i="24"/>
  <c r="AR94" i="24"/>
  <c r="AR82" i="24"/>
  <c r="AR59" i="24"/>
  <c r="AR39" i="24"/>
  <c r="AR62" i="24"/>
  <c r="AR99" i="24"/>
  <c r="AR84" i="24"/>
  <c r="AR68" i="24"/>
  <c r="AR109" i="24"/>
  <c r="AR42" i="24"/>
  <c r="AR110" i="24"/>
  <c r="AR115" i="24"/>
  <c r="AR90" i="24"/>
  <c r="AR69" i="24"/>
  <c r="AR91" i="24"/>
  <c r="AR41" i="24"/>
  <c r="AR93" i="24"/>
  <c r="AR27" i="24"/>
  <c r="AR95" i="24"/>
  <c r="BK26" i="24"/>
  <c r="BK38" i="24"/>
  <c r="BK53" i="24"/>
  <c r="BK22" i="24"/>
  <c r="BK32" i="24"/>
  <c r="BK48" i="24"/>
  <c r="BK35" i="24"/>
  <c r="BK64" i="24"/>
  <c r="BK107" i="24"/>
  <c r="BK92" i="24"/>
  <c r="BK54" i="24"/>
  <c r="BK100" i="24"/>
  <c r="BK41" i="24"/>
  <c r="BK50" i="24"/>
  <c r="BK96" i="24"/>
  <c r="BK36" i="24"/>
  <c r="BK125" i="24"/>
  <c r="BK124" i="24"/>
  <c r="BK119" i="24"/>
  <c r="BK77" i="24"/>
  <c r="BK83" i="24"/>
  <c r="BK112" i="24"/>
  <c r="BK44" i="24"/>
  <c r="BK37" i="24"/>
  <c r="BK104" i="24"/>
  <c r="BK30" i="24"/>
  <c r="BK88" i="24"/>
  <c r="BK51" i="24"/>
  <c r="BK106" i="24"/>
  <c r="BK67" i="24"/>
  <c r="BK120" i="24"/>
  <c r="BK34" i="24"/>
  <c r="BK73" i="24"/>
  <c r="BK86" i="24"/>
  <c r="BK108" i="24"/>
  <c r="BK56" i="24"/>
  <c r="BK72" i="24"/>
  <c r="BK78" i="24"/>
  <c r="BK46" i="24"/>
  <c r="BK40" i="24"/>
  <c r="BK116" i="24"/>
  <c r="BK63" i="24"/>
  <c r="BK65" i="24"/>
  <c r="BK115" i="24"/>
  <c r="BK58" i="24"/>
  <c r="BK94" i="24"/>
  <c r="BK62" i="24"/>
  <c r="BK33" i="24"/>
  <c r="BK49" i="24"/>
  <c r="BK105" i="24"/>
  <c r="BK43" i="24"/>
  <c r="BK60" i="24"/>
  <c r="BK52" i="24"/>
  <c r="BK70" i="24"/>
  <c r="BK75" i="24"/>
  <c r="BK71" i="24"/>
  <c r="BK87" i="24"/>
  <c r="BK89" i="24"/>
  <c r="BK47" i="24"/>
  <c r="BK102" i="24"/>
  <c r="BK29" i="24"/>
  <c r="BK121" i="24"/>
  <c r="BK103" i="24"/>
  <c r="BK57" i="24"/>
  <c r="BK111" i="24"/>
  <c r="BK61" i="24"/>
  <c r="BK79" i="24"/>
  <c r="BK81" i="24"/>
  <c r="BK59" i="24"/>
  <c r="BK93" i="24"/>
  <c r="BK31" i="24"/>
  <c r="BK118" i="24"/>
  <c r="BK85" i="24"/>
  <c r="BK74" i="24"/>
  <c r="BK122" i="24"/>
  <c r="BK55" i="24"/>
  <c r="BK28" i="24"/>
  <c r="BK66" i="24"/>
  <c r="BK45" i="24"/>
  <c r="BK68" i="24"/>
  <c r="BK113" i="24"/>
  <c r="BK117" i="24"/>
  <c r="BK84" i="24"/>
  <c r="BK99" i="24"/>
  <c r="BK42" i="24"/>
  <c r="BK82" i="24"/>
  <c r="BK97" i="24"/>
  <c r="BK76" i="24"/>
  <c r="BK39" i="24"/>
  <c r="BK90" i="24"/>
  <c r="BK69" i="24"/>
  <c r="BK91" i="24"/>
  <c r="BK114" i="24"/>
  <c r="BK101" i="24"/>
  <c r="BK80" i="24"/>
  <c r="BK109" i="24"/>
  <c r="BK123" i="24"/>
  <c r="BK27" i="24"/>
  <c r="BK110" i="24"/>
  <c r="BK98" i="24"/>
  <c r="BK95" i="24"/>
  <c r="AR80" i="25"/>
  <c r="AR47" i="25"/>
  <c r="AR113" i="25"/>
  <c r="AR44" i="25"/>
  <c r="AR59" i="25"/>
  <c r="AR86" i="25"/>
  <c r="AR109" i="25"/>
  <c r="AR51" i="25"/>
  <c r="AR34" i="25"/>
  <c r="AR107" i="25"/>
  <c r="AR71" i="25"/>
  <c r="AR54" i="25"/>
  <c r="AR43" i="25"/>
  <c r="AR103" i="25"/>
  <c r="AR42" i="25"/>
  <c r="AR98" i="25"/>
  <c r="AR120" i="25"/>
  <c r="AR36" i="25"/>
  <c r="AR52" i="25"/>
  <c r="AR60" i="25"/>
  <c r="AR35" i="25"/>
  <c r="AR99" i="25"/>
  <c r="AR55" i="25"/>
  <c r="AR77" i="25"/>
  <c r="AR90" i="25"/>
  <c r="AR56" i="25"/>
  <c r="AR89" i="25"/>
  <c r="AR57" i="25"/>
  <c r="AR92" i="25"/>
  <c r="AR41" i="25"/>
  <c r="AR69" i="25"/>
  <c r="AR96" i="25"/>
  <c r="AR111" i="25"/>
  <c r="AR82" i="25"/>
  <c r="AR31" i="25"/>
  <c r="AR29" i="25"/>
  <c r="AR74" i="25"/>
  <c r="AR87" i="25"/>
  <c r="AR79" i="25"/>
  <c r="AR26" i="25"/>
  <c r="AR70" i="25"/>
  <c r="AR58" i="25"/>
  <c r="AR27" i="25"/>
  <c r="AR48" i="25"/>
  <c r="AR124" i="25"/>
  <c r="AR112" i="25"/>
  <c r="AR81" i="25"/>
  <c r="AR116" i="25"/>
  <c r="AR110" i="25"/>
  <c r="AR28" i="25"/>
  <c r="AR40" i="25"/>
  <c r="AR122" i="25"/>
  <c r="AR88" i="25"/>
  <c r="AR62" i="25"/>
  <c r="AR46" i="25"/>
  <c r="AR32" i="25"/>
  <c r="AR78" i="25"/>
  <c r="AR97" i="25"/>
  <c r="AR115" i="25"/>
  <c r="AR72" i="25"/>
  <c r="AR39" i="25"/>
  <c r="AR63" i="25"/>
  <c r="AR84" i="25"/>
  <c r="AR119" i="25"/>
  <c r="AR68" i="25"/>
  <c r="AR75" i="25"/>
  <c r="AR101" i="25"/>
  <c r="AR104" i="25"/>
  <c r="AR50" i="25"/>
  <c r="AR118" i="25"/>
  <c r="AR121" i="25"/>
  <c r="AR61" i="25"/>
  <c r="AR100" i="25"/>
  <c r="AR30" i="25"/>
  <c r="AR37" i="25"/>
  <c r="AR123" i="25"/>
  <c r="AR117" i="25"/>
  <c r="AR67" i="25"/>
  <c r="AR64" i="25"/>
  <c r="AR93" i="25"/>
  <c r="AR91" i="25"/>
  <c r="AR83" i="25"/>
  <c r="AR108" i="25"/>
  <c r="AR53" i="25"/>
  <c r="AR76" i="25"/>
  <c r="AR95" i="25"/>
  <c r="AR94" i="25"/>
  <c r="AR38" i="25"/>
  <c r="AR66" i="25"/>
  <c r="AR33" i="25"/>
  <c r="AR102" i="25"/>
  <c r="AR49" i="25"/>
  <c r="AR73" i="25"/>
  <c r="AR114" i="25"/>
  <c r="AR110" i="19"/>
  <c r="AR119" i="19"/>
  <c r="AR100" i="19"/>
  <c r="AR112" i="19"/>
  <c r="AR117" i="19"/>
  <c r="AR109" i="19"/>
  <c r="AR114" i="19"/>
  <c r="AR103" i="19"/>
  <c r="AR123" i="19"/>
  <c r="AR115" i="19"/>
  <c r="AR101" i="19"/>
  <c r="AR108" i="19"/>
  <c r="AR120" i="19"/>
  <c r="AR113" i="19"/>
  <c r="AR124" i="19"/>
  <c r="AR98" i="19"/>
  <c r="AR99" i="19"/>
  <c r="AR116" i="19"/>
  <c r="AR121" i="19"/>
  <c r="AR97" i="19"/>
  <c r="AR122" i="19"/>
  <c r="AR107" i="19"/>
  <c r="AR104" i="19"/>
  <c r="AR118" i="19"/>
  <c r="AR102" i="19"/>
  <c r="AR111" i="19"/>
  <c r="AR30" i="22"/>
  <c r="AR89" i="22"/>
  <c r="AR61" i="22"/>
  <c r="AR84" i="22"/>
  <c r="AR86" i="22"/>
  <c r="AR123" i="22"/>
  <c r="AR36" i="22"/>
  <c r="AR99" i="22"/>
  <c r="AR91" i="22"/>
  <c r="AR40" i="22"/>
  <c r="AR95" i="22"/>
  <c r="AR83" i="22"/>
  <c r="AR114" i="22"/>
  <c r="AR104" i="22"/>
  <c r="AR41" i="22"/>
  <c r="AR78" i="22"/>
  <c r="AR124" i="22"/>
  <c r="AR44" i="22"/>
  <c r="AR80" i="22"/>
  <c r="AR101" i="22"/>
  <c r="AR79" i="22"/>
  <c r="AR112" i="22"/>
  <c r="AR66" i="22"/>
  <c r="AR42" i="22"/>
  <c r="AR43" i="22"/>
  <c r="AR81" i="22"/>
  <c r="AR52" i="22"/>
  <c r="AR37" i="22"/>
  <c r="AR118" i="22"/>
  <c r="AR53" i="22"/>
  <c r="AR39" i="22"/>
  <c r="AR32" i="22"/>
  <c r="AR115" i="22"/>
  <c r="AR31" i="22"/>
  <c r="AR110" i="22"/>
  <c r="AR58" i="22"/>
  <c r="AR67" i="22"/>
  <c r="AR57" i="22"/>
  <c r="AR122" i="22"/>
  <c r="AR60" i="22"/>
  <c r="AR107" i="22"/>
  <c r="AR28" i="22"/>
  <c r="AR93" i="22"/>
  <c r="AR111" i="22"/>
  <c r="AR82" i="22"/>
  <c r="AR97" i="22"/>
  <c r="AR64" i="22"/>
  <c r="AR98" i="22"/>
  <c r="AR100" i="22"/>
  <c r="AR120" i="22"/>
  <c r="AR77" i="22"/>
  <c r="AR94" i="22"/>
  <c r="AR48" i="22"/>
  <c r="AR69" i="22"/>
  <c r="AR56" i="22"/>
  <c r="AR88" i="22"/>
  <c r="AR73" i="22"/>
  <c r="AR119" i="22"/>
  <c r="AR49" i="22"/>
  <c r="AR26" i="22"/>
  <c r="AR62" i="22"/>
  <c r="AR54" i="22"/>
  <c r="AR63" i="22"/>
  <c r="AR117" i="22"/>
  <c r="AR35" i="22"/>
  <c r="AR68" i="22"/>
  <c r="AR75" i="22"/>
  <c r="AR27" i="22"/>
  <c r="AR34" i="22"/>
  <c r="AR51" i="22"/>
  <c r="AR92" i="22"/>
  <c r="AR71" i="22"/>
  <c r="AR103" i="22"/>
  <c r="AR102" i="22"/>
  <c r="AR46" i="22"/>
  <c r="AR55" i="22"/>
  <c r="AR70" i="22"/>
  <c r="AR38" i="22"/>
  <c r="AR76" i="22"/>
  <c r="AR59" i="22"/>
  <c r="AR87" i="22"/>
  <c r="AR116" i="22"/>
  <c r="AR90" i="22"/>
  <c r="AR121" i="22"/>
  <c r="AR50" i="22"/>
  <c r="AR74" i="22"/>
  <c r="AR113" i="22"/>
  <c r="AR29" i="22"/>
  <c r="AR33" i="22"/>
  <c r="AR109" i="22"/>
  <c r="AR108" i="22"/>
  <c r="AR72" i="22"/>
  <c r="AR47" i="22"/>
  <c r="BK30" i="22"/>
  <c r="BK22" i="22"/>
  <c r="BK46" i="22"/>
  <c r="BK55" i="22"/>
  <c r="BK70" i="22"/>
  <c r="BK104" i="22"/>
  <c r="BK38" i="22"/>
  <c r="BK76" i="22"/>
  <c r="BK59" i="22"/>
  <c r="BK116" i="22"/>
  <c r="BK65" i="22"/>
  <c r="BK121" i="22"/>
  <c r="BK50" i="22"/>
  <c r="BK74" i="22"/>
  <c r="BK80" i="22"/>
  <c r="BK33" i="22"/>
  <c r="BK109" i="22"/>
  <c r="BK105" i="22"/>
  <c r="BK36" i="22"/>
  <c r="BK41" i="22"/>
  <c r="BK69" i="22"/>
  <c r="BK106" i="22"/>
  <c r="BK112" i="22"/>
  <c r="BK89" i="22"/>
  <c r="BK61" i="22"/>
  <c r="BK84" i="22"/>
  <c r="BK86" i="22"/>
  <c r="BK114" i="22"/>
  <c r="BK72" i="22"/>
  <c r="BK87" i="22"/>
  <c r="BK108" i="22"/>
  <c r="BK47" i="22"/>
  <c r="BK91" i="22"/>
  <c r="BK113" i="22"/>
  <c r="BK40" i="22"/>
  <c r="BK107" i="22"/>
  <c r="BK28" i="22"/>
  <c r="BK62" i="22"/>
  <c r="BK98" i="22"/>
  <c r="BK68" i="22"/>
  <c r="BK120" i="22"/>
  <c r="BK43" i="22"/>
  <c r="BK78" i="22"/>
  <c r="BK52" i="22"/>
  <c r="BK73" i="22"/>
  <c r="BK92" i="22"/>
  <c r="BK66" i="22"/>
  <c r="BK101" i="22"/>
  <c r="BK88" i="22"/>
  <c r="BK110" i="22"/>
  <c r="BK67" i="22"/>
  <c r="BK57" i="22"/>
  <c r="BK95" i="22"/>
  <c r="BK122" i="22"/>
  <c r="BK79" i="22"/>
  <c r="BK26" i="22"/>
  <c r="BK35" i="22"/>
  <c r="BK75" i="22"/>
  <c r="BK27" i="22"/>
  <c r="BK34" i="22"/>
  <c r="BK51" i="22"/>
  <c r="BK71" i="22"/>
  <c r="BK53" i="22"/>
  <c r="BK39" i="22"/>
  <c r="BK32" i="22"/>
  <c r="BK115" i="22"/>
  <c r="BK58" i="22"/>
  <c r="BK60" i="22"/>
  <c r="BK63" i="22"/>
  <c r="BK117" i="22"/>
  <c r="BK100" i="22"/>
  <c r="BK99" i="22"/>
  <c r="BK31" i="22"/>
  <c r="BK77" i="22"/>
  <c r="BK94" i="22"/>
  <c r="BK125" i="22"/>
  <c r="BK90" i="22"/>
  <c r="BK82" i="22"/>
  <c r="BK119" i="22"/>
  <c r="BK56" i="22"/>
  <c r="BK42" i="22"/>
  <c r="BK111" i="22"/>
  <c r="BK54" i="22"/>
  <c r="BK103" i="22"/>
  <c r="BK81" i="22"/>
  <c r="BK124" i="22"/>
  <c r="BK85" i="22"/>
  <c r="BK97" i="22"/>
  <c r="BK45" i="22"/>
  <c r="BK102" i="22"/>
  <c r="BK37" i="22"/>
  <c r="BK49" i="22"/>
  <c r="BK64" i="22"/>
  <c r="BK83" i="22"/>
  <c r="BK118" i="22"/>
  <c r="BK29" i="22"/>
  <c r="BK123" i="22"/>
  <c r="BK48" i="22"/>
  <c r="BK44" i="22"/>
  <c r="BK93" i="22"/>
  <c r="BK97" i="19"/>
  <c r="BK101" i="19"/>
  <c r="BK109" i="19"/>
  <c r="BK113" i="19"/>
  <c r="BK117" i="19"/>
  <c r="BK121" i="19"/>
  <c r="BK100" i="19"/>
  <c r="BK104" i="19"/>
  <c r="BK108" i="19"/>
  <c r="BK112" i="19"/>
  <c r="BK116" i="19"/>
  <c r="BK120" i="19"/>
  <c r="BK124" i="19"/>
  <c r="BK114" i="19"/>
  <c r="BK118" i="19"/>
  <c r="BK99" i="19"/>
  <c r="BK103" i="19"/>
  <c r="BK107" i="19"/>
  <c r="BK111" i="19"/>
  <c r="BK115" i="19"/>
  <c r="BK119" i="19"/>
  <c r="BK123" i="19"/>
  <c r="BK122" i="19"/>
  <c r="BK98" i="19"/>
  <c r="BK102" i="19"/>
  <c r="BK110" i="19"/>
  <c r="BK31" i="19"/>
  <c r="BK39" i="19"/>
  <c r="BK49" i="19"/>
  <c r="BK58" i="19"/>
  <c r="BK71" i="19"/>
  <c r="BK81" i="19"/>
  <c r="BK90" i="19"/>
  <c r="BK75" i="19"/>
  <c r="BK80" i="19"/>
  <c r="BK32" i="19"/>
  <c r="BK41" i="19"/>
  <c r="BK50" i="19"/>
  <c r="BK59" i="19"/>
  <c r="BK82" i="19"/>
  <c r="BK91" i="19"/>
  <c r="BK74" i="19"/>
  <c r="BK89" i="19"/>
  <c r="BK33" i="19"/>
  <c r="BK42" i="19"/>
  <c r="BK51" i="19"/>
  <c r="BK63" i="19"/>
  <c r="BK83" i="19"/>
  <c r="BK92" i="19"/>
  <c r="BK72" i="19"/>
  <c r="BK66" i="19"/>
  <c r="BK34" i="19"/>
  <c r="BK43" i="19"/>
  <c r="BK52" i="19"/>
  <c r="BK67" i="19"/>
  <c r="BK84" i="19"/>
  <c r="BK93" i="19"/>
  <c r="BK73" i="19"/>
  <c r="BK26" i="19"/>
  <c r="BK48" i="19"/>
  <c r="BK27" i="19"/>
  <c r="BK35" i="19"/>
  <c r="BK44" i="19"/>
  <c r="BK53" i="19"/>
  <c r="BK69" i="19"/>
  <c r="BK77" i="19"/>
  <c r="BK86" i="19"/>
  <c r="BK94" i="19"/>
  <c r="BK76" i="19"/>
  <c r="BK30" i="19"/>
  <c r="BK28" i="19"/>
  <c r="BK36" i="19"/>
  <c r="BK46" i="19"/>
  <c r="BK54" i="19"/>
  <c r="BK62" i="19"/>
  <c r="BK78" i="19"/>
  <c r="BK87" i="19"/>
  <c r="BK95" i="19"/>
  <c r="BK61" i="19"/>
  <c r="BK38" i="19"/>
  <c r="BK68" i="19"/>
  <c r="BK29" i="19"/>
  <c r="BK37" i="19"/>
  <c r="BK47" i="19"/>
  <c r="BK56" i="19"/>
  <c r="BK60" i="19"/>
  <c r="BK79" i="19"/>
  <c r="BK88" i="19"/>
  <c r="BK64" i="19"/>
  <c r="BK57" i="19"/>
  <c r="AR33" i="19" l="1"/>
  <c r="AR75" i="19"/>
  <c r="AR80" i="19"/>
  <c r="AR49" i="19"/>
  <c r="AR88" i="19"/>
  <c r="AR44" i="19"/>
  <c r="AR42" i="19"/>
  <c r="AR31" i="19"/>
  <c r="AR62" i="19"/>
  <c r="AR92" i="19"/>
  <c r="AR41" i="19"/>
  <c r="AR95" i="19"/>
  <c r="AR93" i="19"/>
  <c r="AR94" i="19"/>
  <c r="AR82" i="19"/>
  <c r="AR69" i="19"/>
  <c r="AR56" i="19"/>
  <c r="AR51" i="19"/>
  <c r="AR38" i="19"/>
  <c r="AR26" i="19"/>
  <c r="AR34" i="19"/>
  <c r="AR54" i="19"/>
  <c r="AR87" i="19"/>
  <c r="AR78" i="19"/>
  <c r="AR74" i="19"/>
  <c r="AR61" i="19"/>
  <c r="AR48" i="19"/>
  <c r="AR43" i="19"/>
  <c r="AR30" i="19"/>
  <c r="AR72" i="19"/>
  <c r="AR81" i="19"/>
  <c r="AR79" i="19"/>
  <c r="AR39" i="19"/>
  <c r="AR53" i="19"/>
  <c r="AR35" i="19"/>
  <c r="AR68" i="19"/>
  <c r="AR76" i="19"/>
  <c r="AR84" i="19"/>
  <c r="AR86" i="19"/>
  <c r="AR60" i="19"/>
  <c r="AR58" i="19"/>
  <c r="AR37" i="19"/>
  <c r="AR32" i="19"/>
  <c r="AR27" i="19"/>
  <c r="AR73" i="19"/>
  <c r="AR67" i="19"/>
  <c r="AR89" i="19"/>
  <c r="AR90" i="19"/>
  <c r="AR91" i="19"/>
  <c r="AR66" i="19"/>
  <c r="AR40" i="19"/>
  <c r="AR63" i="19"/>
  <c r="AR71" i="19"/>
  <c r="AR55" i="19"/>
  <c r="AR47" i="19"/>
  <c r="AR52" i="19"/>
  <c r="AR50" i="19"/>
  <c r="AR29" i="19"/>
  <c r="AR83" i="19"/>
  <c r="AR70" i="19"/>
  <c r="AR57" i="19"/>
  <c r="AR36" i="19"/>
  <c r="AR28" i="19"/>
  <c r="AR77" i="19"/>
  <c r="AR64" i="19"/>
  <c r="AR59" i="19"/>
  <c r="AR46" i="19"/>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C9" i="4" l="1"/>
  <c r="E264" i="4"/>
  <c r="E280" i="4"/>
  <c r="E300" i="4"/>
  <c r="C65" i="17" l="1"/>
  <c r="C105" i="17"/>
  <c r="C91" i="16"/>
  <c r="C82" i="9"/>
  <c r="E211" i="4"/>
  <c r="E210" i="4"/>
  <c r="E138" i="4"/>
  <c r="E228" i="4"/>
  <c r="E229" i="4"/>
  <c r="B1" i="7" l="1"/>
  <c r="C32" i="9"/>
  <c r="K32" i="9"/>
  <c r="AI28" i="19" l="1"/>
  <c r="AK28" i="19" s="1"/>
  <c r="AK39" i="19" s="1"/>
  <c r="AI20" i="19" l="1"/>
  <c r="AK20" i="19" s="1"/>
  <c r="AK41" i="19" s="1"/>
  <c r="H81" i="16"/>
  <c r="AI39" i="19"/>
  <c r="BM25" i="19" s="1"/>
  <c r="AI25" i="19"/>
  <c r="AI41" i="19" l="1"/>
  <c r="BO25" i="19" s="1"/>
  <c r="H73" i="16"/>
  <c r="AI37" i="19"/>
  <c r="AK25" i="19"/>
  <c r="AK37" i="19" s="1"/>
  <c r="H78" i="16"/>
  <c r="BO75" i="19"/>
  <c r="BK70" i="19"/>
  <c r="BK55" i="19"/>
  <c r="BK40" i="19"/>
  <c r="AV75" i="19"/>
  <c r="BO22" i="19" l="1"/>
  <c r="BO105" i="19"/>
  <c r="BO125" i="19"/>
  <c r="G40" i="5"/>
  <c r="BO45" i="19"/>
  <c r="BO65" i="19"/>
  <c r="BO85" i="19"/>
  <c r="BO106" i="19"/>
  <c r="BK25" i="19"/>
  <c r="BK125" i="19" l="1"/>
  <c r="BK105" i="19"/>
  <c r="BK65" i="19"/>
  <c r="BK45" i="19"/>
  <c r="BK85" i="19"/>
  <c r="BK22" i="19"/>
  <c r="BK106" i="19"/>
  <c r="D6" i="21" l="1"/>
  <c r="D9" i="21" l="1"/>
  <c r="D12" i="21"/>
  <c r="E419" i="4"/>
  <c r="E76" i="4"/>
  <c r="E495" i="4"/>
  <c r="E29" i="4"/>
  <c r="E525" i="4"/>
  <c r="E184" i="4"/>
  <c r="E486" i="4"/>
  <c r="E260" i="4"/>
  <c r="E512" i="4"/>
  <c r="E528" i="4"/>
  <c r="E381" i="4"/>
  <c r="E225" i="4"/>
  <c r="E46" i="4"/>
  <c r="E540" i="4"/>
  <c r="E383" i="4"/>
  <c r="E12" i="4"/>
  <c r="E504" i="4"/>
  <c r="E305" i="4"/>
  <c r="E15" i="4"/>
  <c r="E215" i="4"/>
  <c r="E415" i="4"/>
  <c r="E55" i="4"/>
  <c r="E116" i="4"/>
  <c r="E541" i="4"/>
  <c r="E350" i="4"/>
  <c r="E412" i="4"/>
  <c r="E494" i="4"/>
  <c r="E130" i="4"/>
  <c r="E446" i="4"/>
  <c r="E534" i="4"/>
  <c r="E529" i="4"/>
  <c r="E136" i="4"/>
  <c r="E418" i="4"/>
  <c r="E102" i="4"/>
  <c r="E249" i="4"/>
  <c r="E361" i="4"/>
  <c r="E517" i="4"/>
  <c r="E192" i="4"/>
  <c r="E123" i="4"/>
  <c r="E143" i="4"/>
  <c r="E296" i="4"/>
  <c r="E294" i="4"/>
  <c r="E118" i="4"/>
  <c r="E270" i="4"/>
  <c r="E63" i="4"/>
  <c r="E522" i="4"/>
  <c r="E180" i="4"/>
  <c r="E271" i="4"/>
  <c r="E277" i="4"/>
  <c r="E44" i="4"/>
  <c r="E250" i="4"/>
  <c r="E144" i="4"/>
  <c r="E100" i="4"/>
  <c r="E206" i="4"/>
  <c r="E176" i="4"/>
  <c r="E265" i="4"/>
  <c r="E324" i="4"/>
  <c r="E32" i="4"/>
  <c r="E145" i="4"/>
  <c r="E89" i="4"/>
  <c r="E185" i="4"/>
  <c r="E252" i="4"/>
  <c r="E158" i="4"/>
  <c r="E203" i="4"/>
  <c r="E357" i="4"/>
  <c r="E289" i="4"/>
  <c r="E25" i="4"/>
  <c r="E434" i="4"/>
  <c r="E231" i="4"/>
  <c r="E409" i="4"/>
  <c r="E114" i="4"/>
  <c r="E201" i="4"/>
  <c r="E181" i="4"/>
  <c r="E329" i="4"/>
  <c r="E256" i="4"/>
  <c r="E326" i="4"/>
  <c r="E432" i="4"/>
  <c r="E50" i="4"/>
  <c r="E394" i="4"/>
  <c r="E382" i="4"/>
  <c r="E104" i="4"/>
  <c r="E90" i="4"/>
  <c r="E318" i="4"/>
  <c r="E356" i="4"/>
  <c r="E69" i="4"/>
  <c r="E98" i="4"/>
  <c r="E276" i="4"/>
  <c r="E140" i="4"/>
  <c r="E112" i="4"/>
  <c r="E245" i="4"/>
  <c r="E124" i="4"/>
  <c r="E457" i="4"/>
  <c r="E13" i="4"/>
  <c r="E253" i="4"/>
  <c r="E292" i="4"/>
  <c r="E214" i="4"/>
  <c r="E213" i="4"/>
  <c r="E460" i="4"/>
  <c r="E360" i="4"/>
  <c r="E393" i="4"/>
  <c r="E539" i="4"/>
  <c r="E396" i="4"/>
  <c r="E220" i="4"/>
  <c r="E35" i="4"/>
  <c r="E99" i="4"/>
  <c r="E173" i="4"/>
  <c r="E315" i="4"/>
  <c r="E532" i="4"/>
  <c r="E255" i="4"/>
  <c r="E41" i="4"/>
  <c r="E425" i="4"/>
  <c r="E439" i="4"/>
  <c r="E269" i="4"/>
  <c r="E125" i="4"/>
  <c r="E223" i="4"/>
  <c r="E73" i="4"/>
  <c r="E246" i="4"/>
  <c r="E408" i="4"/>
  <c r="E19" i="4"/>
  <c r="E27" i="4"/>
  <c r="E521" i="4"/>
  <c r="E57" i="4"/>
  <c r="E325" i="4"/>
  <c r="E119" i="4"/>
  <c r="E337" i="4"/>
  <c r="E403" i="4"/>
  <c r="E170" i="4"/>
  <c r="E542" i="4"/>
  <c r="E524" i="4"/>
  <c r="E380" i="4"/>
  <c r="E481" i="4"/>
  <c r="E464" i="4"/>
  <c r="E407" i="4"/>
  <c r="E508" i="4"/>
  <c r="E175" i="4"/>
  <c r="E199" i="4"/>
  <c r="E273" i="4"/>
  <c r="E398" i="4"/>
  <c r="E226" i="4"/>
  <c r="E234" i="4"/>
  <c r="E454" i="4"/>
  <c r="E108" i="4"/>
  <c r="E254" i="4"/>
  <c r="E135" i="4"/>
  <c r="E518" i="4"/>
  <c r="E78" i="4"/>
  <c r="E500" i="4"/>
  <c r="E193" i="4"/>
  <c r="E339" i="4"/>
  <c r="E444" i="4"/>
  <c r="E194" i="4"/>
  <c r="E217" i="4"/>
  <c r="E335" i="4"/>
  <c r="E538" i="4"/>
  <c r="E274" i="4"/>
  <c r="E498" i="4"/>
  <c r="E431" i="4"/>
  <c r="E385" i="4"/>
  <c r="E364" i="4"/>
  <c r="E16" i="4"/>
  <c r="E395" i="4"/>
  <c r="E373" i="4"/>
  <c r="E258" i="4"/>
  <c r="E321" i="4"/>
  <c r="E331" i="4"/>
  <c r="E429" i="4"/>
  <c r="E472" i="4"/>
  <c r="E21" i="4"/>
  <c r="E453" i="4"/>
  <c r="E531" i="4"/>
  <c r="E261" i="4"/>
  <c r="E413" i="4"/>
  <c r="E68" i="4"/>
  <c r="E171" i="4"/>
  <c r="E287" i="4"/>
  <c r="E241" i="4"/>
  <c r="E333" i="4"/>
  <c r="E311" i="4"/>
  <c r="E247" i="4"/>
  <c r="E26" i="4"/>
  <c r="E520" i="4"/>
  <c r="E263" i="4"/>
  <c r="E526" i="4"/>
  <c r="E330" i="4"/>
  <c r="E533" i="4"/>
  <c r="E82" i="4"/>
  <c r="E406" i="4"/>
  <c r="E85" i="4"/>
  <c r="E59" i="4"/>
  <c r="E154" i="4"/>
  <c r="E302" i="4"/>
  <c r="E141" i="4"/>
  <c r="E345" i="4"/>
  <c r="E142" i="4"/>
  <c r="E278" i="4"/>
  <c r="E313" i="4"/>
  <c r="E244" i="4"/>
  <c r="E467" i="4"/>
  <c r="E487" i="4"/>
  <c r="E122" i="4"/>
  <c r="E129" i="4"/>
  <c r="E49" i="4"/>
  <c r="E120" i="4"/>
  <c r="E242" i="4"/>
  <c r="E20" i="4"/>
  <c r="E474" i="4"/>
  <c r="E426" i="4"/>
  <c r="E218" i="4"/>
  <c r="E327" i="4"/>
  <c r="E195" i="4"/>
  <c r="E488" i="4"/>
  <c r="E268" i="4"/>
  <c r="E33" i="4"/>
  <c r="E230" i="4"/>
  <c r="E507" i="4"/>
  <c r="E509" i="4"/>
  <c r="E86" i="4"/>
  <c r="E177" i="4"/>
  <c r="E216" i="4"/>
  <c r="E54" i="4"/>
  <c r="E479" i="4"/>
  <c r="E513" i="4"/>
  <c r="E128" i="4"/>
  <c r="E240" i="4"/>
  <c r="E285" i="4"/>
  <c r="E126" i="4"/>
  <c r="E352" i="4"/>
  <c r="E71" i="4"/>
  <c r="E376" i="4"/>
  <c r="E153" i="4"/>
  <c r="E354" i="4"/>
  <c r="E449" i="4"/>
  <c r="E379" i="4"/>
  <c r="E48" i="4"/>
  <c r="E515" i="4"/>
  <c r="E441" i="4"/>
  <c r="E310" i="4"/>
  <c r="E95" i="4"/>
  <c r="E77" i="4"/>
  <c r="E416" i="4"/>
  <c r="E239" i="4"/>
  <c r="E430" i="4"/>
  <c r="E473" i="4"/>
  <c r="E442" i="4"/>
  <c r="E198" i="4"/>
  <c r="E482" i="4"/>
  <c r="E84" i="4"/>
  <c r="E103" i="4"/>
  <c r="E58" i="4"/>
  <c r="E377" i="4"/>
  <c r="E497" i="4"/>
  <c r="E224" i="4"/>
  <c r="E447" i="4"/>
  <c r="E31" i="4"/>
  <c r="E37" i="4"/>
  <c r="E372" i="4"/>
  <c r="E232" i="4"/>
  <c r="E267" i="4"/>
  <c r="E209" i="4"/>
  <c r="E295" i="4"/>
  <c r="E65" i="4"/>
  <c r="E293" i="4"/>
  <c r="E272" i="4"/>
  <c r="E235" i="4"/>
  <c r="E132" i="4"/>
  <c r="E450" i="4"/>
  <c r="E433" i="4"/>
  <c r="E459" i="4"/>
  <c r="E480" i="4"/>
  <c r="E298" i="4"/>
  <c r="E62" i="4"/>
  <c r="E390" i="4"/>
  <c r="E80" i="4"/>
  <c r="E189" i="4"/>
  <c r="E306" i="4"/>
  <c r="E496" i="4"/>
  <c r="E101" i="4"/>
  <c r="E24" i="4"/>
  <c r="E334" i="4"/>
  <c r="E174" i="4"/>
  <c r="E81" i="4"/>
  <c r="E9" i="4"/>
  <c r="E28" i="4"/>
  <c r="E42" i="4"/>
  <c r="E159" i="4"/>
  <c r="E424" i="4"/>
  <c r="E197" i="4"/>
  <c r="E105" i="4"/>
  <c r="E299" i="4"/>
  <c r="E208" i="4"/>
  <c r="E61" i="4"/>
  <c r="E452" i="4"/>
  <c r="E388" i="4"/>
  <c r="E470" i="4"/>
  <c r="E336" i="4"/>
  <c r="E148" i="4"/>
  <c r="E435" i="4"/>
  <c r="E121" i="4"/>
  <c r="E94" i="4"/>
  <c r="E30" i="4"/>
  <c r="E421" i="4"/>
  <c r="E530" i="4"/>
  <c r="E349" i="4"/>
  <c r="E438" i="4"/>
  <c r="E484" i="4"/>
  <c r="E156" i="4"/>
  <c r="E391" i="4"/>
  <c r="E462" i="4"/>
  <c r="E56" i="4"/>
  <c r="E511" i="4"/>
  <c r="E150" i="4"/>
  <c r="E301" i="4"/>
  <c r="E404" i="4"/>
  <c r="E375" i="4"/>
  <c r="E320" i="4"/>
  <c r="E200" i="4"/>
  <c r="E259" i="4"/>
  <c r="E178" i="4"/>
  <c r="E440" i="4"/>
  <c r="E38" i="4"/>
  <c r="E202" i="4"/>
  <c r="E312" i="4"/>
  <c r="E401" i="4"/>
  <c r="E422" i="4"/>
  <c r="E499" i="4"/>
  <c r="E183" i="4"/>
  <c r="E290" i="4"/>
  <c r="E341" i="4"/>
  <c r="E363" i="4"/>
  <c r="E490" i="4"/>
  <c r="E328" i="4"/>
  <c r="E428" i="4"/>
  <c r="E420" i="4"/>
  <c r="E353" i="4"/>
  <c r="E282" i="4"/>
  <c r="E368" i="4"/>
  <c r="E317" i="4"/>
  <c r="E291" i="4"/>
  <c r="E485" i="4"/>
  <c r="E477" i="4"/>
  <c r="E491" i="4"/>
  <c r="E262" i="4"/>
  <c r="E478" i="4"/>
  <c r="E233" i="4"/>
  <c r="E405" i="4"/>
  <c r="E503" i="4"/>
  <c r="E134" i="4"/>
  <c r="E323" i="4"/>
  <c r="E510" i="4"/>
  <c r="E519" i="4"/>
  <c r="E187" i="4"/>
  <c r="E411" i="4"/>
  <c r="E238" i="4"/>
  <c r="E152" i="4"/>
  <c r="E535" i="4"/>
  <c r="E397" i="4"/>
  <c r="E443" i="4"/>
  <c r="E304" i="4"/>
  <c r="E392" i="4"/>
  <c r="E402" i="4"/>
  <c r="E79" i="4"/>
  <c r="E358" i="4"/>
  <c r="E362" i="4"/>
  <c r="E371" i="4"/>
  <c r="E279" i="4"/>
  <c r="E207" i="4"/>
  <c r="E288" i="4"/>
  <c r="E251" i="4"/>
  <c r="E133" i="4"/>
  <c r="E475" i="4"/>
  <c r="E505" i="4"/>
  <c r="E366" i="4"/>
  <c r="E437" i="4"/>
  <c r="E109" i="4"/>
  <c r="E243" i="4"/>
  <c r="E186" i="4"/>
  <c r="E93" i="4"/>
  <c r="E463" i="4"/>
  <c r="E43" i="4"/>
  <c r="E455" i="4"/>
  <c r="E332" i="4"/>
  <c r="E346" i="4"/>
  <c r="E275" i="4"/>
  <c r="E172" i="4"/>
  <c r="E476" i="4"/>
  <c r="E212" i="4"/>
  <c r="E131" i="4"/>
  <c r="E384" i="4"/>
  <c r="E307" i="4"/>
  <c r="E196" i="4"/>
  <c r="E389" i="4"/>
  <c r="E115" i="4"/>
  <c r="E151" i="4"/>
  <c r="E355" i="4"/>
  <c r="E281" i="4"/>
  <c r="E501" i="4"/>
  <c r="E386" i="4"/>
  <c r="E374" i="4"/>
  <c r="E400" i="4"/>
  <c r="E14" i="4"/>
  <c r="E96" i="4"/>
  <c r="E190" i="4"/>
  <c r="E266" i="4"/>
  <c r="E469" i="4"/>
  <c r="E97" i="4"/>
  <c r="E67" i="4"/>
  <c r="E465" i="4"/>
  <c r="E47" i="4"/>
  <c r="E322" i="4"/>
  <c r="E72" i="4"/>
  <c r="E179" i="4"/>
  <c r="E399" i="4"/>
  <c r="E347" i="4"/>
  <c r="E483" i="4"/>
  <c r="E92" i="4"/>
  <c r="E365" i="4"/>
  <c r="E163" i="4"/>
  <c r="E369" i="4"/>
  <c r="E155" i="4"/>
  <c r="E466" i="4"/>
  <c r="E248" i="4"/>
  <c r="E74" i="4"/>
  <c r="E157" i="4"/>
  <c r="E52" i="4"/>
  <c r="E492" i="4"/>
  <c r="E70" i="4"/>
  <c r="E40" i="4"/>
  <c r="E516" i="4"/>
  <c r="E359" i="4"/>
  <c r="E456" i="4"/>
  <c r="E11" i="4"/>
  <c r="E91" i="4"/>
  <c r="E160" i="4"/>
  <c r="E468" i="4"/>
  <c r="E106" i="4"/>
  <c r="E527" i="4"/>
  <c r="E110" i="4"/>
  <c r="E514" i="4"/>
  <c r="E316" i="4"/>
  <c r="E338" i="4"/>
  <c r="E309" i="4"/>
  <c r="E219" i="4"/>
  <c r="E537" i="4"/>
  <c r="E166" i="4"/>
  <c r="E60" i="4"/>
  <c r="E34" i="4"/>
  <c r="E164" i="4"/>
  <c r="E53" i="4"/>
  <c r="E64" i="4"/>
  <c r="E227" i="4"/>
  <c r="E127" i="4"/>
  <c r="E39" i="4"/>
  <c r="E168" i="4"/>
  <c r="E165" i="4"/>
  <c r="E149" i="4"/>
  <c r="E167" i="4"/>
  <c r="E308" i="4"/>
  <c r="E343" i="4"/>
  <c r="E188" i="4"/>
  <c r="E204" i="4"/>
  <c r="E506" i="4"/>
  <c r="D157" i="19" a="1"/>
  <c r="E23" i="4"/>
  <c r="E445" i="4"/>
  <c r="E493" i="4"/>
  <c r="E36" i="4"/>
  <c r="E87" i="4"/>
  <c r="E107" i="4"/>
  <c r="E536" i="4"/>
  <c r="E489" i="4"/>
  <c r="E314" i="4"/>
  <c r="E10" i="4"/>
  <c r="E222" i="4"/>
  <c r="E523" i="4"/>
  <c r="E370" i="4"/>
  <c r="E297" i="4"/>
  <c r="E117" i="4"/>
  <c r="E147" i="4"/>
  <c r="E378" i="4"/>
  <c r="E75" i="4"/>
  <c r="E283" i="4"/>
  <c r="E471" i="4"/>
  <c r="E51" i="4"/>
  <c r="E417" i="4"/>
  <c r="E237" i="4"/>
  <c r="E344" i="4"/>
  <c r="E257" i="4"/>
  <c r="E436" i="4"/>
  <c r="E162" i="4"/>
  <c r="E342" i="4"/>
  <c r="E83" i="4"/>
  <c r="E461" i="4"/>
  <c r="E502" i="4"/>
  <c r="E303" i="4"/>
  <c r="E139" i="4"/>
  <c r="E448" i="4"/>
  <c r="E427" i="4"/>
  <c r="E236" i="4"/>
  <c r="E191" i="4"/>
  <c r="E284" i="4"/>
  <c r="E205" i="4"/>
  <c r="E45" i="4"/>
  <c r="E113" i="4"/>
  <c r="E423" i="4"/>
  <c r="E182" i="4"/>
  <c r="E161" i="4"/>
  <c r="E319" i="4"/>
  <c r="E451" i="4"/>
  <c r="E169" i="4"/>
  <c r="E351" i="4"/>
  <c r="E348" i="4"/>
  <c r="E66" i="4"/>
  <c r="E340" i="4"/>
  <c r="E387" i="4"/>
  <c r="E111" i="4"/>
  <c r="E414" i="4"/>
  <c r="E367" i="4"/>
  <c r="E17" i="4"/>
  <c r="E286" i="4"/>
  <c r="E458" i="4"/>
  <c r="E18" i="4"/>
  <c r="E221" i="4"/>
  <c r="E88" i="4"/>
  <c r="E22" i="4"/>
  <c r="E146" i="4"/>
  <c r="E137" i="4"/>
  <c r="E410" i="4"/>
  <c r="B87" i="17" l="1"/>
  <c r="C60" i="8"/>
  <c r="C105" i="16"/>
  <c r="C94" i="16"/>
  <c r="B130" i="7"/>
  <c r="B128" i="11"/>
  <c r="B78" i="9"/>
  <c r="C35" i="8"/>
  <c r="C40" i="8"/>
  <c r="C16" i="8"/>
  <c r="C49" i="14"/>
  <c r="C11" i="8"/>
  <c r="C20" i="8"/>
  <c r="C30" i="8"/>
  <c r="C24" i="8"/>
  <c r="C49" i="8"/>
  <c r="C7" i="8"/>
  <c r="C114" i="16"/>
  <c r="C62" i="16"/>
  <c r="C88" i="16"/>
  <c r="C95" i="16"/>
  <c r="C106" i="16"/>
  <c r="C120" i="16"/>
  <c r="C68" i="16"/>
  <c r="E29" i="5"/>
  <c r="R2" i="9"/>
  <c r="C48" i="16"/>
  <c r="H4" i="23"/>
  <c r="C77" i="16"/>
  <c r="C54" i="16"/>
  <c r="J3" i="9"/>
  <c r="C47" i="16"/>
  <c r="P3" i="9"/>
  <c r="B1" i="1"/>
  <c r="C81" i="17"/>
  <c r="D109" i="7"/>
  <c r="J43" i="1"/>
  <c r="E14" i="5"/>
  <c r="B38" i="7"/>
  <c r="C40" i="9"/>
  <c r="E112" i="5"/>
  <c r="C30" i="9"/>
  <c r="E42" i="5"/>
  <c r="B69" i="2" s="1"/>
  <c r="I60" i="1"/>
  <c r="C64" i="8"/>
  <c r="D134" i="7"/>
  <c r="C22" i="1"/>
  <c r="I5" i="5"/>
  <c r="AB15" i="16"/>
  <c r="C5" i="5"/>
  <c r="K2" i="17" s="1"/>
  <c r="K3" i="17" s="1"/>
  <c r="AK4" i="16" s="1"/>
  <c r="I36" i="16" s="1"/>
  <c r="C82" i="16"/>
  <c r="C104" i="7"/>
  <c r="C29" i="1"/>
  <c r="C40" i="1"/>
  <c r="F130" i="7"/>
  <c r="G128" i="11" s="1"/>
  <c r="C27" i="6"/>
  <c r="C57" i="9"/>
  <c r="C15" i="9"/>
  <c r="B47" i="23"/>
  <c r="Q123" i="2" s="1"/>
  <c r="E19" i="5"/>
  <c r="B17" i="10"/>
  <c r="K16" i="1"/>
  <c r="C21" i="17"/>
  <c r="C59" i="1"/>
  <c r="C45" i="8"/>
  <c r="C102" i="17"/>
  <c r="C85" i="16"/>
  <c r="C47" i="6"/>
  <c r="E85" i="5"/>
  <c r="D126" i="7"/>
  <c r="C55" i="8"/>
  <c r="E26" i="5"/>
  <c r="C110" i="7"/>
  <c r="C109" i="7"/>
  <c r="C107" i="7"/>
  <c r="C106" i="7"/>
  <c r="C108" i="7"/>
  <c r="C75" i="16"/>
  <c r="D115" i="7"/>
  <c r="C59" i="17"/>
  <c r="C25" i="6"/>
  <c r="C119" i="16"/>
  <c r="C59" i="16"/>
  <c r="Z23" i="16"/>
  <c r="Z18" i="16"/>
  <c r="B25" i="10"/>
  <c r="D70" i="7"/>
  <c r="C25" i="1"/>
  <c r="C28" i="6"/>
  <c r="Z12" i="16"/>
  <c r="E94" i="5"/>
  <c r="AH87" i="17" s="1"/>
  <c r="E105" i="5"/>
  <c r="AM9" i="17" s="1"/>
  <c r="AN9" i="17" s="1"/>
  <c r="E122" i="5"/>
  <c r="E31" i="5"/>
  <c r="AD32" i="6"/>
  <c r="O22" i="21" s="1"/>
  <c r="Q22" i="21" s="1"/>
  <c r="E40" i="5"/>
  <c r="C9" i="6"/>
  <c r="E127" i="5"/>
  <c r="G127" i="5" s="1"/>
  <c r="E116" i="5"/>
  <c r="E9" i="5"/>
  <c r="C14" i="25" s="1"/>
  <c r="E110" i="5"/>
  <c r="E52" i="5"/>
  <c r="E35" i="5"/>
  <c r="F24" i="2" s="1"/>
  <c r="E57" i="5"/>
  <c r="E46" i="5"/>
  <c r="G46" i="5" s="1"/>
  <c r="K22" i="1"/>
  <c r="C67" i="16"/>
  <c r="E43" i="1"/>
  <c r="D113" i="7"/>
  <c r="C57" i="17"/>
  <c r="B1" i="8"/>
  <c r="C22" i="17"/>
  <c r="C9" i="1"/>
  <c r="B1" i="17"/>
  <c r="J36" i="1"/>
  <c r="C43" i="16"/>
  <c r="C17" i="17"/>
  <c r="J54" i="1"/>
  <c r="C50" i="16"/>
  <c r="E103" i="5"/>
  <c r="J46" i="9"/>
  <c r="J130" i="7"/>
  <c r="I128" i="11" s="1"/>
  <c r="C77" i="17"/>
  <c r="D105" i="7"/>
  <c r="C105" i="7"/>
  <c r="E86" i="5"/>
  <c r="C73" i="17"/>
  <c r="D101" i="7"/>
  <c r="D125" i="7"/>
  <c r="B19" i="10"/>
  <c r="C46" i="16"/>
  <c r="C53" i="16"/>
  <c r="C74" i="17"/>
  <c r="D102" i="7"/>
  <c r="C4" i="17"/>
  <c r="D5" i="5"/>
  <c r="P2" i="17" s="1"/>
  <c r="P3" i="17" s="1"/>
  <c r="AL4" i="16" s="1"/>
  <c r="K36" i="16" s="1"/>
  <c r="AC15" i="16"/>
  <c r="C91" i="17"/>
  <c r="C94" i="17"/>
  <c r="C14" i="17"/>
  <c r="E55" i="9"/>
  <c r="E53" i="9"/>
  <c r="B29" i="23"/>
  <c r="Q105" i="2" s="1"/>
  <c r="E56" i="9"/>
  <c r="E54" i="9"/>
  <c r="C76" i="17"/>
  <c r="D104" i="7"/>
  <c r="B57" i="1"/>
  <c r="E87" i="5"/>
  <c r="B9" i="10"/>
  <c r="C61" i="17"/>
  <c r="D117" i="7"/>
  <c r="B8" i="1"/>
  <c r="B34" i="9"/>
  <c r="M6" i="17"/>
  <c r="H37" i="16"/>
  <c r="R6" i="17"/>
  <c r="Z5" i="16"/>
  <c r="H6" i="17"/>
  <c r="Z33" i="16"/>
  <c r="Z29" i="16"/>
  <c r="N37" i="16"/>
  <c r="L37" i="16"/>
  <c r="W6" i="17"/>
  <c r="J37" i="16"/>
  <c r="Z10" i="16"/>
  <c r="M43" i="1"/>
  <c r="B79" i="7"/>
  <c r="C44" i="8"/>
  <c r="C41" i="8"/>
  <c r="C36" i="8"/>
  <c r="C26" i="8"/>
  <c r="C31" i="8"/>
  <c r="D92" i="7"/>
  <c r="C45" i="17"/>
  <c r="E83" i="5"/>
  <c r="C49" i="6"/>
  <c r="Q82" i="2"/>
  <c r="C15" i="8"/>
  <c r="C51" i="9"/>
  <c r="E12" i="5"/>
  <c r="H43" i="1"/>
  <c r="C9" i="9"/>
  <c r="E51" i="9"/>
  <c r="B20" i="7"/>
  <c r="B23" i="23"/>
  <c r="Q100" i="2" s="1"/>
  <c r="G2" i="23"/>
  <c r="C40" i="6"/>
  <c r="B4" i="10"/>
  <c r="D132" i="7"/>
  <c r="C62" i="8"/>
  <c r="K18" i="1"/>
  <c r="B24" i="17"/>
  <c r="C62" i="9"/>
  <c r="C45" i="6"/>
  <c r="C73" i="16"/>
  <c r="C134" i="7"/>
  <c r="C132" i="7"/>
  <c r="C133" i="7"/>
  <c r="C131" i="7"/>
  <c r="N46" i="9"/>
  <c r="B14" i="1"/>
  <c r="X4" i="9"/>
  <c r="AB4" i="9"/>
  <c r="C19" i="6"/>
  <c r="C58" i="1"/>
  <c r="C18" i="9"/>
  <c r="E22" i="5"/>
  <c r="C60" i="9"/>
  <c r="B50" i="23"/>
  <c r="Q126" i="2" s="1"/>
  <c r="C110" i="16"/>
  <c r="Z4" i="9"/>
  <c r="V4" i="9"/>
  <c r="C16" i="6"/>
  <c r="L46" i="9"/>
  <c r="C103" i="17"/>
  <c r="C86" i="16"/>
  <c r="C122" i="7"/>
  <c r="C87" i="16"/>
  <c r="E89" i="5"/>
  <c r="F5" i="5"/>
  <c r="C11" i="6"/>
  <c r="B2" i="23"/>
  <c r="D5" i="23"/>
  <c r="H5" i="23"/>
  <c r="E5" i="5"/>
  <c r="U2" i="17" s="1"/>
  <c r="U3" i="17" s="1"/>
  <c r="AM4" i="16" s="1"/>
  <c r="AD27" i="16" s="1"/>
  <c r="AD15" i="16"/>
  <c r="C100" i="16"/>
  <c r="C109" i="17"/>
  <c r="C50" i="9"/>
  <c r="E61" i="9"/>
  <c r="B17" i="23"/>
  <c r="Q93" i="2" s="1"/>
  <c r="E11" i="5"/>
  <c r="B13" i="7"/>
  <c r="C8" i="9"/>
  <c r="E50" i="9"/>
  <c r="C10" i="8"/>
  <c r="G43" i="1"/>
  <c r="D93" i="7"/>
  <c r="C18" i="1"/>
  <c r="K36" i="9"/>
  <c r="N6" i="9"/>
  <c r="R48" i="9"/>
  <c r="AB6" i="9"/>
  <c r="N5" i="8"/>
  <c r="F6" i="9"/>
  <c r="X5" i="8"/>
  <c r="J5" i="8"/>
  <c r="F48" i="9"/>
  <c r="X5" i="7"/>
  <c r="AB5" i="8"/>
  <c r="M28" i="9"/>
  <c r="J7" i="23"/>
  <c r="AD5" i="8"/>
  <c r="F66" i="9"/>
  <c r="M38" i="9"/>
  <c r="Z6" i="9"/>
  <c r="L5" i="8"/>
  <c r="P5" i="7"/>
  <c r="K38" i="9"/>
  <c r="V5" i="7"/>
  <c r="H6" i="9"/>
  <c r="AB5" i="7"/>
  <c r="T5" i="8"/>
  <c r="F73" i="9"/>
  <c r="R5" i="7"/>
  <c r="O28" i="9"/>
  <c r="H5" i="8"/>
  <c r="F7" i="23"/>
  <c r="N5" i="7"/>
  <c r="V6" i="9"/>
  <c r="L7" i="23"/>
  <c r="J5" i="7"/>
  <c r="H5" i="7"/>
  <c r="E28" i="9"/>
  <c r="E38" i="9"/>
  <c r="F80" i="9"/>
  <c r="H7" i="23"/>
  <c r="V5" i="8"/>
  <c r="P6" i="9"/>
  <c r="Z5" i="7"/>
  <c r="G38" i="9"/>
  <c r="L6" i="9"/>
  <c r="R6" i="9"/>
  <c r="AD5" i="7"/>
  <c r="H48" i="9"/>
  <c r="T6" i="9"/>
  <c r="R5" i="8"/>
  <c r="X6" i="9"/>
  <c r="F5" i="7"/>
  <c r="N7" i="23"/>
  <c r="N48" i="9"/>
  <c r="D7" i="23"/>
  <c r="P5" i="8"/>
  <c r="L48" i="9"/>
  <c r="J6" i="9"/>
  <c r="Z5" i="8"/>
  <c r="J48" i="9"/>
  <c r="T5" i="7"/>
  <c r="L5" i="7"/>
  <c r="G28" i="9"/>
  <c r="F5" i="8"/>
  <c r="P48" i="9"/>
  <c r="C34" i="7"/>
  <c r="C52" i="7"/>
  <c r="C25" i="7"/>
  <c r="C73" i="7"/>
  <c r="C63" i="7"/>
  <c r="C80" i="16"/>
  <c r="C42" i="7"/>
  <c r="C88" i="7"/>
  <c r="C89" i="17"/>
  <c r="C92" i="17"/>
  <c r="E117" i="5"/>
  <c r="E47" i="5"/>
  <c r="C93" i="17"/>
  <c r="C90" i="17"/>
  <c r="C13" i="17"/>
  <c r="C46" i="6"/>
  <c r="D108" i="7"/>
  <c r="C80" i="17"/>
  <c r="D8" i="7"/>
  <c r="C10" i="6"/>
  <c r="B35" i="10"/>
  <c r="H5" i="5"/>
  <c r="B76" i="2"/>
  <c r="C136" i="7"/>
  <c r="E36" i="5"/>
  <c r="F25" i="2" s="1"/>
  <c r="K29" i="9"/>
  <c r="C37" i="6"/>
  <c r="D90" i="7"/>
  <c r="C63" i="16"/>
  <c r="C121" i="16"/>
  <c r="C89" i="16"/>
  <c r="G73" i="9"/>
  <c r="G66" i="9"/>
  <c r="G5" i="7"/>
  <c r="N28" i="9"/>
  <c r="Q5" i="8"/>
  <c r="O6" i="9"/>
  <c r="Q6" i="9"/>
  <c r="AC5" i="8"/>
  <c r="I6" i="9"/>
  <c r="M48" i="9"/>
  <c r="H38" i="9"/>
  <c r="AA5" i="7"/>
  <c r="S5" i="8"/>
  <c r="S48" i="9"/>
  <c r="U5" i="8"/>
  <c r="S5" i="7"/>
  <c r="AE5" i="8"/>
  <c r="I48" i="9"/>
  <c r="W5" i="8"/>
  <c r="G48" i="9"/>
  <c r="AC5" i="7"/>
  <c r="F28" i="9"/>
  <c r="M6" i="9"/>
  <c r="Y6" i="9"/>
  <c r="G7" i="23"/>
  <c r="G5" i="8"/>
  <c r="Y5" i="8"/>
  <c r="O5" i="7"/>
  <c r="K7" i="23"/>
  <c r="S6" i="9"/>
  <c r="K6" i="9"/>
  <c r="AA6" i="9"/>
  <c r="W5" i="7"/>
  <c r="Y5" i="7"/>
  <c r="M7" i="23"/>
  <c r="I7" i="23"/>
  <c r="N38" i="9"/>
  <c r="O48" i="9"/>
  <c r="K5" i="7"/>
  <c r="U6" i="9"/>
  <c r="G6" i="9"/>
  <c r="U5" i="7"/>
  <c r="AA5" i="8"/>
  <c r="F38" i="9"/>
  <c r="W6" i="9"/>
  <c r="M5" i="7"/>
  <c r="P28" i="9"/>
  <c r="Q48" i="9"/>
  <c r="K5" i="8"/>
  <c r="G80" i="9"/>
  <c r="I5" i="8"/>
  <c r="O7" i="23"/>
  <c r="E7" i="23"/>
  <c r="AC6" i="9"/>
  <c r="O5" i="8"/>
  <c r="K48" i="9"/>
  <c r="I5" i="7"/>
  <c r="Q5" i="7"/>
  <c r="M5" i="8"/>
  <c r="H28" i="9"/>
  <c r="AE5" i="7"/>
  <c r="L38" i="9"/>
  <c r="H3" i="9"/>
  <c r="C12" i="6"/>
  <c r="C32" i="6"/>
  <c r="C34" i="1"/>
  <c r="E20" i="5"/>
  <c r="C58" i="9"/>
  <c r="B48" i="23"/>
  <c r="Q124" i="2" s="1"/>
  <c r="C16" i="9"/>
  <c r="C98" i="17"/>
  <c r="C54" i="17"/>
  <c r="C19" i="17"/>
  <c r="C52" i="16"/>
  <c r="C45" i="16"/>
  <c r="Z3" i="16"/>
  <c r="C88" i="17"/>
  <c r="K30" i="9"/>
  <c r="E37" i="5"/>
  <c r="F26" i="2" s="1"/>
  <c r="C11" i="9"/>
  <c r="C23" i="8"/>
  <c r="C53" i="9"/>
  <c r="C56" i="16"/>
  <c r="E27" i="5"/>
  <c r="D43" i="7"/>
  <c r="D54" i="7"/>
  <c r="C47" i="17"/>
  <c r="D17" i="7"/>
  <c r="D10" i="7"/>
  <c r="D35" i="7"/>
  <c r="D82" i="7"/>
  <c r="D74" i="7"/>
  <c r="D26" i="7"/>
  <c r="D64" i="7"/>
  <c r="D89" i="7"/>
  <c r="C28" i="1"/>
  <c r="C38" i="1"/>
  <c r="C56" i="17"/>
  <c r="B112" i="7"/>
  <c r="D118" i="7"/>
  <c r="C62" i="17"/>
  <c r="C92" i="16"/>
  <c r="C103" i="16"/>
  <c r="H46" i="9"/>
  <c r="C10" i="1"/>
  <c r="C78" i="16"/>
  <c r="C104" i="16"/>
  <c r="C93" i="16"/>
  <c r="C54" i="8"/>
  <c r="C29" i="6"/>
  <c r="E28" i="5"/>
  <c r="D119" i="7"/>
  <c r="C63" i="17"/>
  <c r="Z24" i="16"/>
  <c r="C60" i="16"/>
  <c r="H45" i="9"/>
  <c r="Z28" i="16"/>
  <c r="K6" i="17"/>
  <c r="F6" i="17"/>
  <c r="K37" i="16"/>
  <c r="G37" i="16"/>
  <c r="I37" i="16"/>
  <c r="M37" i="16"/>
  <c r="U6" i="17"/>
  <c r="Z9" i="16"/>
  <c r="P6" i="17"/>
  <c r="Z32" i="16"/>
  <c r="Z4" i="16"/>
  <c r="E60" i="9"/>
  <c r="E57" i="9"/>
  <c r="E59" i="9"/>
  <c r="G25" i="9"/>
  <c r="E58" i="9"/>
  <c r="B46" i="23"/>
  <c r="Q122" i="2" s="1"/>
  <c r="O25" i="9"/>
  <c r="J34" i="9"/>
  <c r="D23" i="7"/>
  <c r="E113" i="5"/>
  <c r="E43" i="5"/>
  <c r="K43" i="5" s="1"/>
  <c r="C41" i="9"/>
  <c r="C31" i="9"/>
  <c r="C28" i="17"/>
  <c r="C13" i="6"/>
  <c r="D128" i="7"/>
  <c r="C57" i="8"/>
  <c r="C33" i="6"/>
  <c r="C48" i="6"/>
  <c r="B43" i="9"/>
  <c r="C35" i="1"/>
  <c r="C108" i="16"/>
  <c r="E107" i="5"/>
  <c r="I62" i="21" s="1"/>
  <c r="C26" i="17"/>
  <c r="Z31" i="16"/>
  <c r="Q99" i="2"/>
  <c r="B29" i="10"/>
  <c r="C35" i="17"/>
  <c r="D22" i="7"/>
  <c r="D81" i="7"/>
  <c r="C43" i="17"/>
  <c r="C66" i="16"/>
  <c r="C29" i="17"/>
  <c r="C95" i="17"/>
  <c r="C111" i="16"/>
  <c r="C68" i="9"/>
  <c r="I59" i="1"/>
  <c r="C42" i="16"/>
  <c r="C49" i="16"/>
  <c r="J35" i="1"/>
  <c r="C16" i="17"/>
  <c r="J53" i="1"/>
  <c r="C39" i="16"/>
  <c r="V3" i="9"/>
  <c r="C6" i="1"/>
  <c r="B37" i="10"/>
  <c r="B23" i="10"/>
  <c r="E32" i="5"/>
  <c r="D77" i="7"/>
  <c r="C50" i="17"/>
  <c r="D46" i="7"/>
  <c r="D57" i="7"/>
  <c r="D67" i="7"/>
  <c r="C8" i="8"/>
  <c r="C21" i="8"/>
  <c r="C50" i="14"/>
  <c r="C50" i="8"/>
  <c r="C17" i="8"/>
  <c r="C12" i="8"/>
  <c r="C22" i="6"/>
  <c r="C11" i="17"/>
  <c r="L32" i="1"/>
  <c r="N3" i="9"/>
  <c r="T3" i="9"/>
  <c r="C16" i="1"/>
  <c r="C116" i="16"/>
  <c r="C63" i="1"/>
  <c r="D88" i="7"/>
  <c r="D42" i="7"/>
  <c r="D52" i="7"/>
  <c r="D63" i="7"/>
  <c r="D34" i="7"/>
  <c r="C41" i="17"/>
  <c r="D73" i="7"/>
  <c r="D25" i="7"/>
  <c r="C14" i="6"/>
  <c r="D14" i="7"/>
  <c r="C38" i="17"/>
  <c r="D85" i="7"/>
  <c r="D80" i="7"/>
  <c r="D15" i="7"/>
  <c r="C25" i="8"/>
  <c r="C78" i="17"/>
  <c r="D106" i="7"/>
  <c r="C51" i="16"/>
  <c r="C44" i="16"/>
  <c r="C44" i="6"/>
  <c r="E25" i="5"/>
  <c r="B23" i="9"/>
  <c r="B1" i="10"/>
  <c r="J5" i="5"/>
  <c r="C102" i="16"/>
  <c r="E38" i="5"/>
  <c r="F27" i="2" s="1"/>
  <c r="K31" i="9"/>
  <c r="C113" i="16"/>
  <c r="F45" i="9"/>
  <c r="O3" i="23"/>
  <c r="B7" i="10"/>
  <c r="J5" i="23"/>
  <c r="N5" i="23"/>
  <c r="F5" i="23"/>
  <c r="D22" i="1"/>
  <c r="D7" i="7"/>
  <c r="C39" i="17"/>
  <c r="E102" i="5"/>
  <c r="C48" i="1"/>
  <c r="C47" i="1"/>
  <c r="C50" i="1"/>
  <c r="C49" i="1"/>
  <c r="C46" i="1"/>
  <c r="C67" i="17"/>
  <c r="B96" i="7"/>
  <c r="C41" i="7"/>
  <c r="C18" i="7"/>
  <c r="C53" i="7"/>
  <c r="C26" i="7"/>
  <c r="C71" i="7"/>
  <c r="C74" i="7"/>
  <c r="C27" i="7"/>
  <c r="C32" i="7"/>
  <c r="C23" i="7"/>
  <c r="C36" i="7"/>
  <c r="C61" i="7"/>
  <c r="C9" i="7"/>
  <c r="C86" i="7"/>
  <c r="C17" i="7"/>
  <c r="C10" i="7"/>
  <c r="C81" i="7"/>
  <c r="C62" i="7"/>
  <c r="C33" i="7"/>
  <c r="C93" i="7"/>
  <c r="C40" i="17"/>
  <c r="C11" i="7"/>
  <c r="C8" i="7"/>
  <c r="C54" i="7"/>
  <c r="C50" i="7"/>
  <c r="C82" i="7"/>
  <c r="C43" i="7"/>
  <c r="C72" i="7"/>
  <c r="C87" i="7"/>
  <c r="C15" i="7"/>
  <c r="C64" i="7"/>
  <c r="C89" i="7"/>
  <c r="C16" i="7"/>
  <c r="C35" i="7"/>
  <c r="C51" i="7"/>
  <c r="C92" i="7"/>
  <c r="C40" i="7"/>
  <c r="C91" i="7"/>
  <c r="C24" i="7"/>
  <c r="B52" i="1"/>
  <c r="D4" i="23"/>
  <c r="C41" i="16"/>
  <c r="L2" i="9"/>
  <c r="B4" i="1"/>
  <c r="C103" i="7"/>
  <c r="C81" i="16"/>
  <c r="C33" i="17"/>
  <c r="D39" i="7"/>
  <c r="C20" i="1"/>
  <c r="G37" i="9"/>
  <c r="E37" i="9"/>
  <c r="C10" i="17"/>
  <c r="C23" i="1"/>
  <c r="C74" i="9"/>
  <c r="C81" i="9"/>
  <c r="M37" i="9"/>
  <c r="K37" i="9"/>
  <c r="J23" i="9"/>
  <c r="C70" i="16"/>
  <c r="Z21" i="16"/>
  <c r="C97" i="16"/>
  <c r="C117" i="16"/>
  <c r="C98" i="16"/>
  <c r="C57" i="16"/>
  <c r="Z16" i="16"/>
  <c r="C32" i="17"/>
  <c r="D49" i="7"/>
  <c r="C43" i="6"/>
  <c r="D127" i="7"/>
  <c r="C56" i="8"/>
  <c r="E33" i="5"/>
  <c r="C27" i="1"/>
  <c r="E90" i="5"/>
  <c r="C30" i="1"/>
  <c r="C52" i="14"/>
  <c r="C52" i="8"/>
  <c r="C79" i="16"/>
  <c r="D11" i="7"/>
  <c r="C48" i="17"/>
  <c r="D36" i="7"/>
  <c r="D27" i="7"/>
  <c r="D18" i="7"/>
  <c r="E16" i="5"/>
  <c r="C34" i="8"/>
  <c r="C55" i="9"/>
  <c r="B59" i="7"/>
  <c r="L43" i="1"/>
  <c r="C13" i="9"/>
  <c r="C42" i="8"/>
  <c r="C13" i="8"/>
  <c r="C51" i="14"/>
  <c r="C46" i="8"/>
  <c r="C37" i="8"/>
  <c r="C51" i="8"/>
  <c r="C27" i="8"/>
  <c r="C32" i="8"/>
  <c r="C38" i="6"/>
  <c r="D107" i="7"/>
  <c r="C79" i="17"/>
  <c r="C65" i="16"/>
  <c r="C31" i="6"/>
  <c r="E129" i="5"/>
  <c r="E54" i="5"/>
  <c r="E124" i="5"/>
  <c r="G5" i="5"/>
  <c r="C60" i="17"/>
  <c r="D116" i="7"/>
  <c r="E17" i="5"/>
  <c r="C56" i="9"/>
  <c r="C14" i="9"/>
  <c r="B69" i="7"/>
  <c r="C15" i="6"/>
  <c r="F3" i="9"/>
  <c r="D131" i="7"/>
  <c r="C61" i="8"/>
  <c r="C18" i="6"/>
  <c r="C52" i="17"/>
  <c r="D94" i="7"/>
  <c r="D31" i="7"/>
  <c r="C37" i="17"/>
  <c r="Z35" i="16"/>
  <c r="E48" i="5"/>
  <c r="M25" i="9"/>
  <c r="E25" i="9"/>
  <c r="C61" i="16"/>
  <c r="B29" i="7"/>
  <c r="I43" i="1"/>
  <c r="E13" i="5"/>
  <c r="B101" i="17"/>
  <c r="D98" i="7"/>
  <c r="C72" i="17"/>
  <c r="D75" i="7"/>
  <c r="D44" i="7"/>
  <c r="D65" i="7"/>
  <c r="C51" i="17"/>
  <c r="D55" i="7"/>
  <c r="C113" i="7"/>
  <c r="C119" i="7"/>
  <c r="C84" i="16"/>
  <c r="B121" i="7"/>
  <c r="D71" i="7"/>
  <c r="D40" i="7"/>
  <c r="D61" i="7"/>
  <c r="D50" i="7"/>
  <c r="B33" i="10"/>
  <c r="Z3" i="9"/>
  <c r="C40" i="16"/>
  <c r="C46" i="17"/>
  <c r="D53" i="7"/>
  <c r="C35" i="6"/>
  <c r="L5" i="23"/>
  <c r="G36" i="9"/>
  <c r="C94" i="7"/>
  <c r="C118" i="7"/>
  <c r="C21" i="9"/>
  <c r="C20" i="9"/>
  <c r="C106" i="17"/>
  <c r="Z7" i="16"/>
  <c r="J34" i="1"/>
  <c r="J52" i="1"/>
  <c r="C25" i="17"/>
  <c r="C109" i="16"/>
  <c r="C27" i="17"/>
  <c r="Z20" i="16"/>
  <c r="C44" i="17"/>
  <c r="D91" i="7"/>
  <c r="C20" i="6"/>
  <c r="B15" i="10"/>
  <c r="C60" i="1"/>
  <c r="C39" i="1"/>
  <c r="C34" i="6"/>
  <c r="C17" i="6"/>
  <c r="C104" i="17"/>
  <c r="B13" i="10"/>
  <c r="B71" i="9"/>
  <c r="C128" i="7"/>
  <c r="C126" i="7"/>
  <c r="C127" i="7"/>
  <c r="B122" i="11"/>
  <c r="B124" i="7"/>
  <c r="B9" i="17"/>
  <c r="K43" i="1"/>
  <c r="C54" i="9"/>
  <c r="B48" i="7"/>
  <c r="C12" i="9"/>
  <c r="C29" i="8"/>
  <c r="E15" i="5"/>
  <c r="B1" i="9"/>
  <c r="B31" i="10"/>
  <c r="C58" i="16"/>
  <c r="Z22" i="16"/>
  <c r="Z17" i="16"/>
  <c r="C118" i="16"/>
  <c r="C115" i="7"/>
  <c r="C72" i="16"/>
  <c r="C114" i="7"/>
  <c r="C117" i="7"/>
  <c r="C116" i="7"/>
  <c r="C5" i="1"/>
  <c r="D133" i="7"/>
  <c r="C63" i="8"/>
  <c r="C60" i="7"/>
  <c r="C21" i="7"/>
  <c r="C70" i="7"/>
  <c r="C49" i="7"/>
  <c r="C22" i="7"/>
  <c r="C30" i="7"/>
  <c r="C85" i="7"/>
  <c r="C14" i="7"/>
  <c r="C76" i="16"/>
  <c r="C39" i="7"/>
  <c r="C31" i="7"/>
  <c r="C80" i="7"/>
  <c r="C7" i="7"/>
  <c r="C97" i="7"/>
  <c r="C71" i="16"/>
  <c r="C98" i="7"/>
  <c r="C3" i="17"/>
  <c r="C36" i="6"/>
  <c r="H127" i="7"/>
  <c r="H125" i="11" s="1"/>
  <c r="H126" i="7"/>
  <c r="H124" i="11" s="1"/>
  <c r="H128" i="7"/>
  <c r="H126" i="11" s="1"/>
  <c r="C15" i="1"/>
  <c r="E91" i="5"/>
  <c r="R3" i="9"/>
  <c r="L3" i="9"/>
  <c r="C24" i="6"/>
  <c r="Z15" i="16"/>
  <c r="C84" i="17"/>
  <c r="C31" i="17"/>
  <c r="D60" i="7"/>
  <c r="C39" i="6"/>
  <c r="D8" i="17"/>
  <c r="C58" i="17"/>
  <c r="D114" i="7"/>
  <c r="C41" i="6"/>
  <c r="C42" i="6"/>
  <c r="C36" i="1"/>
  <c r="B100" i="7"/>
  <c r="Z27" i="16"/>
  <c r="B1" i="16"/>
  <c r="B84" i="7"/>
  <c r="C48" i="8"/>
  <c r="C61" i="9"/>
  <c r="E18" i="5"/>
  <c r="C19" i="9"/>
  <c r="C21" i="6"/>
  <c r="E95" i="5"/>
  <c r="C102" i="7"/>
  <c r="C101" i="7"/>
  <c r="C83" i="16"/>
  <c r="M36" i="9"/>
  <c r="E84" i="5"/>
  <c r="C30" i="6"/>
  <c r="D157" i="19"/>
  <c r="B3" i="10"/>
  <c r="E106" i="5"/>
  <c r="C34" i="17"/>
  <c r="D21" i="7"/>
  <c r="B64" i="9"/>
  <c r="D32" i="7"/>
  <c r="B27" i="10"/>
  <c r="C11" i="1"/>
  <c r="C96" i="17"/>
  <c r="C15" i="17"/>
  <c r="B11" i="10"/>
  <c r="E7" i="17"/>
  <c r="F70" i="16"/>
  <c r="B3" i="7"/>
  <c r="K20" i="1"/>
  <c r="D76" i="7"/>
  <c r="D66" i="7"/>
  <c r="D56" i="7"/>
  <c r="C49" i="17"/>
  <c r="D45" i="7"/>
  <c r="D103" i="7"/>
  <c r="C75" i="17"/>
  <c r="D30" i="7"/>
  <c r="C36" i="17"/>
  <c r="B21" i="10"/>
  <c r="C23" i="6"/>
  <c r="D86" i="7"/>
  <c r="E53" i="5"/>
  <c r="E128" i="5"/>
  <c r="E123" i="5"/>
  <c r="E118" i="5"/>
  <c r="C59" i="9"/>
  <c r="E21" i="5"/>
  <c r="B49" i="23"/>
  <c r="Q125" i="2" s="1"/>
  <c r="C17" i="9"/>
  <c r="D97" i="7"/>
  <c r="C71" i="17"/>
  <c r="C108" i="17"/>
  <c r="C62" i="1"/>
  <c r="C99" i="16"/>
  <c r="C29" i="9"/>
  <c r="E41" i="5"/>
  <c r="B68" i="2" s="1"/>
  <c r="C39" i="9"/>
  <c r="E111" i="5"/>
  <c r="AA15" i="16"/>
  <c r="B5" i="5"/>
  <c r="F2" i="17" s="1"/>
  <c r="F3" i="17" s="1"/>
  <c r="C56" i="7"/>
  <c r="C74" i="16"/>
  <c r="C57" i="7"/>
  <c r="C75" i="7"/>
  <c r="C77" i="7"/>
  <c r="C76" i="7"/>
  <c r="C66" i="7"/>
  <c r="C44" i="7"/>
  <c r="C67" i="7"/>
  <c r="C46" i="7"/>
  <c r="C90" i="7"/>
  <c r="C45" i="7"/>
  <c r="C55" i="7"/>
  <c r="C65" i="7"/>
  <c r="B139" i="7"/>
  <c r="E36" i="9"/>
  <c r="D110" i="7"/>
  <c r="C82" i="17"/>
  <c r="E52" i="9"/>
  <c r="C10" i="9"/>
  <c r="C19" i="8"/>
  <c r="C52" i="9"/>
  <c r="B26" i="23"/>
  <c r="Q102" i="2" s="1"/>
  <c r="C26" i="6"/>
  <c r="C112" i="16"/>
  <c r="D72" i="7"/>
  <c r="D33" i="7"/>
  <c r="D51" i="7"/>
  <c r="C42" i="17"/>
  <c r="D87" i="7"/>
  <c r="D24" i="7"/>
  <c r="D16" i="7"/>
  <c r="D9" i="7"/>
  <c r="D62" i="7"/>
  <c r="D41" i="7"/>
  <c r="C49" i="9"/>
  <c r="C7" i="9"/>
  <c r="B6" i="7"/>
  <c r="E10" i="5"/>
  <c r="B8" i="23"/>
  <c r="Q84" i="2" s="1"/>
  <c r="F43" i="1"/>
  <c r="C6" i="8"/>
  <c r="E49" i="9"/>
  <c r="C12" i="17"/>
  <c r="AC9" i="17"/>
  <c r="AD9" i="17" s="1"/>
  <c r="AB35" i="16"/>
  <c r="AB27" i="16"/>
  <c r="AC7" i="16"/>
  <c r="C5" i="19"/>
  <c r="L22" i="19" s="1"/>
  <c r="AC6" i="17"/>
  <c r="AC63" i="17" s="1"/>
  <c r="AD63" i="17" s="1"/>
  <c r="AB20" i="16"/>
  <c r="AB3" i="16"/>
  <c r="X91" i="25"/>
  <c r="X80" i="25"/>
  <c r="G122" i="5" l="1"/>
  <c r="G116" i="5"/>
  <c r="G110" i="5"/>
  <c r="G52" i="5"/>
  <c r="G31" i="5"/>
  <c r="C14" i="24"/>
  <c r="U5" i="24"/>
  <c r="I41" i="21"/>
  <c r="C5" i="24"/>
  <c r="L180" i="24" s="1"/>
  <c r="C12" i="22"/>
  <c r="C5" i="25"/>
  <c r="E148" i="25" s="1" a="1"/>
  <c r="E148" i="25" s="1"/>
  <c r="E149" i="25" s="1"/>
  <c r="I35" i="21"/>
  <c r="I109" i="21" s="1"/>
  <c r="E40" i="21"/>
  <c r="K41" i="21"/>
  <c r="C5" i="22"/>
  <c r="AR9" i="17"/>
  <c r="AS9" i="17" s="1"/>
  <c r="AB12" i="16"/>
  <c r="AT6" i="17"/>
  <c r="AT25" i="17" s="1"/>
  <c r="AE7" i="16"/>
  <c r="F35" i="21"/>
  <c r="F131" i="21" s="1"/>
  <c r="C14" i="19"/>
  <c r="E41" i="21"/>
  <c r="C12" i="25"/>
  <c r="E14" i="25" s="1"/>
  <c r="K35" i="21"/>
  <c r="K109" i="21" s="1"/>
  <c r="J35" i="21"/>
  <c r="J133" i="21" s="1"/>
  <c r="B25" i="2"/>
  <c r="AB31" i="16"/>
  <c r="G40" i="21"/>
  <c r="L35" i="21"/>
  <c r="L95" i="21" s="1"/>
  <c r="E45" i="21"/>
  <c r="AC12" i="16"/>
  <c r="AC3" i="16"/>
  <c r="U5" i="22"/>
  <c r="W64" i="22" s="1"/>
  <c r="AE6" i="17"/>
  <c r="AE29" i="17" s="1"/>
  <c r="G75" i="21"/>
  <c r="AR6" i="17"/>
  <c r="AR42" i="17" s="1"/>
  <c r="AS42" i="17" s="1"/>
  <c r="U5" i="25"/>
  <c r="W129" i="25" s="1"/>
  <c r="G35" i="21"/>
  <c r="G108" i="21" s="1"/>
  <c r="I40" i="16" s="1"/>
  <c r="AM6" i="17"/>
  <c r="AM50" i="17" s="1"/>
  <c r="AN50" i="17" s="1"/>
  <c r="C14" i="22"/>
  <c r="C12" i="19"/>
  <c r="B27" i="2"/>
  <c r="K40" i="21"/>
  <c r="U5" i="19"/>
  <c r="W164" i="19" s="1"/>
  <c r="AC31" i="16"/>
  <c r="F168" i="22"/>
  <c r="AC20" i="16"/>
  <c r="AH6" i="17"/>
  <c r="AH59" i="17" s="1"/>
  <c r="AI59" i="17" s="1"/>
  <c r="AO6" i="17"/>
  <c r="AO27" i="17" s="1"/>
  <c r="R27" i="17" s="1"/>
  <c r="G41" i="21"/>
  <c r="I40" i="21"/>
  <c r="H35" i="21"/>
  <c r="H108" i="21" s="1"/>
  <c r="J40" i="16" s="1"/>
  <c r="AJ6" i="17"/>
  <c r="AJ25" i="17" s="1"/>
  <c r="K42" i="5"/>
  <c r="AC27" i="16"/>
  <c r="E35" i="21"/>
  <c r="E115" i="21" s="1"/>
  <c r="C12" i="24"/>
  <c r="AC35" i="16"/>
  <c r="K41" i="5"/>
  <c r="E146" i="19" a="1"/>
  <c r="E146" i="19" s="1"/>
  <c r="E147" i="19" s="1"/>
  <c r="I182" i="24"/>
  <c r="E75" i="21"/>
  <c r="E146" i="22" a="1"/>
  <c r="E146" i="22" s="1"/>
  <c r="E147" i="22" s="1"/>
  <c r="F168" i="19"/>
  <c r="Q180" i="25"/>
  <c r="I183" i="25"/>
  <c r="F202" i="19"/>
  <c r="I181" i="22"/>
  <c r="F202" i="22"/>
  <c r="AD12" i="16"/>
  <c r="G73" i="21"/>
  <c r="F181" i="22"/>
  <c r="K80" i="21"/>
  <c r="T191" i="22"/>
  <c r="F191" i="24"/>
  <c r="G35" i="5"/>
  <c r="B70" i="2"/>
  <c r="I205" i="22"/>
  <c r="F183" i="19"/>
  <c r="I169" i="19"/>
  <c r="I191" i="25"/>
  <c r="I177" i="24"/>
  <c r="F180" i="19"/>
  <c r="I187" i="22"/>
  <c r="F192" i="25"/>
  <c r="T206" i="22"/>
  <c r="F214" i="24"/>
  <c r="O21" i="21"/>
  <c r="Q21" i="21" s="1"/>
  <c r="K21" i="21" s="1"/>
  <c r="T180" i="24"/>
  <c r="F191" i="22"/>
  <c r="T168" i="22"/>
  <c r="Q198" i="22"/>
  <c r="F198" i="25"/>
  <c r="I186" i="19"/>
  <c r="Q202" i="25"/>
  <c r="I176" i="22"/>
  <c r="I187" i="19"/>
  <c r="F214" i="22"/>
  <c r="T180" i="22"/>
  <c r="T183" i="25"/>
  <c r="F206" i="25"/>
  <c r="I207" i="22"/>
  <c r="Q169" i="22"/>
  <c r="I193" i="25"/>
  <c r="T207" i="22"/>
  <c r="I197" i="19"/>
  <c r="T183" i="22"/>
  <c r="F186" i="24"/>
  <c r="T182" i="25"/>
  <c r="T196" i="24"/>
  <c r="T192" i="24"/>
  <c r="I164" i="22"/>
  <c r="B24" i="2"/>
  <c r="K40" i="5"/>
  <c r="T196" i="25"/>
  <c r="F164" i="22"/>
  <c r="T169" i="22"/>
  <c r="F214" i="25"/>
  <c r="F176" i="25"/>
  <c r="Q197" i="24"/>
  <c r="F193" i="24"/>
  <c r="I177" i="25"/>
  <c r="T172" i="24"/>
  <c r="I169" i="22"/>
  <c r="T197" i="25"/>
  <c r="F180" i="22"/>
  <c r="T163" i="25"/>
  <c r="Q198" i="19"/>
  <c r="Q163" i="19"/>
  <c r="Q197" i="25"/>
  <c r="Q163" i="22"/>
  <c r="T187" i="25"/>
  <c r="Q183" i="24"/>
  <c r="Q177" i="24"/>
  <c r="T186" i="19"/>
  <c r="T188" i="24"/>
  <c r="I202" i="22"/>
  <c r="I167" i="22"/>
  <c r="T173" i="19"/>
  <c r="F193" i="22"/>
  <c r="Q176" i="22"/>
  <c r="Q164" i="25"/>
  <c r="T180" i="19"/>
  <c r="I206" i="25"/>
  <c r="F207" i="22"/>
  <c r="F181" i="19"/>
  <c r="I192" i="22"/>
  <c r="Q188" i="19"/>
  <c r="T173" i="25"/>
  <c r="Q173" i="19"/>
  <c r="T207" i="24"/>
  <c r="I181" i="25"/>
  <c r="I206" i="24"/>
  <c r="F182" i="24"/>
  <c r="I201" i="19"/>
  <c r="T192" i="22"/>
  <c r="F164" i="24"/>
  <c r="I186" i="24"/>
  <c r="T202" i="25"/>
  <c r="F177" i="19"/>
  <c r="F205" i="19"/>
  <c r="F172" i="25"/>
  <c r="F187" i="25"/>
  <c r="T197" i="22"/>
  <c r="T193" i="19"/>
  <c r="T205" i="19"/>
  <c r="Q205" i="22"/>
  <c r="T198" i="25"/>
  <c r="T206" i="19"/>
  <c r="T167" i="22"/>
  <c r="T188" i="22"/>
  <c r="T193" i="25"/>
  <c r="Q167" i="22"/>
  <c r="T181" i="19"/>
  <c r="F173" i="25"/>
  <c r="Q202" i="24"/>
  <c r="F197" i="24"/>
  <c r="F182" i="19"/>
  <c r="I198" i="19"/>
  <c r="T168" i="24"/>
  <c r="Q207" i="19"/>
  <c r="Q206" i="25"/>
  <c r="F193" i="19"/>
  <c r="F206" i="22"/>
  <c r="F183" i="22"/>
  <c r="Q168" i="19"/>
  <c r="Q196" i="19"/>
  <c r="Q168" i="24"/>
  <c r="T176" i="22"/>
  <c r="Q191" i="25"/>
  <c r="Q172" i="24"/>
  <c r="T183" i="19"/>
  <c r="T177" i="22"/>
  <c r="Q201" i="22"/>
  <c r="Q205" i="25"/>
  <c r="I202" i="19"/>
  <c r="F196" i="19"/>
  <c r="T163" i="22"/>
  <c r="T201" i="22"/>
  <c r="Q196" i="25"/>
  <c r="F180" i="24"/>
  <c r="Q206" i="24"/>
  <c r="I163" i="25"/>
  <c r="T188" i="19"/>
  <c r="I198" i="24"/>
  <c r="T168" i="25"/>
  <c r="Q181" i="24"/>
  <c r="Q196" i="22"/>
  <c r="Q168" i="25"/>
  <c r="T182" i="19"/>
  <c r="I191" i="22"/>
  <c r="F196" i="22"/>
  <c r="T201" i="19"/>
  <c r="I198" i="25"/>
  <c r="T192" i="19"/>
  <c r="Q192" i="22"/>
  <c r="Q198" i="24"/>
  <c r="T196" i="19"/>
  <c r="Q167" i="24"/>
  <c r="F164" i="25"/>
  <c r="F164" i="19"/>
  <c r="I163" i="19"/>
  <c r="T205" i="25"/>
  <c r="F201" i="24"/>
  <c r="F173" i="24"/>
  <c r="F163" i="24"/>
  <c r="Q206" i="19"/>
  <c r="Q177" i="19"/>
  <c r="I205" i="19"/>
  <c r="T205" i="24"/>
  <c r="F211" i="24"/>
  <c r="F163" i="19"/>
  <c r="I172" i="25"/>
  <c r="T198" i="24"/>
  <c r="Q202" i="22"/>
  <c r="F198" i="19"/>
  <c r="Q183" i="25"/>
  <c r="T205" i="22"/>
  <c r="I205" i="24"/>
  <c r="F206" i="24"/>
  <c r="T177" i="24"/>
  <c r="Q207" i="25"/>
  <c r="F205" i="24"/>
  <c r="Q186" i="22"/>
  <c r="T164" i="22"/>
  <c r="T177" i="19"/>
  <c r="T181" i="22"/>
  <c r="F180" i="25"/>
  <c r="F193" i="25"/>
  <c r="F206" i="19"/>
  <c r="Q173" i="25"/>
  <c r="F201" i="25"/>
  <c r="Q173" i="22"/>
  <c r="Q169" i="24"/>
  <c r="Q202" i="19"/>
  <c r="Q186" i="25"/>
  <c r="I164" i="24"/>
  <c r="I187" i="25"/>
  <c r="I186" i="25"/>
  <c r="I182" i="25"/>
  <c r="F198" i="22"/>
  <c r="T164" i="24"/>
  <c r="T191" i="25"/>
  <c r="I202" i="25"/>
  <c r="F182" i="22"/>
  <c r="F177" i="25"/>
  <c r="I198" i="22"/>
  <c r="I187" i="24"/>
  <c r="I183" i="22"/>
  <c r="F188" i="19"/>
  <c r="Q205" i="24"/>
  <c r="Q193" i="19"/>
  <c r="F192" i="24"/>
  <c r="T191" i="24"/>
  <c r="I176" i="19"/>
  <c r="F183" i="24"/>
  <c r="I167" i="24"/>
  <c r="Q176" i="19"/>
  <c r="Q182" i="25"/>
  <c r="Q201" i="24"/>
  <c r="T202" i="24"/>
  <c r="I202" i="24"/>
  <c r="I197" i="25"/>
  <c r="I172" i="19"/>
  <c r="F167" i="19"/>
  <c r="F182" i="25"/>
  <c r="T201" i="25"/>
  <c r="F168" i="25"/>
  <c r="I188" i="22"/>
  <c r="I177" i="19"/>
  <c r="F163" i="22"/>
  <c r="T187" i="24"/>
  <c r="T187" i="22"/>
  <c r="Q187" i="19"/>
  <c r="Q181" i="25"/>
  <c r="I196" i="19"/>
  <c r="Q196" i="24"/>
  <c r="T202" i="22"/>
  <c r="Q164" i="19"/>
  <c r="T201" i="24"/>
  <c r="Q192" i="19"/>
  <c r="T180" i="25"/>
  <c r="F183" i="25"/>
  <c r="T167" i="19"/>
  <c r="F188" i="25"/>
  <c r="Q192" i="24"/>
  <c r="Q169" i="19"/>
  <c r="I168" i="25"/>
  <c r="F196" i="25"/>
  <c r="F167" i="22"/>
  <c r="T163" i="19"/>
  <c r="F186" i="22"/>
  <c r="Q163" i="24"/>
  <c r="T197" i="19"/>
  <c r="T172" i="19"/>
  <c r="F173" i="22"/>
  <c r="F205" i="22"/>
  <c r="Q172" i="22"/>
  <c r="F177" i="24"/>
  <c r="I164" i="25"/>
  <c r="Q180" i="24"/>
  <c r="I206" i="19"/>
  <c r="Q197" i="22"/>
  <c r="F169" i="25"/>
  <c r="Q181" i="22"/>
  <c r="I168" i="22"/>
  <c r="I173" i="24"/>
  <c r="Q167" i="25"/>
  <c r="F187" i="19"/>
  <c r="I180" i="22"/>
  <c r="I177" i="22"/>
  <c r="I197" i="22"/>
  <c r="I188" i="25"/>
  <c r="Q197" i="19"/>
  <c r="I205" i="25"/>
  <c r="Q188" i="22"/>
  <c r="I181" i="24"/>
  <c r="T202" i="19"/>
  <c r="F167" i="25"/>
  <c r="T197" i="24"/>
  <c r="F207" i="24"/>
  <c r="T193" i="22"/>
  <c r="I188" i="19"/>
  <c r="I173" i="19"/>
  <c r="F172" i="24"/>
  <c r="Q191" i="24"/>
  <c r="T183" i="24"/>
  <c r="Q183" i="19"/>
  <c r="T172" i="22"/>
  <c r="T168" i="19"/>
  <c r="T173" i="24"/>
  <c r="F169" i="19"/>
  <c r="Q172" i="19"/>
  <c r="F168" i="24"/>
  <c r="I193" i="22"/>
  <c r="I207" i="19"/>
  <c r="I196" i="22"/>
  <c r="T207" i="25"/>
  <c r="I180" i="19"/>
  <c r="F205" i="25"/>
  <c r="T186" i="25"/>
  <c r="F172" i="22"/>
  <c r="T198" i="19"/>
  <c r="Q182" i="24"/>
  <c r="Q187" i="24"/>
  <c r="I201" i="22"/>
  <c r="I163" i="22"/>
  <c r="I183" i="19"/>
  <c r="I193" i="19"/>
  <c r="I197" i="24"/>
  <c r="T193" i="24"/>
  <c r="T206" i="24"/>
  <c r="T176" i="24"/>
  <c r="F177" i="22"/>
  <c r="I192" i="25"/>
  <c r="F207" i="19"/>
  <c r="F191" i="19"/>
  <c r="T181" i="24"/>
  <c r="I191" i="24"/>
  <c r="F181" i="25"/>
  <c r="Q206" i="22"/>
  <c r="T173" i="22"/>
  <c r="Q181" i="19"/>
  <c r="F188" i="24"/>
  <c r="AJ4" i="16"/>
  <c r="AA31" i="16" s="1"/>
  <c r="D4" i="19"/>
  <c r="F186" i="25"/>
  <c r="I169" i="24"/>
  <c r="F214" i="19"/>
  <c r="T176" i="25"/>
  <c r="T169" i="25"/>
  <c r="I168" i="19"/>
  <c r="I201" i="24"/>
  <c r="E44" i="21"/>
  <c r="I192" i="19"/>
  <c r="T192" i="25"/>
  <c r="Q191" i="19"/>
  <c r="F167" i="24"/>
  <c r="T164" i="19"/>
  <c r="I192" i="24"/>
  <c r="Q188" i="25"/>
  <c r="T186" i="24"/>
  <c r="I180" i="24"/>
  <c r="T164" i="25"/>
  <c r="F169" i="22"/>
  <c r="T167" i="25"/>
  <c r="I182" i="19"/>
  <c r="I186" i="22"/>
  <c r="F196" i="24"/>
  <c r="I188" i="24"/>
  <c r="Q207" i="22"/>
  <c r="Q193" i="24"/>
  <c r="T172" i="25"/>
  <c r="I193" i="24"/>
  <c r="Q191" i="22"/>
  <c r="I183" i="24"/>
  <c r="F181" i="24"/>
  <c r="Q164" i="24"/>
  <c r="Q177" i="25"/>
  <c r="Q177" i="22"/>
  <c r="I173" i="22"/>
  <c r="T177" i="25"/>
  <c r="G44" i="21"/>
  <c r="F169" i="24"/>
  <c r="F201" i="19"/>
  <c r="T176" i="19"/>
  <c r="K81" i="21"/>
  <c r="G45" i="21"/>
  <c r="E76" i="21"/>
  <c r="K76" i="21"/>
  <c r="K45" i="21"/>
  <c r="G81" i="21"/>
  <c r="G76" i="21"/>
  <c r="I45" i="21"/>
  <c r="I81" i="21"/>
  <c r="E81" i="21"/>
  <c r="I76" i="21"/>
  <c r="I172" i="22"/>
  <c r="T187" i="19"/>
  <c r="Q180" i="19"/>
  <c r="T182" i="24"/>
  <c r="Q163" i="25"/>
  <c r="F211" i="22"/>
  <c r="F176" i="19"/>
  <c r="Q192" i="25"/>
  <c r="T196" i="22"/>
  <c r="Q180" i="22"/>
  <c r="Q167" i="19"/>
  <c r="F192" i="19"/>
  <c r="Q207" i="24"/>
  <c r="Q176" i="24"/>
  <c r="T188" i="25"/>
  <c r="F176" i="24"/>
  <c r="F201" i="22"/>
  <c r="T181" i="25"/>
  <c r="Q164" i="22"/>
  <c r="F202" i="25"/>
  <c r="T169" i="24"/>
  <c r="F172" i="19"/>
  <c r="I163" i="24"/>
  <c r="I207" i="25"/>
  <c r="T207" i="19"/>
  <c r="F198" i="24"/>
  <c r="M36" i="16"/>
  <c r="AD35" i="16"/>
  <c r="AG7" i="16"/>
  <c r="AD20" i="16"/>
  <c r="AD3" i="16"/>
  <c r="AD31" i="16"/>
  <c r="I207" i="24"/>
  <c r="D4" i="24"/>
  <c r="F188" i="22"/>
  <c r="Q201" i="25"/>
  <c r="F187" i="22"/>
  <c r="F197" i="25"/>
  <c r="Q186" i="19"/>
  <c r="I196" i="25"/>
  <c r="T186" i="22"/>
  <c r="I201" i="25"/>
  <c r="Q176" i="25"/>
  <c r="Q168" i="22"/>
  <c r="Q186" i="24"/>
  <c r="I182" i="22"/>
  <c r="T169" i="19"/>
  <c r="I164" i="19"/>
  <c r="F186" i="19"/>
  <c r="F191" i="25"/>
  <c r="Q187" i="22"/>
  <c r="F211" i="19"/>
  <c r="F207" i="25"/>
  <c r="I44" i="21"/>
  <c r="I173" i="25"/>
  <c r="I206" i="22"/>
  <c r="Q193" i="22"/>
  <c r="I180" i="25"/>
  <c r="Q201" i="19"/>
  <c r="Q198" i="25"/>
  <c r="Q172" i="25"/>
  <c r="I176" i="24"/>
  <c r="F202" i="24"/>
  <c r="Q173" i="24"/>
  <c r="F197" i="22"/>
  <c r="I168" i="24"/>
  <c r="F187" i="24"/>
  <c r="F163" i="25"/>
  <c r="T167" i="24"/>
  <c r="F192" i="22"/>
  <c r="T182" i="22"/>
  <c r="F176" i="22"/>
  <c r="I191" i="19"/>
  <c r="T191" i="19"/>
  <c r="T206" i="25"/>
  <c r="T198" i="22"/>
  <c r="Q183" i="22"/>
  <c r="Q193" i="25"/>
  <c r="F211" i="25"/>
  <c r="I176" i="25"/>
  <c r="Q205" i="19"/>
  <c r="F197" i="19"/>
  <c r="T163" i="24"/>
  <c r="I196" i="24"/>
  <c r="Q182" i="22"/>
  <c r="I172" i="24"/>
  <c r="Q169" i="25"/>
  <c r="Q182" i="19"/>
  <c r="F173" i="19"/>
  <c r="I167" i="25"/>
  <c r="Q188" i="24"/>
  <c r="Q187" i="25"/>
  <c r="AH9" i="17"/>
  <c r="AI9" i="17" s="1"/>
  <c r="I80" i="21"/>
  <c r="B26" i="2"/>
  <c r="AR87" i="17"/>
  <c r="K75" i="21"/>
  <c r="AM87" i="17"/>
  <c r="E80" i="21"/>
  <c r="I73" i="21"/>
  <c r="E73" i="21"/>
  <c r="K73" i="21"/>
  <c r="AC87" i="17"/>
  <c r="AC89" i="17" s="1"/>
  <c r="AD89" i="17" s="1"/>
  <c r="G91" i="17" s="1"/>
  <c r="G80" i="21"/>
  <c r="E140" i="19" a="1"/>
  <c r="E140" i="19" s="1"/>
  <c r="E141" i="19" s="1"/>
  <c r="E142" i="19" s="1"/>
  <c r="E148" i="19" a="1"/>
  <c r="E148" i="19" s="1"/>
  <c r="E149" i="19" s="1"/>
  <c r="E148" i="22" a="1"/>
  <c r="E148" i="22" s="1"/>
  <c r="E149" i="22" s="1"/>
  <c r="E140" i="22" a="1"/>
  <c r="E140" i="22" s="1"/>
  <c r="E211" i="22" s="1"/>
  <c r="D4" i="22"/>
  <c r="D4" i="25"/>
  <c r="I169" i="25"/>
  <c r="I181" i="19"/>
  <c r="I167" i="19"/>
  <c r="K44" i="21"/>
  <c r="I75" i="21"/>
  <c r="F69" i="2"/>
  <c r="L66" i="25"/>
  <c r="L65" i="25"/>
  <c r="AS20" i="25"/>
  <c r="AS37" i="25" s="1"/>
  <c r="L21" i="25"/>
  <c r="L57" i="25"/>
  <c r="L58" i="25"/>
  <c r="L181" i="25"/>
  <c r="L186" i="25"/>
  <c r="L38" i="25"/>
  <c r="L89" i="25"/>
  <c r="L87" i="25"/>
  <c r="L42" i="25"/>
  <c r="L106" i="25"/>
  <c r="L34" i="25"/>
  <c r="L68" i="25"/>
  <c r="L43" i="25"/>
  <c r="L192" i="25"/>
  <c r="AG24" i="25"/>
  <c r="M92" i="16" s="1"/>
  <c r="L101" i="25"/>
  <c r="L202" i="25"/>
  <c r="L169" i="25"/>
  <c r="L74" i="25"/>
  <c r="L61" i="25"/>
  <c r="L27" i="25"/>
  <c r="W169" i="24"/>
  <c r="W88" i="22"/>
  <c r="W93" i="24"/>
  <c r="L39" i="19"/>
  <c r="L186" i="22"/>
  <c r="L76" i="19"/>
  <c r="L130" i="22"/>
  <c r="L84" i="19"/>
  <c r="L28" i="19"/>
  <c r="L101" i="19"/>
  <c r="AT20" i="22"/>
  <c r="AT101" i="22" s="1"/>
  <c r="L92" i="19"/>
  <c r="AU20" i="22"/>
  <c r="AU95" i="22" s="1"/>
  <c r="L33" i="19"/>
  <c r="L63" i="22"/>
  <c r="L191" i="22"/>
  <c r="F68" i="2"/>
  <c r="G69" i="2" s="1"/>
  <c r="E28" i="21" s="1"/>
  <c r="F28" i="21" s="1"/>
  <c r="G28" i="21" s="1"/>
  <c r="H28" i="21" s="1"/>
  <c r="I28" i="21" s="1"/>
  <c r="J28" i="21" s="1"/>
  <c r="K28" i="21" s="1"/>
  <c r="L28" i="21" s="1"/>
  <c r="AC40" i="17"/>
  <c r="AD40" i="17" s="1"/>
  <c r="L38" i="22"/>
  <c r="L131" i="22"/>
  <c r="L169" i="22"/>
  <c r="L207" i="22"/>
  <c r="L20" i="19"/>
  <c r="L68" i="22"/>
  <c r="AQ20" i="19"/>
  <c r="AQ104" i="19" s="1"/>
  <c r="L198" i="22"/>
  <c r="L52" i="22"/>
  <c r="L87" i="22"/>
  <c r="AQ20" i="22"/>
  <c r="L79" i="19"/>
  <c r="L36" i="19"/>
  <c r="L66" i="19"/>
  <c r="L44" i="19"/>
  <c r="L28" i="24"/>
  <c r="L43" i="19"/>
  <c r="L202" i="22"/>
  <c r="L21" i="19"/>
  <c r="L129" i="22"/>
  <c r="L56" i="22"/>
  <c r="F70" i="2"/>
  <c r="L197" i="24"/>
  <c r="W34" i="24"/>
  <c r="AJ24" i="24"/>
  <c r="AJ33" i="24" s="1"/>
  <c r="I107" i="21"/>
  <c r="K39" i="16" s="1"/>
  <c r="I133" i="21"/>
  <c r="L45" i="22"/>
  <c r="L173" i="22"/>
  <c r="L23" i="22"/>
  <c r="L39" i="22"/>
  <c r="L66" i="22"/>
  <c r="L188" i="22"/>
  <c r="L100" i="22"/>
  <c r="L21" i="22"/>
  <c r="L33" i="22"/>
  <c r="L37" i="22"/>
  <c r="L104" i="22"/>
  <c r="AG25" i="22"/>
  <c r="I93" i="16" s="1"/>
  <c r="L78" i="22"/>
  <c r="L65" i="22"/>
  <c r="L48" i="22"/>
  <c r="L73" i="22"/>
  <c r="L193" i="22"/>
  <c r="L83" i="22"/>
  <c r="L57" i="22"/>
  <c r="L101" i="22"/>
  <c r="L89" i="22"/>
  <c r="L85" i="22"/>
  <c r="L79" i="22"/>
  <c r="L98" i="22"/>
  <c r="L201" i="22"/>
  <c r="L208" i="22"/>
  <c r="E152" i="22"/>
  <c r="AP20" i="22"/>
  <c r="L196" i="22"/>
  <c r="L163" i="22"/>
  <c r="L36" i="22"/>
  <c r="L42" i="22"/>
  <c r="L47" i="22"/>
  <c r="L58" i="22"/>
  <c r="L77" i="22"/>
  <c r="L133" i="22"/>
  <c r="L205" i="22"/>
  <c r="L192" i="22"/>
  <c r="L46" i="22"/>
  <c r="L76" i="22"/>
  <c r="L97" i="22"/>
  <c r="AG20" i="22"/>
  <c r="I94" i="16" s="1"/>
  <c r="L75" i="22"/>
  <c r="L54" i="22"/>
  <c r="L86" i="22"/>
  <c r="L29" i="22"/>
  <c r="L168" i="22"/>
  <c r="L72" i="22"/>
  <c r="L28" i="22"/>
  <c r="L27" i="22"/>
  <c r="R38" i="1"/>
  <c r="R35" i="1"/>
  <c r="AS20" i="22"/>
  <c r="AS108" i="22" s="1"/>
  <c r="L84" i="22"/>
  <c r="L44" i="22"/>
  <c r="L46" i="24"/>
  <c r="L186" i="24"/>
  <c r="L192" i="24"/>
  <c r="L87" i="24"/>
  <c r="L33" i="24"/>
  <c r="L187" i="19"/>
  <c r="L103" i="19"/>
  <c r="L134" i="19"/>
  <c r="L168" i="19"/>
  <c r="L19" i="19"/>
  <c r="L172" i="19"/>
  <c r="AP20" i="19"/>
  <c r="AP80" i="19" s="1"/>
  <c r="L78" i="19"/>
  <c r="L64" i="19"/>
  <c r="L98" i="19"/>
  <c r="AS20" i="19"/>
  <c r="AS56" i="19" s="1"/>
  <c r="L207" i="19"/>
  <c r="E152" i="19"/>
  <c r="L202" i="19"/>
  <c r="L196" i="19"/>
  <c r="L82" i="22"/>
  <c r="L206" i="22"/>
  <c r="L94" i="22"/>
  <c r="L92" i="22"/>
  <c r="L182" i="22"/>
  <c r="R3" i="21"/>
  <c r="AF26" i="6" s="1"/>
  <c r="L88" i="22"/>
  <c r="L30" i="22"/>
  <c r="L61" i="19"/>
  <c r="L197" i="22"/>
  <c r="L64" i="22"/>
  <c r="L35" i="22"/>
  <c r="L55" i="24"/>
  <c r="L102" i="22"/>
  <c r="L167" i="22"/>
  <c r="L43" i="22"/>
  <c r="AG24" i="22"/>
  <c r="I92" i="16" s="1"/>
  <c r="L26" i="22"/>
  <c r="L79" i="24"/>
  <c r="L193" i="19"/>
  <c r="L176" i="19"/>
  <c r="L62" i="22"/>
  <c r="L51" i="22"/>
  <c r="L177" i="22"/>
  <c r="L113" i="22"/>
  <c r="R28" i="1"/>
  <c r="W52" i="24"/>
  <c r="BL20" i="24"/>
  <c r="L93" i="22"/>
  <c r="L99" i="22"/>
  <c r="L20" i="22"/>
  <c r="L181" i="22"/>
  <c r="L34" i="22"/>
  <c r="AC65" i="17"/>
  <c r="AD65" i="17" s="1"/>
  <c r="L45" i="19"/>
  <c r="L106" i="22"/>
  <c r="L164" i="22"/>
  <c r="L180" i="22"/>
  <c r="L172" i="22"/>
  <c r="E152" i="24"/>
  <c r="L187" i="22"/>
  <c r="L19" i="22"/>
  <c r="L61" i="22"/>
  <c r="L69" i="22"/>
  <c r="W128" i="24"/>
  <c r="W68" i="24"/>
  <c r="W62" i="24"/>
  <c r="L43" i="24"/>
  <c r="AC44" i="17"/>
  <c r="AD44" i="17" s="1"/>
  <c r="W180" i="24"/>
  <c r="AC108" i="17"/>
  <c r="AD108" i="17" s="1"/>
  <c r="AC51" i="17"/>
  <c r="AD51" i="17" s="1"/>
  <c r="AC31" i="17"/>
  <c r="AD31" i="17" s="1"/>
  <c r="AC58" i="17"/>
  <c r="AD58" i="17" s="1"/>
  <c r="AC25" i="17"/>
  <c r="AC32" i="17"/>
  <c r="AD32" i="17" s="1"/>
  <c r="L198" i="19"/>
  <c r="AC14" i="17"/>
  <c r="AD14" i="17" s="1"/>
  <c r="AC15" i="17"/>
  <c r="AD15" i="17" s="1"/>
  <c r="AC10" i="17"/>
  <c r="AD10" i="17" s="1"/>
  <c r="L132" i="22"/>
  <c r="L74" i="22"/>
  <c r="L67" i="22"/>
  <c r="L183" i="22"/>
  <c r="L128" i="22"/>
  <c r="L53" i="22"/>
  <c r="L105" i="22"/>
  <c r="L55" i="22"/>
  <c r="L22" i="22"/>
  <c r="L176" i="22"/>
  <c r="AC29" i="17"/>
  <c r="AC37" i="17"/>
  <c r="AD37" i="17" s="1"/>
  <c r="AC49" i="17"/>
  <c r="AD49" i="17" s="1"/>
  <c r="AC71" i="17"/>
  <c r="AC21" i="17"/>
  <c r="AD21" i="17" s="1"/>
  <c r="AC61" i="17"/>
  <c r="AD61" i="17" s="1"/>
  <c r="AC39" i="17"/>
  <c r="AD39" i="17" s="1"/>
  <c r="AC16" i="17"/>
  <c r="AD16" i="17" s="1"/>
  <c r="AC35" i="17"/>
  <c r="AD35" i="17" s="1"/>
  <c r="AC47" i="17"/>
  <c r="AD47" i="17" s="1"/>
  <c r="AC54" i="17"/>
  <c r="AD54" i="17" s="1"/>
  <c r="F117" i="21"/>
  <c r="L27" i="24"/>
  <c r="L183" i="19"/>
  <c r="L129" i="24"/>
  <c r="AE7" i="17"/>
  <c r="AC33" i="17"/>
  <c r="AD33" i="17" s="1"/>
  <c r="AC28" i="17"/>
  <c r="AC41" i="17"/>
  <c r="AD41" i="17" s="1"/>
  <c r="AC59" i="17"/>
  <c r="AD59" i="17" s="1"/>
  <c r="W92" i="24"/>
  <c r="T34" i="1"/>
  <c r="T36" i="1"/>
  <c r="R46" i="1"/>
  <c r="L67" i="24"/>
  <c r="W205" i="24"/>
  <c r="W51" i="24"/>
  <c r="W193" i="24"/>
  <c r="W69" i="24"/>
  <c r="W84" i="24"/>
  <c r="W191" i="19"/>
  <c r="W193" i="19"/>
  <c r="W67" i="24"/>
  <c r="W27" i="24"/>
  <c r="W22" i="24"/>
  <c r="W45" i="24"/>
  <c r="W26" i="24"/>
  <c r="W78" i="24"/>
  <c r="W98" i="24"/>
  <c r="W65" i="24"/>
  <c r="L180" i="19"/>
  <c r="L106" i="24"/>
  <c r="L208" i="19"/>
  <c r="L34" i="19"/>
  <c r="AG24" i="19"/>
  <c r="G92" i="16" s="1"/>
  <c r="L38" i="19"/>
  <c r="L72" i="24"/>
  <c r="BM20" i="24"/>
  <c r="BM67" i="24" s="1"/>
  <c r="W48" i="24"/>
  <c r="W75" i="24"/>
  <c r="W163" i="24"/>
  <c r="W102" i="24"/>
  <c r="W39" i="24"/>
  <c r="E12" i="25"/>
  <c r="L73" i="19"/>
  <c r="R39" i="1"/>
  <c r="R40" i="1"/>
  <c r="L65" i="19"/>
  <c r="AU20" i="19"/>
  <c r="AU119" i="19" s="1"/>
  <c r="L30" i="19"/>
  <c r="L67" i="19"/>
  <c r="L19" i="24"/>
  <c r="L23" i="19"/>
  <c r="L182" i="19"/>
  <c r="L133" i="24"/>
  <c r="W66" i="22"/>
  <c r="W36" i="24"/>
  <c r="W104" i="24"/>
  <c r="W77" i="24"/>
  <c r="W87" i="24"/>
  <c r="W76" i="24"/>
  <c r="W106" i="24"/>
  <c r="BJ20" i="24"/>
  <c r="BJ69" i="24" s="1"/>
  <c r="L39" i="24"/>
  <c r="L46" i="19"/>
  <c r="L54" i="19"/>
  <c r="L75" i="19"/>
  <c r="L132" i="19"/>
  <c r="L58" i="24"/>
  <c r="L186" i="19"/>
  <c r="L27" i="19"/>
  <c r="L93" i="19"/>
  <c r="W167" i="24"/>
  <c r="W207" i="24"/>
  <c r="W38" i="24"/>
  <c r="W73" i="24"/>
  <c r="W181" i="24"/>
  <c r="W47" i="24"/>
  <c r="W94" i="24"/>
  <c r="W33" i="24"/>
  <c r="W105" i="24"/>
  <c r="BI20" i="24"/>
  <c r="BI52" i="24" s="1"/>
  <c r="W97" i="24"/>
  <c r="W35" i="24"/>
  <c r="W63" i="24"/>
  <c r="W37" i="24"/>
  <c r="W132" i="24"/>
  <c r="W30" i="24"/>
  <c r="W43" i="24"/>
  <c r="W46" i="24"/>
  <c r="W56" i="24"/>
  <c r="BN20" i="24"/>
  <c r="BN72" i="24" s="1"/>
  <c r="W198" i="24"/>
  <c r="W54" i="24"/>
  <c r="W208" i="24"/>
  <c r="W58" i="24"/>
  <c r="W134" i="24"/>
  <c r="W187" i="24"/>
  <c r="W42" i="24"/>
  <c r="W61" i="24"/>
  <c r="W101" i="24"/>
  <c r="W131" i="24"/>
  <c r="W86" i="24"/>
  <c r="W72" i="24"/>
  <c r="W192" i="24"/>
  <c r="W176" i="24"/>
  <c r="W85" i="24"/>
  <c r="W186" i="24"/>
  <c r="W188" i="24"/>
  <c r="W173" i="24"/>
  <c r="W177" i="24"/>
  <c r="W201" i="24"/>
  <c r="W44" i="24"/>
  <c r="W164" i="24"/>
  <c r="W74" i="24"/>
  <c r="W19" i="24"/>
  <c r="W103" i="24"/>
  <c r="W29" i="24"/>
  <c r="W83" i="24"/>
  <c r="W191" i="24"/>
  <c r="W100" i="24"/>
  <c r="W133" i="24"/>
  <c r="W82" i="24"/>
  <c r="W196" i="24"/>
  <c r="W28" i="24"/>
  <c r="W53" i="24"/>
  <c r="W197" i="24"/>
  <c r="W88" i="24"/>
  <c r="W79" i="24"/>
  <c r="W206" i="24"/>
  <c r="L94" i="19"/>
  <c r="L82" i="19"/>
  <c r="L48" i="24"/>
  <c r="L44" i="24"/>
  <c r="L113" i="19"/>
  <c r="L167" i="19"/>
  <c r="L97" i="19"/>
  <c r="W55" i="24"/>
  <c r="W172" i="24"/>
  <c r="W66" i="24"/>
  <c r="W64" i="24"/>
  <c r="W182" i="24"/>
  <c r="W129" i="24"/>
  <c r="W168" i="24"/>
  <c r="W21" i="24"/>
  <c r="W130" i="24"/>
  <c r="W99" i="24"/>
  <c r="L196" i="24"/>
  <c r="L202" i="24"/>
  <c r="L34" i="24"/>
  <c r="L66" i="24"/>
  <c r="L68" i="24"/>
  <c r="L99" i="24"/>
  <c r="L201" i="24"/>
  <c r="L92" i="24"/>
  <c r="L191" i="24"/>
  <c r="AG25" i="24"/>
  <c r="K93" i="16" s="1"/>
  <c r="L54" i="24"/>
  <c r="AS20" i="24"/>
  <c r="AS84" i="24" s="1"/>
  <c r="L65" i="24"/>
  <c r="L84" i="24"/>
  <c r="AG20" i="24"/>
  <c r="K94" i="16" s="1"/>
  <c r="L134" i="24"/>
  <c r="L205" i="24"/>
  <c r="L86" i="19"/>
  <c r="L106" i="19"/>
  <c r="L88" i="19"/>
  <c r="L188" i="19"/>
  <c r="L68" i="19"/>
  <c r="L53" i="19"/>
  <c r="L128" i="19"/>
  <c r="L26" i="19"/>
  <c r="L191" i="19"/>
  <c r="AT20" i="19"/>
  <c r="AT49" i="19" s="1"/>
  <c r="AG20" i="19"/>
  <c r="L205" i="19"/>
  <c r="L56" i="19"/>
  <c r="L72" i="19"/>
  <c r="L87" i="19"/>
  <c r="L51" i="19"/>
  <c r="AG25" i="19"/>
  <c r="G93" i="16" s="1"/>
  <c r="L29" i="19"/>
  <c r="L85" i="19"/>
  <c r="L55" i="19"/>
  <c r="L52" i="19"/>
  <c r="L42" i="19"/>
  <c r="L57" i="19"/>
  <c r="L35" i="19"/>
  <c r="L104" i="19"/>
  <c r="L192" i="19"/>
  <c r="L69" i="19"/>
  <c r="W53" i="22"/>
  <c r="L133" i="19"/>
  <c r="L172" i="24"/>
  <c r="L62" i="19"/>
  <c r="L73" i="24"/>
  <c r="L64" i="24"/>
  <c r="L29" i="24"/>
  <c r="L99" i="19"/>
  <c r="AP20" i="24"/>
  <c r="AP71" i="24" s="1"/>
  <c r="W57" i="24"/>
  <c r="W20" i="24"/>
  <c r="W202" i="24"/>
  <c r="W89" i="24"/>
  <c r="W23" i="24"/>
  <c r="W183" i="24"/>
  <c r="F36" i="21"/>
  <c r="F121" i="21"/>
  <c r="AC50" i="17"/>
  <c r="AD50" i="17" s="1"/>
  <c r="AC34" i="17"/>
  <c r="AD34" i="17" s="1"/>
  <c r="AC38" i="17"/>
  <c r="AD38" i="17" s="1"/>
  <c r="W187" i="19"/>
  <c r="F108" i="21"/>
  <c r="H40" i="16" s="1"/>
  <c r="AC36" i="17"/>
  <c r="AD36" i="17" s="1"/>
  <c r="AC52" i="17"/>
  <c r="AD52" i="17" s="1"/>
  <c r="F119" i="21"/>
  <c r="AC27" i="17"/>
  <c r="AC17" i="17"/>
  <c r="AD17" i="17" s="1"/>
  <c r="AC48" i="17"/>
  <c r="AD48" i="17" s="1"/>
  <c r="L134" i="22"/>
  <c r="AC19" i="17"/>
  <c r="AD19" i="17" s="1"/>
  <c r="AC13" i="17"/>
  <c r="AD13" i="17" s="1"/>
  <c r="AC46" i="17"/>
  <c r="AD46" i="17" s="1"/>
  <c r="AC11" i="17"/>
  <c r="AD11" i="17" s="1"/>
  <c r="L76" i="24"/>
  <c r="L100" i="24"/>
  <c r="L77" i="24"/>
  <c r="L129" i="19"/>
  <c r="L104" i="24"/>
  <c r="AG24" i="24"/>
  <c r="K92" i="16" s="1"/>
  <c r="L163" i="19"/>
  <c r="L37" i="19"/>
  <c r="L169" i="19"/>
  <c r="L37" i="24"/>
  <c r="L74" i="19"/>
  <c r="L206" i="19"/>
  <c r="L22" i="24"/>
  <c r="L177" i="19"/>
  <c r="L197" i="19"/>
  <c r="L21" i="24"/>
  <c r="L105" i="19"/>
  <c r="L181" i="19"/>
  <c r="L98" i="24"/>
  <c r="L101" i="24"/>
  <c r="AD6" i="17"/>
  <c r="L130" i="19"/>
  <c r="L201" i="19"/>
  <c r="L36" i="24"/>
  <c r="AQ20" i="24"/>
  <c r="AQ74" i="24" s="1"/>
  <c r="L82" i="24"/>
  <c r="L58" i="19"/>
  <c r="L173" i="24"/>
  <c r="L78" i="24"/>
  <c r="L102" i="19"/>
  <c r="L48" i="19"/>
  <c r="L89" i="19"/>
  <c r="L51" i="24"/>
  <c r="L173" i="19"/>
  <c r="L56" i="24"/>
  <c r="L63" i="19"/>
  <c r="L164" i="19"/>
  <c r="L57" i="24"/>
  <c r="L86" i="24"/>
  <c r="L35" i="24"/>
  <c r="L128" i="24"/>
  <c r="L23" i="24"/>
  <c r="L47" i="19"/>
  <c r="L74" i="24"/>
  <c r="L97" i="24"/>
  <c r="L83" i="19"/>
  <c r="L93" i="24"/>
  <c r="L77" i="19"/>
  <c r="L177" i="24"/>
  <c r="L131" i="24"/>
  <c r="L131" i="19"/>
  <c r="L100" i="19"/>
  <c r="AC103" i="17"/>
  <c r="AD103" i="17" s="1"/>
  <c r="L207" i="24"/>
  <c r="AC43" i="17"/>
  <c r="AD43" i="17" s="1"/>
  <c r="AC88" i="17"/>
  <c r="AD88" i="17" s="1"/>
  <c r="AC45" i="17"/>
  <c r="AD45" i="17" s="1"/>
  <c r="AC12" i="17"/>
  <c r="AD12" i="17" s="1"/>
  <c r="AC42" i="17"/>
  <c r="AD42" i="17" s="1"/>
  <c r="AC22" i="17"/>
  <c r="AD22" i="17" s="1"/>
  <c r="AC62" i="17"/>
  <c r="AD62" i="17" s="1"/>
  <c r="AC57" i="17"/>
  <c r="AD57" i="17" s="1"/>
  <c r="AC60" i="17"/>
  <c r="AD60" i="17" s="1"/>
  <c r="AC26" i="17"/>
  <c r="AC102" i="17"/>
  <c r="AD102" i="17" s="1"/>
  <c r="H22" i="21"/>
  <c r="J22" i="21"/>
  <c r="F22" i="21"/>
  <c r="G22" i="21"/>
  <c r="I22" i="21"/>
  <c r="E22" i="21"/>
  <c r="K22" i="21"/>
  <c r="L22" i="21"/>
  <c r="E148" i="24" a="1"/>
  <c r="E146" i="24" a="1"/>
  <c r="I13" i="19" a="1"/>
  <c r="I12" i="19" a="1"/>
  <c r="I12" i="25" a="1"/>
  <c r="I13" i="25" a="1"/>
  <c r="I13" i="22" a="1"/>
  <c r="I12" i="22" a="1"/>
  <c r="I13" i="24" a="1"/>
  <c r="I12" i="24" a="1"/>
  <c r="L72" i="25" l="1"/>
  <c r="L206" i="25"/>
  <c r="L19" i="25"/>
  <c r="L47" i="25"/>
  <c r="L197" i="25"/>
  <c r="E140" i="24" a="1"/>
  <c r="L83" i="24"/>
  <c r="L52" i="24"/>
  <c r="L176" i="24"/>
  <c r="L168" i="24"/>
  <c r="L88" i="24"/>
  <c r="AT20" i="24"/>
  <c r="I121" i="21"/>
  <c r="I117" i="21"/>
  <c r="L105" i="24"/>
  <c r="L30" i="24"/>
  <c r="L92" i="25"/>
  <c r="L131" i="25"/>
  <c r="L35" i="25"/>
  <c r="L198" i="25"/>
  <c r="L36" i="25"/>
  <c r="L128" i="25"/>
  <c r="L164" i="25"/>
  <c r="L208" i="25"/>
  <c r="L75" i="25"/>
  <c r="L63" i="24"/>
  <c r="L88" i="25"/>
  <c r="L183" i="25"/>
  <c r="L93" i="25"/>
  <c r="L22" i="25"/>
  <c r="L46" i="25"/>
  <c r="L163" i="25"/>
  <c r="L26" i="25"/>
  <c r="L205" i="25"/>
  <c r="L134" i="25"/>
  <c r="AT20" i="25"/>
  <c r="AT101" i="25" s="1"/>
  <c r="L173" i="25"/>
  <c r="L62" i="25"/>
  <c r="I108" i="21"/>
  <c r="K40" i="16" s="1"/>
  <c r="L85" i="24"/>
  <c r="L26" i="24"/>
  <c r="L77" i="25"/>
  <c r="L55" i="25"/>
  <c r="L86" i="25"/>
  <c r="L102" i="25"/>
  <c r="AP20" i="25"/>
  <c r="AP87" i="25" s="1"/>
  <c r="L64" i="25"/>
  <c r="L133" i="25"/>
  <c r="L99" i="25"/>
  <c r="L132" i="25"/>
  <c r="L187" i="24"/>
  <c r="L62" i="24"/>
  <c r="L130" i="24"/>
  <c r="L94" i="24"/>
  <c r="L47" i="24"/>
  <c r="I131" i="21"/>
  <c r="I36" i="21"/>
  <c r="I74" i="21" s="1"/>
  <c r="W38" i="22"/>
  <c r="L201" i="25"/>
  <c r="L105" i="25"/>
  <c r="L78" i="25"/>
  <c r="L37" i="25"/>
  <c r="L73" i="25"/>
  <c r="L191" i="25"/>
  <c r="L193" i="25"/>
  <c r="L182" i="25"/>
  <c r="L180" i="25"/>
  <c r="AG25" i="25"/>
  <c r="M93" i="16" s="1"/>
  <c r="L176" i="25"/>
  <c r="L33" i="25"/>
  <c r="I119" i="21"/>
  <c r="L20" i="25"/>
  <c r="L52" i="25"/>
  <c r="AU20" i="25"/>
  <c r="AU64" i="25" s="1"/>
  <c r="L100" i="25"/>
  <c r="I115" i="21"/>
  <c r="L198" i="24"/>
  <c r="L76" i="25"/>
  <c r="L188" i="25"/>
  <c r="L56" i="25"/>
  <c r="L167" i="25"/>
  <c r="L54" i="25"/>
  <c r="L79" i="25"/>
  <c r="L103" i="25"/>
  <c r="L29" i="25"/>
  <c r="L102" i="24"/>
  <c r="L113" i="24"/>
  <c r="L20" i="24"/>
  <c r="L208" i="24"/>
  <c r="L206" i="24"/>
  <c r="L167" i="24"/>
  <c r="L182" i="24"/>
  <c r="AU20" i="24"/>
  <c r="AU83" i="24" s="1"/>
  <c r="L89" i="24"/>
  <c r="L169" i="24"/>
  <c r="L193" i="24"/>
  <c r="L188" i="24"/>
  <c r="L45" i="25"/>
  <c r="L30" i="25"/>
  <c r="L28" i="25"/>
  <c r="L44" i="25"/>
  <c r="L48" i="25"/>
  <c r="L97" i="25"/>
  <c r="L113" i="25"/>
  <c r="AG20" i="25"/>
  <c r="M94" i="16" s="1"/>
  <c r="M95" i="16" s="1"/>
  <c r="L104" i="25"/>
  <c r="L187" i="25"/>
  <c r="L53" i="25"/>
  <c r="I129" i="21"/>
  <c r="W183" i="22"/>
  <c r="L177" i="25"/>
  <c r="L38" i="24"/>
  <c r="L103" i="24"/>
  <c r="L69" i="24"/>
  <c r="L163" i="24"/>
  <c r="L53" i="24"/>
  <c r="L164" i="24"/>
  <c r="L132" i="24"/>
  <c r="L61" i="24"/>
  <c r="W181" i="22"/>
  <c r="L75" i="24"/>
  <c r="L42" i="24"/>
  <c r="L183" i="24"/>
  <c r="L45" i="24"/>
  <c r="L181" i="24"/>
  <c r="L98" i="25"/>
  <c r="L129" i="25"/>
  <c r="E152" i="25"/>
  <c r="L168" i="25"/>
  <c r="L130" i="25"/>
  <c r="L23" i="25"/>
  <c r="L69" i="25"/>
  <c r="L51" i="25"/>
  <c r="L39" i="25"/>
  <c r="I12" i="19"/>
  <c r="I13" i="19"/>
  <c r="L82" i="25"/>
  <c r="E146" i="25" a="1"/>
  <c r="E146" i="25" s="1"/>
  <c r="E147" i="25" s="1"/>
  <c r="AQ20" i="25"/>
  <c r="AQ41" i="25" s="1"/>
  <c r="L84" i="25"/>
  <c r="L63" i="25"/>
  <c r="L85" i="25"/>
  <c r="L172" i="25"/>
  <c r="L207" i="25"/>
  <c r="L67" i="25"/>
  <c r="L83" i="25"/>
  <c r="L94" i="25"/>
  <c r="E140" i="25" a="1"/>
  <c r="E140" i="25" s="1"/>
  <c r="E211" i="25" s="1"/>
  <c r="E20" i="1"/>
  <c r="G74" i="2" s="1"/>
  <c r="E186" i="21" s="1"/>
  <c r="E187" i="21" s="1"/>
  <c r="F187" i="21" s="1"/>
  <c r="G187" i="21" s="1"/>
  <c r="H187" i="21" s="1"/>
  <c r="I187" i="21" s="1"/>
  <c r="J187" i="21" s="1"/>
  <c r="K187" i="21" s="1"/>
  <c r="L187" i="21" s="1"/>
  <c r="M187" i="21" s="1"/>
  <c r="N187" i="21" s="1"/>
  <c r="O187" i="21" s="1"/>
  <c r="P187" i="21" s="1"/>
  <c r="Q187" i="21" s="1"/>
  <c r="R187" i="21" s="1"/>
  <c r="S187" i="21" s="1"/>
  <c r="T187" i="21" s="1"/>
  <c r="B12" i="21"/>
  <c r="E14" i="24"/>
  <c r="I13" i="25"/>
  <c r="M149" i="25" s="1"/>
  <c r="I12" i="25"/>
  <c r="L196" i="25"/>
  <c r="B6" i="21"/>
  <c r="AT21" i="17"/>
  <c r="AT29" i="17"/>
  <c r="E12" i="22"/>
  <c r="J131" i="21"/>
  <c r="W193" i="22"/>
  <c r="K115" i="21"/>
  <c r="J109" i="21"/>
  <c r="W89" i="22"/>
  <c r="J117" i="21"/>
  <c r="J36" i="21"/>
  <c r="K117" i="21"/>
  <c r="K131" i="21"/>
  <c r="K129" i="21"/>
  <c r="K121" i="21"/>
  <c r="F115" i="21"/>
  <c r="W102" i="19"/>
  <c r="G77" i="21" a="1"/>
  <c r="G77" i="21" s="1"/>
  <c r="I13" i="22"/>
  <c r="M152" i="22" s="1"/>
  <c r="I12" i="22"/>
  <c r="AT28" i="17"/>
  <c r="AT26" i="17"/>
  <c r="W26" i="17" s="1"/>
  <c r="AT62" i="17"/>
  <c r="AU62" i="17" s="1"/>
  <c r="X62" i="17" s="1"/>
  <c r="AT57" i="17"/>
  <c r="AU57" i="17" s="1"/>
  <c r="AT52" i="17"/>
  <c r="AU52" i="17" s="1"/>
  <c r="X52" i="17" s="1"/>
  <c r="AT44" i="17"/>
  <c r="AU44" i="17" s="1"/>
  <c r="X44" i="17" s="1"/>
  <c r="E46" i="21" a="1"/>
  <c r="E46" i="21" s="1"/>
  <c r="AU6" i="17"/>
  <c r="AT27" i="17"/>
  <c r="W27" i="17" s="1"/>
  <c r="L103" i="22"/>
  <c r="AT54" i="17"/>
  <c r="AU54" i="17" s="1"/>
  <c r="AT22" i="17"/>
  <c r="AU22" i="17" s="1"/>
  <c r="AT61" i="17"/>
  <c r="AU61" i="17" s="1"/>
  <c r="X61" i="17" s="1"/>
  <c r="AM14" i="17"/>
  <c r="AN14" i="17" s="1"/>
  <c r="K133" i="21"/>
  <c r="J119" i="21"/>
  <c r="AM21" i="17"/>
  <c r="AN21" i="17" s="1"/>
  <c r="Q21" i="17" s="1"/>
  <c r="W100" i="22"/>
  <c r="F129" i="21"/>
  <c r="F109" i="21"/>
  <c r="AT59" i="17"/>
  <c r="AU59" i="17" s="1"/>
  <c r="X59" i="17" s="1"/>
  <c r="AT60" i="17"/>
  <c r="AU60" i="17" s="1"/>
  <c r="X60" i="17" s="1"/>
  <c r="K108" i="21"/>
  <c r="M40" i="16" s="1"/>
  <c r="F133" i="21"/>
  <c r="K107" i="21"/>
  <c r="M39" i="16" s="1"/>
  <c r="J108" i="21"/>
  <c r="L40" i="16" s="1"/>
  <c r="AT45" i="17"/>
  <c r="AU45" i="17" s="1"/>
  <c r="X45" i="17" s="1"/>
  <c r="J107" i="21"/>
  <c r="L39" i="16" s="1"/>
  <c r="K36" i="21"/>
  <c r="K74" i="21" s="1"/>
  <c r="K119" i="21"/>
  <c r="J121" i="21"/>
  <c r="AT63" i="17"/>
  <c r="AU63" i="17" s="1"/>
  <c r="X63" i="17" s="1"/>
  <c r="W130" i="22"/>
  <c r="AT65" i="17"/>
  <c r="AU65" i="17" s="1"/>
  <c r="AT58" i="17"/>
  <c r="AU58" i="17" s="1"/>
  <c r="W164" i="22"/>
  <c r="J115" i="21"/>
  <c r="J95" i="21"/>
  <c r="J129" i="21"/>
  <c r="L119" i="21"/>
  <c r="L133" i="21"/>
  <c r="L108" i="21"/>
  <c r="N40" i="16" s="1"/>
  <c r="AJ52" i="17"/>
  <c r="AK52" i="17" s="1"/>
  <c r="L115" i="21"/>
  <c r="L117" i="21"/>
  <c r="L107" i="21"/>
  <c r="N39" i="16" s="1"/>
  <c r="L129" i="21"/>
  <c r="H36" i="21"/>
  <c r="AJ61" i="17"/>
  <c r="AK61" i="17" s="1"/>
  <c r="N61" i="17" s="1"/>
  <c r="L121" i="21"/>
  <c r="L109" i="21"/>
  <c r="L131" i="21"/>
  <c r="L36" i="21"/>
  <c r="E14" i="19"/>
  <c r="W82" i="22"/>
  <c r="W128" i="22"/>
  <c r="F107" i="21"/>
  <c r="H39" i="16" s="1"/>
  <c r="W69" i="22"/>
  <c r="W130" i="19"/>
  <c r="W82" i="19"/>
  <c r="W27" i="22"/>
  <c r="W62" i="22"/>
  <c r="AR40" i="17"/>
  <c r="AS40" i="17" s="1"/>
  <c r="W57" i="19"/>
  <c r="W63" i="22"/>
  <c r="W44" i="22"/>
  <c r="E109" i="21"/>
  <c r="W65" i="22"/>
  <c r="W97" i="22"/>
  <c r="W167" i="22"/>
  <c r="W191" i="25"/>
  <c r="W197" i="25"/>
  <c r="W208" i="22"/>
  <c r="W207" i="22"/>
  <c r="W177" i="22"/>
  <c r="W192" i="22"/>
  <c r="W76" i="22"/>
  <c r="AE65" i="17"/>
  <c r="AF65" i="17" s="1"/>
  <c r="W133" i="22"/>
  <c r="W46" i="22"/>
  <c r="W37" i="22"/>
  <c r="W57" i="22"/>
  <c r="W43" i="22"/>
  <c r="W52" i="22"/>
  <c r="W99" i="22"/>
  <c r="W186" i="22"/>
  <c r="W54" i="22"/>
  <c r="W198" i="19"/>
  <c r="W45" i="22"/>
  <c r="W103" i="22"/>
  <c r="W102" i="22"/>
  <c r="W163" i="22"/>
  <c r="BI20" i="22"/>
  <c r="BI104" i="22" s="1"/>
  <c r="W105" i="19"/>
  <c r="W28" i="22"/>
  <c r="W84" i="22"/>
  <c r="W67" i="22"/>
  <c r="W47" i="19"/>
  <c r="W172" i="22"/>
  <c r="W198" i="22"/>
  <c r="W52" i="19"/>
  <c r="W83" i="19"/>
  <c r="BI20" i="25"/>
  <c r="BI122" i="25" s="1"/>
  <c r="W56" i="22"/>
  <c r="W131" i="25"/>
  <c r="W128" i="25"/>
  <c r="W36" i="19"/>
  <c r="AJ24" i="22"/>
  <c r="AJ33" i="22" s="1"/>
  <c r="W75" i="19"/>
  <c r="AH108" i="17"/>
  <c r="AI108" i="17" s="1"/>
  <c r="W28" i="19"/>
  <c r="W97" i="19"/>
  <c r="W48" i="19"/>
  <c r="W33" i="22"/>
  <c r="W94" i="22"/>
  <c r="W104" i="22"/>
  <c r="W85" i="22"/>
  <c r="W206" i="22"/>
  <c r="W93" i="19"/>
  <c r="AR32" i="17"/>
  <c r="AS32" i="17" s="1"/>
  <c r="AR65" i="17"/>
  <c r="AS65" i="17" s="1"/>
  <c r="W205" i="22"/>
  <c r="W73" i="22"/>
  <c r="AH57" i="17"/>
  <c r="AI57" i="17" s="1"/>
  <c r="W188" i="22"/>
  <c r="W75" i="22"/>
  <c r="W22" i="22"/>
  <c r="W94" i="19"/>
  <c r="W197" i="22"/>
  <c r="W180" i="19"/>
  <c r="W134" i="22"/>
  <c r="W20" i="22"/>
  <c r="W29" i="19"/>
  <c r="W104" i="19"/>
  <c r="W180" i="22"/>
  <c r="W39" i="22"/>
  <c r="W131" i="22"/>
  <c r="W73" i="25"/>
  <c r="W29" i="22"/>
  <c r="W56" i="19"/>
  <c r="AR88" i="17"/>
  <c r="AS88" i="17" s="1"/>
  <c r="W169" i="22"/>
  <c r="W79" i="22"/>
  <c r="W198" i="25"/>
  <c r="W21" i="25"/>
  <c r="W173" i="25"/>
  <c r="W74" i="22"/>
  <c r="W187" i="22"/>
  <c r="W193" i="25"/>
  <c r="W196" i="22"/>
  <c r="AE21" i="17"/>
  <c r="W77" i="22"/>
  <c r="W48" i="22"/>
  <c r="W182" i="22"/>
  <c r="AR54" i="17"/>
  <c r="AS54" i="17" s="1"/>
  <c r="W34" i="22"/>
  <c r="W98" i="19"/>
  <c r="W36" i="22"/>
  <c r="W62" i="25"/>
  <c r="BJ20" i="25"/>
  <c r="BJ26" i="25" s="1"/>
  <c r="W168" i="19"/>
  <c r="AR36" i="17"/>
  <c r="AS36" i="17" s="1"/>
  <c r="V36" i="17" s="1"/>
  <c r="W86" i="22"/>
  <c r="AE27" i="17"/>
  <c r="H27" i="17" s="1"/>
  <c r="W23" i="22"/>
  <c r="W68" i="19"/>
  <c r="W201" i="22"/>
  <c r="W132" i="22"/>
  <c r="BJ20" i="22"/>
  <c r="BJ38" i="22" s="1"/>
  <c r="W26" i="25"/>
  <c r="W30" i="22"/>
  <c r="W181" i="19"/>
  <c r="AO60" i="17"/>
  <c r="AP60" i="17" s="1"/>
  <c r="S60" i="17" s="1"/>
  <c r="W19" i="22"/>
  <c r="W68" i="22"/>
  <c r="W72" i="22"/>
  <c r="W56" i="25"/>
  <c r="W106" i="25"/>
  <c r="W164" i="25"/>
  <c r="AR27" i="17"/>
  <c r="AO22" i="17"/>
  <c r="AP22" i="17" s="1"/>
  <c r="AO63" i="17"/>
  <c r="AP63" i="17" s="1"/>
  <c r="AO59" i="17"/>
  <c r="AP59" i="17" s="1"/>
  <c r="S59" i="17" s="1"/>
  <c r="AO26" i="17"/>
  <c r="R26" i="17" s="1"/>
  <c r="W37" i="25"/>
  <c r="AO52" i="17"/>
  <c r="AP52" i="17" s="1"/>
  <c r="S52" i="17" s="1"/>
  <c r="W78" i="25"/>
  <c r="AR51" i="17"/>
  <c r="AS51" i="17" s="1"/>
  <c r="AR13" i="17"/>
  <c r="AS13" i="17" s="1"/>
  <c r="AE59" i="17"/>
  <c r="AF59" i="17" s="1"/>
  <c r="AE28" i="17"/>
  <c r="AH28" i="17"/>
  <c r="W64" i="25"/>
  <c r="W54" i="25"/>
  <c r="W176" i="25"/>
  <c r="AR19" i="17"/>
  <c r="AS19" i="17" s="1"/>
  <c r="AR41" i="17"/>
  <c r="AS41" i="17" s="1"/>
  <c r="AR59" i="17"/>
  <c r="AS59" i="17" s="1"/>
  <c r="W35" i="25"/>
  <c r="AO25" i="17"/>
  <c r="AR21" i="17"/>
  <c r="AS21" i="17" s="1"/>
  <c r="V21" i="17" s="1"/>
  <c r="AR58" i="17"/>
  <c r="AS58" i="17" s="1"/>
  <c r="W55" i="22"/>
  <c r="W93" i="22"/>
  <c r="W21" i="22"/>
  <c r="W105" i="22"/>
  <c r="W33" i="25"/>
  <c r="W19" i="25"/>
  <c r="AO45" i="17"/>
  <c r="AP45" i="17" s="1"/>
  <c r="S45" i="17" s="1"/>
  <c r="W76" i="25"/>
  <c r="W101" i="22"/>
  <c r="AR16" i="17"/>
  <c r="AS16" i="17" s="1"/>
  <c r="AH36" i="17"/>
  <c r="AI36" i="17" s="1"/>
  <c r="AR37" i="17"/>
  <c r="AS37" i="17" s="1"/>
  <c r="V37" i="17" s="1"/>
  <c r="W191" i="22"/>
  <c r="W129" i="22"/>
  <c r="W106" i="22"/>
  <c r="AR26" i="17"/>
  <c r="W87" i="22"/>
  <c r="W92" i="22"/>
  <c r="W58" i="22"/>
  <c r="BM20" i="22"/>
  <c r="BM51" i="22" s="1"/>
  <c r="W26" i="22"/>
  <c r="W202" i="22"/>
  <c r="W47" i="25"/>
  <c r="W183" i="25"/>
  <c r="W67" i="25"/>
  <c r="AO65" i="17"/>
  <c r="AP65" i="17" s="1"/>
  <c r="W98" i="22"/>
  <c r="W97" i="25"/>
  <c r="W47" i="22"/>
  <c r="AR61" i="17"/>
  <c r="AS61" i="17" s="1"/>
  <c r="AH10" i="17"/>
  <c r="AI10" i="17" s="1"/>
  <c r="W176" i="22"/>
  <c r="W173" i="22"/>
  <c r="AE54" i="17"/>
  <c r="AF54" i="17" s="1"/>
  <c r="W28" i="25"/>
  <c r="AR35" i="17"/>
  <c r="AS35" i="17" s="1"/>
  <c r="AH71" i="17"/>
  <c r="AH89" i="17"/>
  <c r="AI89" i="17" s="1"/>
  <c r="L94" i="17" s="1"/>
  <c r="AE62" i="17"/>
  <c r="AF62" i="17" s="1"/>
  <c r="W167" i="25"/>
  <c r="W94" i="25"/>
  <c r="AR14" i="17"/>
  <c r="AS14" i="17" s="1"/>
  <c r="AH88" i="17"/>
  <c r="AI88" i="17" s="1"/>
  <c r="W103" i="25"/>
  <c r="W177" i="25"/>
  <c r="W105" i="25"/>
  <c r="AR49" i="17"/>
  <c r="AS49" i="17" s="1"/>
  <c r="AO21" i="17"/>
  <c r="R21" i="17" s="1"/>
  <c r="W34" i="25"/>
  <c r="AR60" i="17"/>
  <c r="AS60" i="17" s="1"/>
  <c r="AE45" i="17"/>
  <c r="AF45" i="17" s="1"/>
  <c r="W83" i="22"/>
  <c r="W168" i="22"/>
  <c r="W61" i="22"/>
  <c r="W42" i="22"/>
  <c r="BN20" i="22"/>
  <c r="BN70" i="22" s="1"/>
  <c r="W42" i="25"/>
  <c r="W68" i="25"/>
  <c r="W20" i="25"/>
  <c r="W35" i="22"/>
  <c r="AH27" i="17"/>
  <c r="AR11" i="17"/>
  <c r="AS11" i="17" s="1"/>
  <c r="V11" i="17" s="1"/>
  <c r="AR33" i="17"/>
  <c r="AS33" i="17" s="1"/>
  <c r="AH35" i="17"/>
  <c r="AI35" i="17" s="1"/>
  <c r="AH62" i="17"/>
  <c r="AI62" i="17" s="1"/>
  <c r="AH61" i="17"/>
  <c r="AI61" i="17" s="1"/>
  <c r="W78" i="22"/>
  <c r="AH103" i="17"/>
  <c r="M105" i="17" s="1"/>
  <c r="W23" i="25"/>
  <c r="W75" i="25"/>
  <c r="W65" i="25"/>
  <c r="AR52" i="17"/>
  <c r="AS52" i="17" s="1"/>
  <c r="AR15" i="17"/>
  <c r="AS15" i="17" s="1"/>
  <c r="W79" i="25"/>
  <c r="W85" i="25"/>
  <c r="AO44" i="17"/>
  <c r="AP44" i="17" s="1"/>
  <c r="S44" i="17" s="1"/>
  <c r="AH37" i="17"/>
  <c r="AI37" i="17" s="1"/>
  <c r="W86" i="25"/>
  <c r="W74" i="25"/>
  <c r="W100" i="25"/>
  <c r="AH65" i="17"/>
  <c r="AI65" i="17" s="1"/>
  <c r="AR10" i="17"/>
  <c r="AS10" i="17" s="1"/>
  <c r="AR46" i="17"/>
  <c r="AS46" i="17" s="1"/>
  <c r="W58" i="25"/>
  <c r="AH51" i="17"/>
  <c r="AI51" i="17" s="1"/>
  <c r="AH58" i="17"/>
  <c r="AI58" i="17" s="1"/>
  <c r="AH40" i="17"/>
  <c r="AI40" i="17" s="1"/>
  <c r="AH44" i="17"/>
  <c r="AI44" i="17" s="1"/>
  <c r="AO58" i="17"/>
  <c r="AP58" i="17" s="1"/>
  <c r="W38" i="25"/>
  <c r="W66" i="25"/>
  <c r="W182" i="25"/>
  <c r="W69" i="25"/>
  <c r="W104" i="25"/>
  <c r="AR39" i="17"/>
  <c r="AS39" i="17" s="1"/>
  <c r="AR25" i="17"/>
  <c r="AR28" i="17"/>
  <c r="AH47" i="17"/>
  <c r="AI47" i="17" s="1"/>
  <c r="AH25" i="17"/>
  <c r="AH48" i="17"/>
  <c r="AI48" i="17" s="1"/>
  <c r="AE52" i="17"/>
  <c r="AF52" i="17" s="1"/>
  <c r="W51" i="22"/>
  <c r="BL20" i="22"/>
  <c r="BL48" i="22" s="1"/>
  <c r="AH34" i="17"/>
  <c r="AI34" i="17" s="1"/>
  <c r="I46" i="21" a="1"/>
  <c r="I46" i="21" s="1"/>
  <c r="G117" i="21"/>
  <c r="AM33" i="17"/>
  <c r="AN33" i="17" s="1"/>
  <c r="AM17" i="17"/>
  <c r="AN17" i="17" s="1"/>
  <c r="AM38" i="17"/>
  <c r="AN38" i="17" s="1"/>
  <c r="AM51" i="17"/>
  <c r="AN51" i="17" s="1"/>
  <c r="G115" i="21"/>
  <c r="AM45" i="17"/>
  <c r="AN45" i="17" s="1"/>
  <c r="AM19" i="17"/>
  <c r="AN19" i="17" s="1"/>
  <c r="AM62" i="17"/>
  <c r="AN62" i="17" s="1"/>
  <c r="AM47" i="17"/>
  <c r="AN47" i="17" s="1"/>
  <c r="W65" i="19"/>
  <c r="AR48" i="17"/>
  <c r="AS48" i="17" s="1"/>
  <c r="AR57" i="17"/>
  <c r="AS57" i="17" s="1"/>
  <c r="AM22" i="17"/>
  <c r="AN22" i="17" s="1"/>
  <c r="W99" i="25"/>
  <c r="BL20" i="25"/>
  <c r="BL66" i="25" s="1"/>
  <c r="W207" i="25"/>
  <c r="W183" i="19"/>
  <c r="AM26" i="17"/>
  <c r="W84" i="25"/>
  <c r="AM58" i="17"/>
  <c r="AN58" i="17" s="1"/>
  <c r="W180" i="25"/>
  <c r="W30" i="25"/>
  <c r="AE58" i="17"/>
  <c r="AF58" i="17" s="1"/>
  <c r="AH31" i="17"/>
  <c r="AI31" i="17" s="1"/>
  <c r="AM35" i="17"/>
  <c r="AN35" i="17" s="1"/>
  <c r="AM36" i="17"/>
  <c r="AN36" i="17" s="1"/>
  <c r="W129" i="19"/>
  <c r="AM49" i="17"/>
  <c r="AN49" i="17" s="1"/>
  <c r="W186" i="25"/>
  <c r="W172" i="19"/>
  <c r="AH41" i="17"/>
  <c r="AI41" i="17" s="1"/>
  <c r="AR43" i="17"/>
  <c r="AS43" i="17" s="1"/>
  <c r="V43" i="17" s="1"/>
  <c r="AR45" i="17"/>
  <c r="AS45" i="17" s="1"/>
  <c r="G109" i="21"/>
  <c r="AM11" i="17"/>
  <c r="AN11" i="17" s="1"/>
  <c r="Q11" i="17" s="1"/>
  <c r="AM42" i="17"/>
  <c r="AN42" i="17" s="1"/>
  <c r="G121" i="21"/>
  <c r="W22" i="19"/>
  <c r="W57" i="25"/>
  <c r="W48" i="25"/>
  <c r="W53" i="25"/>
  <c r="W168" i="25"/>
  <c r="W181" i="25"/>
  <c r="W196" i="19"/>
  <c r="AR12" i="17"/>
  <c r="AS12" i="17" s="1"/>
  <c r="W33" i="19"/>
  <c r="AR22" i="17"/>
  <c r="AS22" i="17" s="1"/>
  <c r="AE57" i="17"/>
  <c r="AF57" i="17" s="1"/>
  <c r="AE44" i="17"/>
  <c r="AF44" i="17" s="1"/>
  <c r="AF6" i="17"/>
  <c r="AE22" i="17"/>
  <c r="H22" i="17" s="1"/>
  <c r="AE40" i="17"/>
  <c r="AF40" i="17" s="1"/>
  <c r="AE60" i="17"/>
  <c r="AF60" i="17" s="1"/>
  <c r="AE25" i="17"/>
  <c r="AE61" i="17"/>
  <c r="AF61" i="17" s="1"/>
  <c r="AE63" i="17"/>
  <c r="AF63" i="17" s="1"/>
  <c r="I63" i="17" s="1"/>
  <c r="AE26" i="17"/>
  <c r="H26" i="17" s="1"/>
  <c r="E12" i="19"/>
  <c r="C8" i="19" s="1"/>
  <c r="C9" i="19" s="1"/>
  <c r="W12" i="19"/>
  <c r="H131" i="21"/>
  <c r="AJ29" i="17"/>
  <c r="AM12" i="17"/>
  <c r="AN12" i="17" s="1"/>
  <c r="W14" i="19"/>
  <c r="AJ58" i="17"/>
  <c r="AK58" i="17" s="1"/>
  <c r="AM65" i="17"/>
  <c r="AN65" i="17" s="1"/>
  <c r="W83" i="25"/>
  <c r="AM16" i="17"/>
  <c r="AN16" i="17" s="1"/>
  <c r="Q16" i="17" s="1"/>
  <c r="AM39" i="17"/>
  <c r="AN39" i="17" s="1"/>
  <c r="AO7" i="17"/>
  <c r="W52" i="25"/>
  <c r="W201" i="25"/>
  <c r="W72" i="25"/>
  <c r="AR34" i="17"/>
  <c r="AS34" i="17" s="1"/>
  <c r="AR38" i="17"/>
  <c r="AS38" i="17" s="1"/>
  <c r="AR44" i="17"/>
  <c r="AS44" i="17" s="1"/>
  <c r="AH26" i="17"/>
  <c r="AH54" i="17"/>
  <c r="AI54" i="17" s="1"/>
  <c r="AH49" i="17"/>
  <c r="AI49" i="17" s="1"/>
  <c r="AR63" i="17"/>
  <c r="AS63" i="17" s="1"/>
  <c r="AR17" i="17"/>
  <c r="AS17" i="17" s="1"/>
  <c r="AT7" i="17"/>
  <c r="AT33" i="17" s="1"/>
  <c r="AU33" i="17" s="1"/>
  <c r="X33" i="17" s="1"/>
  <c r="AR108" i="17"/>
  <c r="AS108" i="17" s="1"/>
  <c r="AM29" i="17"/>
  <c r="W205" i="25"/>
  <c r="W187" i="25"/>
  <c r="W169" i="25"/>
  <c r="W92" i="25"/>
  <c r="W206" i="25"/>
  <c r="W93" i="25"/>
  <c r="W27" i="25"/>
  <c r="W87" i="25"/>
  <c r="W88" i="25"/>
  <c r="AM48" i="17"/>
  <c r="AN48" i="17" s="1"/>
  <c r="AS6" i="17"/>
  <c r="AS28" i="17" s="1"/>
  <c r="AH33" i="17"/>
  <c r="AI33" i="17" s="1"/>
  <c r="AH50" i="17"/>
  <c r="AI50" i="17" s="1"/>
  <c r="AH43" i="17"/>
  <c r="AI43" i="17" s="1"/>
  <c r="AH102" i="17"/>
  <c r="AI102" i="17" s="1"/>
  <c r="AM27" i="17"/>
  <c r="AM89" i="17"/>
  <c r="AN89" i="17" s="1"/>
  <c r="Q91" i="17" s="1"/>
  <c r="E77" i="21" a="1"/>
  <c r="E77" i="21" s="1"/>
  <c r="AJ62" i="17"/>
  <c r="AK62" i="17" s="1"/>
  <c r="N62" i="17" s="1"/>
  <c r="AM103" i="17"/>
  <c r="AN103" i="17" s="1"/>
  <c r="AM41" i="17"/>
  <c r="AN41" i="17" s="1"/>
  <c r="E14" i="22"/>
  <c r="C8" i="22" s="1"/>
  <c r="C9" i="22" s="1"/>
  <c r="AM63" i="17"/>
  <c r="AN63" i="17" s="1"/>
  <c r="G107" i="21"/>
  <c r="I39" i="16" s="1"/>
  <c r="AM25" i="17"/>
  <c r="W46" i="25"/>
  <c r="W172" i="25"/>
  <c r="W63" i="25"/>
  <c r="AR47" i="17"/>
  <c r="AS47" i="17" s="1"/>
  <c r="AM28" i="17"/>
  <c r="W196" i="25"/>
  <c r="W89" i="25"/>
  <c r="W77" i="25"/>
  <c r="W61" i="25"/>
  <c r="W101" i="25"/>
  <c r="AM46" i="17"/>
  <c r="AN46" i="17" s="1"/>
  <c r="AH38" i="17"/>
  <c r="AI38" i="17" s="1"/>
  <c r="AR103" i="17"/>
  <c r="AS103" i="17" s="1"/>
  <c r="W14" i="25"/>
  <c r="AM108" i="17"/>
  <c r="AN108" i="17" s="1"/>
  <c r="AM54" i="17"/>
  <c r="AN54" i="17" s="1"/>
  <c r="W44" i="25"/>
  <c r="W39" i="25"/>
  <c r="W82" i="25"/>
  <c r="W202" i="25"/>
  <c r="W55" i="25"/>
  <c r="W102" i="25"/>
  <c r="W22" i="25"/>
  <c r="W208" i="25"/>
  <c r="W12" i="25"/>
  <c r="BM20" i="25"/>
  <c r="BM36" i="25" s="1"/>
  <c r="AM34" i="17"/>
  <c r="AN34" i="17" s="1"/>
  <c r="G36" i="21"/>
  <c r="G79" i="21" s="1"/>
  <c r="AJ26" i="17"/>
  <c r="M26" i="17" s="1"/>
  <c r="BN20" i="25"/>
  <c r="BN61" i="25" s="1"/>
  <c r="W51" i="25"/>
  <c r="G119" i="21"/>
  <c r="AI6" i="17"/>
  <c r="AI25" i="17" s="1"/>
  <c r="AR31" i="17"/>
  <c r="AS31" i="17" s="1"/>
  <c r="AH39" i="17"/>
  <c r="AI39" i="17" s="1"/>
  <c r="AH42" i="17"/>
  <c r="AI42" i="17" s="1"/>
  <c r="AJ7" i="17"/>
  <c r="AJ34" i="17" s="1"/>
  <c r="AK34" i="17" s="1"/>
  <c r="AH29" i="17"/>
  <c r="W43" i="25"/>
  <c r="W45" i="25"/>
  <c r="AM40" i="17"/>
  <c r="AN40" i="17" s="1"/>
  <c r="AR102" i="17"/>
  <c r="AS102" i="17" s="1"/>
  <c r="W36" i="25"/>
  <c r="W132" i="25"/>
  <c r="G131" i="21"/>
  <c r="AR71" i="17"/>
  <c r="AO29" i="17"/>
  <c r="AM15" i="17"/>
  <c r="AN15" i="17" s="1"/>
  <c r="AM10" i="17"/>
  <c r="AN10" i="17" s="1"/>
  <c r="AJ24" i="25"/>
  <c r="AJ33" i="25" s="1"/>
  <c r="W133" i="25"/>
  <c r="W192" i="25"/>
  <c r="W134" i="25"/>
  <c r="W130" i="25"/>
  <c r="W29" i="25"/>
  <c r="W188" i="25"/>
  <c r="W163" i="25"/>
  <c r="AM60" i="17"/>
  <c r="AN60" i="17" s="1"/>
  <c r="AR62" i="17"/>
  <c r="AS62" i="17" s="1"/>
  <c r="AR29" i="17"/>
  <c r="W98" i="25"/>
  <c r="G133" i="21"/>
  <c r="AH63" i="17"/>
  <c r="AI63" i="17" s="1"/>
  <c r="G129" i="21"/>
  <c r="AH45" i="17"/>
  <c r="AI45" i="17" s="1"/>
  <c r="AH60" i="17"/>
  <c r="AI60" i="17" s="1"/>
  <c r="AH52" i="17"/>
  <c r="AI52" i="17" s="1"/>
  <c r="AH32" i="17"/>
  <c r="AI32" i="17" s="1"/>
  <c r="AH46" i="17"/>
  <c r="AI46" i="17" s="1"/>
  <c r="AR50" i="17"/>
  <c r="AS50" i="17" s="1"/>
  <c r="AR89" i="17"/>
  <c r="AS89" i="17" s="1"/>
  <c r="V91" i="17" s="1"/>
  <c r="AH14" i="17"/>
  <c r="AI14" i="17" s="1"/>
  <c r="W86" i="19"/>
  <c r="W20" i="19"/>
  <c r="W99" i="19"/>
  <c r="W21" i="19"/>
  <c r="W176" i="19"/>
  <c r="W206" i="19"/>
  <c r="W89" i="19"/>
  <c r="W72" i="19"/>
  <c r="W45" i="19"/>
  <c r="E119" i="21"/>
  <c r="W38" i="19"/>
  <c r="W177" i="19"/>
  <c r="W23" i="19"/>
  <c r="W78" i="19"/>
  <c r="W92" i="19"/>
  <c r="BJ20" i="19"/>
  <c r="BJ124" i="19" s="1"/>
  <c r="W182" i="19"/>
  <c r="AJ44" i="17"/>
  <c r="AK44" i="17" s="1"/>
  <c r="W63" i="19"/>
  <c r="W46" i="19"/>
  <c r="W26" i="19"/>
  <c r="W208" i="19"/>
  <c r="W100" i="19"/>
  <c r="W163" i="19"/>
  <c r="W51" i="19"/>
  <c r="W67" i="19"/>
  <c r="W134" i="19"/>
  <c r="W201" i="19"/>
  <c r="W88" i="19"/>
  <c r="W101" i="19"/>
  <c r="H115" i="21"/>
  <c r="AM43" i="17"/>
  <c r="AN43" i="17" s="1"/>
  <c r="AM31" i="17"/>
  <c r="AN31" i="17" s="1"/>
  <c r="W42" i="19"/>
  <c r="W64" i="19"/>
  <c r="W202" i="19"/>
  <c r="W79" i="19"/>
  <c r="W12" i="22"/>
  <c r="W37" i="19"/>
  <c r="AM59" i="17"/>
  <c r="AN59" i="17" s="1"/>
  <c r="W58" i="19"/>
  <c r="AM52" i="17"/>
  <c r="AN52" i="17" s="1"/>
  <c r="AM102" i="17"/>
  <c r="AN102" i="17" s="1"/>
  <c r="W44" i="19"/>
  <c r="W197" i="19"/>
  <c r="BM20" i="19"/>
  <c r="BM96" i="19" s="1"/>
  <c r="W192" i="19"/>
  <c r="E36" i="21"/>
  <c r="E74" i="21" s="1"/>
  <c r="E107" i="21"/>
  <c r="G39" i="16" s="1"/>
  <c r="W62" i="19"/>
  <c r="W43" i="19"/>
  <c r="W69" i="19"/>
  <c r="W84" i="19"/>
  <c r="BL20" i="19"/>
  <c r="BL81" i="19" s="1"/>
  <c r="W34" i="19"/>
  <c r="W131" i="19"/>
  <c r="W167" i="19"/>
  <c r="W53" i="19"/>
  <c r="W106" i="19"/>
  <c r="W61" i="19"/>
  <c r="BI20" i="19"/>
  <c r="BI88" i="19" s="1"/>
  <c r="H121" i="21"/>
  <c r="W205" i="19"/>
  <c r="W54" i="19"/>
  <c r="W73" i="19"/>
  <c r="AH16" i="17"/>
  <c r="AI16" i="17" s="1"/>
  <c r="H109" i="21"/>
  <c r="H107" i="21"/>
  <c r="J39" i="16" s="1"/>
  <c r="AM61" i="17"/>
  <c r="AN61" i="17" s="1"/>
  <c r="AM88" i="17"/>
  <c r="AN88" i="17" s="1"/>
  <c r="W27" i="19"/>
  <c r="W14" i="22"/>
  <c r="W103" i="19"/>
  <c r="W30" i="19"/>
  <c r="W39" i="19"/>
  <c r="W35" i="19"/>
  <c r="W173" i="19"/>
  <c r="W55" i="19"/>
  <c r="W74" i="19"/>
  <c r="AJ60" i="17"/>
  <c r="AK60" i="17" s="1"/>
  <c r="N60" i="17" s="1"/>
  <c r="W188" i="19"/>
  <c r="W19" i="19"/>
  <c r="AN6" i="17"/>
  <c r="AN26" i="17" s="1"/>
  <c r="W132" i="19"/>
  <c r="AJ24" i="19"/>
  <c r="AJ33" i="19" s="1"/>
  <c r="W87" i="19"/>
  <c r="W76" i="19"/>
  <c r="W207" i="19"/>
  <c r="W186" i="19"/>
  <c r="W66" i="19"/>
  <c r="H129" i="21"/>
  <c r="H117" i="21"/>
  <c r="W77" i="19"/>
  <c r="W85" i="19"/>
  <c r="BN20" i="19"/>
  <c r="W133" i="19"/>
  <c r="W128" i="19"/>
  <c r="W169" i="19"/>
  <c r="AM13" i="17"/>
  <c r="AN13" i="17" s="1"/>
  <c r="AM57" i="17"/>
  <c r="AN57" i="17" s="1"/>
  <c r="AM44" i="17"/>
  <c r="AN44" i="17" s="1"/>
  <c r="AM37" i="17"/>
  <c r="AN37" i="17" s="1"/>
  <c r="AM71" i="17"/>
  <c r="AM32" i="17"/>
  <c r="AN32" i="17" s="1"/>
  <c r="E82" i="21" a="1"/>
  <c r="E82" i="21" s="1"/>
  <c r="E121" i="21"/>
  <c r="E117" i="21"/>
  <c r="E108" i="21"/>
  <c r="G40" i="16" s="1"/>
  <c r="AJ63" i="17"/>
  <c r="AK63" i="17" s="1"/>
  <c r="N63" i="17" s="1"/>
  <c r="I21" i="21"/>
  <c r="AJ57" i="17"/>
  <c r="AK57" i="17" s="1"/>
  <c r="G21" i="21"/>
  <c r="AO57" i="17"/>
  <c r="AP57" i="17" s="1"/>
  <c r="AO54" i="17"/>
  <c r="AP54" i="17" s="1"/>
  <c r="AO28" i="17"/>
  <c r="AJ45" i="17"/>
  <c r="AK45" i="17" s="1"/>
  <c r="AJ59" i="17"/>
  <c r="AK59" i="17" s="1"/>
  <c r="N59" i="17" s="1"/>
  <c r="AP6" i="17"/>
  <c r="AP26" i="17" s="1"/>
  <c r="W14" i="24"/>
  <c r="W12" i="24"/>
  <c r="E12" i="24"/>
  <c r="E129" i="21"/>
  <c r="J21" i="21"/>
  <c r="F21" i="21"/>
  <c r="E131" i="21"/>
  <c r="AJ27" i="17"/>
  <c r="M27" i="17" s="1"/>
  <c r="AJ54" i="17"/>
  <c r="AK54" i="17" s="1"/>
  <c r="H21" i="21"/>
  <c r="E133" i="21"/>
  <c r="AO62" i="17"/>
  <c r="AP62" i="17" s="1"/>
  <c r="S62" i="17" s="1"/>
  <c r="H119" i="21"/>
  <c r="AO61" i="17"/>
  <c r="AP61" i="17" s="1"/>
  <c r="S61" i="17" s="1"/>
  <c r="AK6" i="17"/>
  <c r="H133" i="21"/>
  <c r="E21" i="21"/>
  <c r="B9" i="21"/>
  <c r="H9" i="21" s="1"/>
  <c r="K10" i="21" s="1"/>
  <c r="AJ28" i="17"/>
  <c r="AJ65" i="17"/>
  <c r="AK65" i="17" s="1"/>
  <c r="K77" i="21" a="1"/>
  <c r="K77" i="21" s="1"/>
  <c r="I77" i="21" a="1"/>
  <c r="I77" i="21" s="1"/>
  <c r="I78" i="21" s="1"/>
  <c r="K82" i="21" a="1"/>
  <c r="K82" i="21" s="1"/>
  <c r="G82" i="21" a="1"/>
  <c r="G82" i="21" s="1"/>
  <c r="K46" i="21" a="1"/>
  <c r="K46" i="21" s="1"/>
  <c r="L21" i="21"/>
  <c r="I82" i="21" a="1"/>
  <c r="I82" i="21" s="1"/>
  <c r="G46" i="21" a="1"/>
  <c r="G46" i="21" s="1"/>
  <c r="AS38" i="25"/>
  <c r="AS32" i="25"/>
  <c r="AH11" i="17"/>
  <c r="AI11" i="17" s="1"/>
  <c r="L11" i="17" s="1"/>
  <c r="AJ22" i="17"/>
  <c r="M22" i="17" s="1"/>
  <c r="G36" i="16"/>
  <c r="AA20" i="16"/>
  <c r="AA7" i="16"/>
  <c r="AA12" i="16"/>
  <c r="AA3" i="16"/>
  <c r="AA35" i="16"/>
  <c r="AH13" i="17"/>
  <c r="AI13" i="17" s="1"/>
  <c r="AH15" i="17"/>
  <c r="AI15" i="17" s="1"/>
  <c r="AJ21" i="17"/>
  <c r="AK21" i="17" s="1"/>
  <c r="N21" i="17" s="1"/>
  <c r="AH21" i="17"/>
  <c r="AI21" i="17" s="1"/>
  <c r="AA27" i="16"/>
  <c r="AH19" i="17"/>
  <c r="AI19" i="17" s="1"/>
  <c r="AH17" i="17"/>
  <c r="AI17" i="17" s="1"/>
  <c r="AH12" i="17"/>
  <c r="AI12" i="17" s="1"/>
  <c r="AH22" i="17"/>
  <c r="AI22" i="17" s="1"/>
  <c r="I13" i="24"/>
  <c r="M152" i="24" s="1"/>
  <c r="AS100" i="25"/>
  <c r="AS97" i="25"/>
  <c r="AS60" i="25"/>
  <c r="AS124" i="25"/>
  <c r="AS29" i="25"/>
  <c r="AS34" i="25"/>
  <c r="AS111" i="25"/>
  <c r="AS78" i="25"/>
  <c r="AS39" i="25"/>
  <c r="AS50" i="25"/>
  <c r="AS43" i="25"/>
  <c r="AU41" i="25"/>
  <c r="AU78" i="22"/>
  <c r="AU104" i="22"/>
  <c r="AS96" i="25"/>
  <c r="AS88" i="25"/>
  <c r="AQ35" i="19"/>
  <c r="AS101" i="25"/>
  <c r="AS89" i="25"/>
  <c r="AS105" i="25"/>
  <c r="AS94" i="25"/>
  <c r="AQ113" i="19"/>
  <c r="AS67" i="25"/>
  <c r="AS112" i="25"/>
  <c r="AQ29" i="19"/>
  <c r="AS71" i="25"/>
  <c r="AQ51" i="19"/>
  <c r="AS49" i="25"/>
  <c r="AS90" i="25"/>
  <c r="AS76" i="25"/>
  <c r="AS122" i="25"/>
  <c r="AS26" i="25"/>
  <c r="AQ76" i="19"/>
  <c r="AS117" i="25"/>
  <c r="AS114" i="25"/>
  <c r="AS87" i="25"/>
  <c r="AS51" i="25"/>
  <c r="AS28" i="25"/>
  <c r="AS102" i="25"/>
  <c r="AS52" i="25"/>
  <c r="AS116" i="25"/>
  <c r="AS47" i="25"/>
  <c r="AS56" i="25"/>
  <c r="AU27" i="25"/>
  <c r="AS42" i="25"/>
  <c r="AS120" i="25"/>
  <c r="AS77" i="25"/>
  <c r="AS36" i="25"/>
  <c r="AS61" i="25"/>
  <c r="AS54" i="25"/>
  <c r="AS113" i="25"/>
  <c r="AS66" i="25"/>
  <c r="AS109" i="25"/>
  <c r="AS74" i="25"/>
  <c r="AS45" i="25"/>
  <c r="AS72" i="25"/>
  <c r="AS123" i="25"/>
  <c r="AS81" i="25"/>
  <c r="AS53" i="25"/>
  <c r="AS108" i="25"/>
  <c r="AS68" i="25"/>
  <c r="AS31" i="25"/>
  <c r="AS84" i="25"/>
  <c r="AS92" i="25"/>
  <c r="AS63" i="25"/>
  <c r="AS115" i="25"/>
  <c r="AS119" i="25"/>
  <c r="AS40" i="25"/>
  <c r="AS44" i="25"/>
  <c r="AS93" i="25"/>
  <c r="AS121" i="25"/>
  <c r="AS57" i="25"/>
  <c r="AS55" i="25"/>
  <c r="AS79" i="25"/>
  <c r="AS80" i="25"/>
  <c r="AS33" i="25"/>
  <c r="AS91" i="25"/>
  <c r="AS104" i="25"/>
  <c r="AS86" i="25"/>
  <c r="AS46" i="25"/>
  <c r="AS62" i="25"/>
  <c r="AS73" i="25"/>
  <c r="AS70" i="25"/>
  <c r="AS83" i="25"/>
  <c r="AS82" i="25"/>
  <c r="AS64" i="25"/>
  <c r="AS110" i="25"/>
  <c r="AS59" i="25"/>
  <c r="AS30" i="25"/>
  <c r="AS41" i="25"/>
  <c r="AS48" i="25"/>
  <c r="AS27" i="25"/>
  <c r="AS69" i="25"/>
  <c r="AS103" i="25"/>
  <c r="AS118" i="25"/>
  <c r="AS95" i="25"/>
  <c r="AS98" i="25"/>
  <c r="AS107" i="25"/>
  <c r="AS35" i="25"/>
  <c r="AS99" i="25"/>
  <c r="AS58" i="25"/>
  <c r="AS85" i="25"/>
  <c r="AP110" i="25"/>
  <c r="AQ74" i="19"/>
  <c r="C8" i="25"/>
  <c r="C9" i="25" s="1"/>
  <c r="E262" i="21"/>
  <c r="AQ58" i="25"/>
  <c r="AU73" i="24"/>
  <c r="AQ111" i="25"/>
  <c r="AP59" i="25"/>
  <c r="AQ103" i="25"/>
  <c r="AQ88" i="25"/>
  <c r="AS86" i="24"/>
  <c r="AS50" i="24"/>
  <c r="AP96" i="25"/>
  <c r="AP52" i="25"/>
  <c r="AP86" i="25"/>
  <c r="AU73" i="25"/>
  <c r="AU74" i="25"/>
  <c r="AU66" i="25"/>
  <c r="AU103" i="25"/>
  <c r="AQ93" i="22"/>
  <c r="AQ36" i="22"/>
  <c r="AQ90" i="22"/>
  <c r="AQ28" i="22"/>
  <c r="AQ32" i="22"/>
  <c r="AQ108" i="22"/>
  <c r="AQ77" i="22"/>
  <c r="AQ61" i="22"/>
  <c r="AQ37" i="22"/>
  <c r="AQ96" i="22"/>
  <c r="AQ92" i="22"/>
  <c r="AQ64" i="22"/>
  <c r="AQ97" i="22"/>
  <c r="AQ89" i="22"/>
  <c r="AQ109" i="22"/>
  <c r="AQ98" i="22"/>
  <c r="AQ69" i="22"/>
  <c r="AQ60" i="22"/>
  <c r="AQ102" i="22"/>
  <c r="AQ83" i="22"/>
  <c r="AQ80" i="22"/>
  <c r="AQ68" i="22"/>
  <c r="AQ54" i="22"/>
  <c r="AQ84" i="22"/>
  <c r="AQ42" i="22"/>
  <c r="AQ118" i="22"/>
  <c r="AQ35" i="22"/>
  <c r="AQ27" i="22"/>
  <c r="AQ121" i="22"/>
  <c r="AQ51" i="22"/>
  <c r="AQ67" i="22"/>
  <c r="AQ103" i="22"/>
  <c r="AQ70" i="22"/>
  <c r="AQ59" i="22"/>
  <c r="AQ120" i="22"/>
  <c r="AQ123" i="22"/>
  <c r="AQ71" i="22"/>
  <c r="AQ76" i="22"/>
  <c r="AQ104" i="22"/>
  <c r="AQ34" i="22"/>
  <c r="AQ52" i="22"/>
  <c r="AQ49" i="22"/>
  <c r="AQ44" i="22"/>
  <c r="AQ124" i="22"/>
  <c r="AQ86" i="22"/>
  <c r="AU121" i="25"/>
  <c r="AS37" i="22"/>
  <c r="AS123" i="22"/>
  <c r="AS73" i="22"/>
  <c r="AS90" i="22"/>
  <c r="AS98" i="22"/>
  <c r="AS34" i="22"/>
  <c r="AS105" i="22"/>
  <c r="AS99" i="22"/>
  <c r="AS96" i="22"/>
  <c r="AS117" i="22"/>
  <c r="AS26" i="22"/>
  <c r="AS107" i="22"/>
  <c r="AS43" i="22"/>
  <c r="AS40" i="22"/>
  <c r="AS54" i="22"/>
  <c r="AS45" i="22"/>
  <c r="AS50" i="22"/>
  <c r="AS114" i="22"/>
  <c r="AQ61" i="25"/>
  <c r="AQ63" i="25"/>
  <c r="AQ36" i="25"/>
  <c r="AQ56" i="25"/>
  <c r="AQ95" i="25"/>
  <c r="AQ97" i="25"/>
  <c r="AQ90" i="25"/>
  <c r="AQ87" i="25"/>
  <c r="AQ40" i="25"/>
  <c r="AQ73" i="25"/>
  <c r="AQ98" i="25"/>
  <c r="AQ32" i="25"/>
  <c r="AQ37" i="25"/>
  <c r="AQ57" i="25"/>
  <c r="AQ114" i="25"/>
  <c r="AQ66" i="25"/>
  <c r="AQ79" i="25"/>
  <c r="AQ38" i="25"/>
  <c r="AQ107" i="25"/>
  <c r="AQ71" i="25"/>
  <c r="AQ69" i="25"/>
  <c r="AQ51" i="25"/>
  <c r="AQ119" i="25"/>
  <c r="AQ39" i="25"/>
  <c r="AQ46" i="25"/>
  <c r="AQ33" i="25"/>
  <c r="AQ34" i="25"/>
  <c r="AQ48" i="25"/>
  <c r="AQ27" i="25"/>
  <c r="AQ118" i="25"/>
  <c r="AQ110" i="25"/>
  <c r="AQ102" i="25"/>
  <c r="AQ28" i="25"/>
  <c r="AQ76" i="25"/>
  <c r="AQ123" i="25"/>
  <c r="AQ62" i="25"/>
  <c r="AQ92" i="25"/>
  <c r="AQ72" i="25"/>
  <c r="AQ42" i="25"/>
  <c r="AQ52" i="25"/>
  <c r="AQ67" i="25"/>
  <c r="AQ74" i="25"/>
  <c r="AQ84" i="25"/>
  <c r="AQ54" i="25"/>
  <c r="AQ93" i="25"/>
  <c r="AQ44" i="25"/>
  <c r="AQ86" i="25"/>
  <c r="AQ82" i="25"/>
  <c r="AQ117" i="25"/>
  <c r="AQ108" i="25"/>
  <c r="AQ124" i="25"/>
  <c r="AQ80" i="25"/>
  <c r="AQ99" i="25"/>
  <c r="AQ49" i="25"/>
  <c r="AQ60" i="25"/>
  <c r="AQ35" i="25"/>
  <c r="AQ120" i="25"/>
  <c r="AQ109" i="25"/>
  <c r="AQ81" i="25"/>
  <c r="AQ104" i="25"/>
  <c r="AQ26" i="25"/>
  <c r="AQ31" i="25"/>
  <c r="AQ106" i="25"/>
  <c r="AQ68" i="25"/>
  <c r="AQ64" i="25"/>
  <c r="AQ43" i="25"/>
  <c r="AQ78" i="25"/>
  <c r="AQ121" i="25"/>
  <c r="AQ89" i="25"/>
  <c r="AQ83" i="25"/>
  <c r="AQ77" i="25"/>
  <c r="AQ122" i="25"/>
  <c r="AQ96" i="25"/>
  <c r="AU92" i="25"/>
  <c r="AS62" i="22"/>
  <c r="AQ81" i="22"/>
  <c r="AQ47" i="25"/>
  <c r="AQ59" i="25"/>
  <c r="AQ113" i="25"/>
  <c r="AU55" i="25"/>
  <c r="AS30" i="22"/>
  <c r="AS49" i="22"/>
  <c r="BL26" i="24"/>
  <c r="BL71" i="24"/>
  <c r="BL32" i="24"/>
  <c r="BL31" i="24"/>
  <c r="BL38" i="24"/>
  <c r="AP31" i="22"/>
  <c r="AP96" i="22"/>
  <c r="AP67" i="22"/>
  <c r="AP37" i="25"/>
  <c r="AP114" i="25"/>
  <c r="AP55" i="25"/>
  <c r="AP33" i="25"/>
  <c r="AP26" i="25"/>
  <c r="AP62" i="25"/>
  <c r="AP95" i="25"/>
  <c r="AP50" i="25"/>
  <c r="AP57" i="25"/>
  <c r="AP113" i="25"/>
  <c r="AP38" i="25"/>
  <c r="AP119" i="25"/>
  <c r="AP75" i="25"/>
  <c r="AP122" i="25"/>
  <c r="AP78" i="25"/>
  <c r="AU80" i="25"/>
  <c r="AS81" i="22"/>
  <c r="AP53" i="22"/>
  <c r="AU82" i="25"/>
  <c r="AU91" i="25"/>
  <c r="AS39" i="22"/>
  <c r="AS74" i="22"/>
  <c r="AQ87" i="22"/>
  <c r="AQ53" i="25"/>
  <c r="AU43" i="25"/>
  <c r="AQ33" i="22"/>
  <c r="AU112" i="25"/>
  <c r="AU28" i="25"/>
  <c r="AQ39" i="22"/>
  <c r="AQ91" i="25"/>
  <c r="AQ30" i="25"/>
  <c r="AQ82" i="22"/>
  <c r="AU109" i="25"/>
  <c r="AU122" i="25"/>
  <c r="AU116" i="25"/>
  <c r="AU104" i="25"/>
  <c r="AU63" i="25"/>
  <c r="AU86" i="25"/>
  <c r="AU49" i="25"/>
  <c r="AU68" i="25"/>
  <c r="AU30" i="25"/>
  <c r="AU46" i="25"/>
  <c r="AU38" i="25"/>
  <c r="AU54" i="25"/>
  <c r="AU56" i="25"/>
  <c r="AU33" i="25"/>
  <c r="AU106" i="25"/>
  <c r="AU102" i="25"/>
  <c r="AU37" i="25"/>
  <c r="AU113" i="25"/>
  <c r="AU99" i="25"/>
  <c r="AU120" i="25"/>
  <c r="AU26" i="25"/>
  <c r="AU111" i="25"/>
  <c r="AU76" i="25"/>
  <c r="AU42" i="25"/>
  <c r="AU98" i="25"/>
  <c r="AU61" i="25"/>
  <c r="AU58" i="25"/>
  <c r="AU32" i="25"/>
  <c r="AU69" i="25"/>
  <c r="AU65" i="25"/>
  <c r="AU67" i="25"/>
  <c r="AU118" i="25"/>
  <c r="AU48" i="25"/>
  <c r="AU44" i="25"/>
  <c r="AU51" i="25"/>
  <c r="AU35" i="25"/>
  <c r="AU101" i="25"/>
  <c r="AU81" i="25"/>
  <c r="AU60" i="25"/>
  <c r="AU114" i="25"/>
  <c r="AU89" i="25"/>
  <c r="AU93" i="25"/>
  <c r="AU117" i="25"/>
  <c r="AU88" i="25"/>
  <c r="AU78" i="25"/>
  <c r="AU124" i="25"/>
  <c r="AU123" i="25"/>
  <c r="AU108" i="25"/>
  <c r="AU52" i="25"/>
  <c r="AU96" i="25"/>
  <c r="AU115" i="25"/>
  <c r="AU77" i="25"/>
  <c r="AU84" i="25"/>
  <c r="AU119" i="25"/>
  <c r="AU59" i="25"/>
  <c r="AU39" i="25"/>
  <c r="AU45" i="25"/>
  <c r="AU47" i="25"/>
  <c r="AU36" i="25"/>
  <c r="AU94" i="25"/>
  <c r="AU53" i="25"/>
  <c r="AU72" i="25"/>
  <c r="AU40" i="25"/>
  <c r="AU50" i="25"/>
  <c r="AU34" i="25"/>
  <c r="AU79" i="25"/>
  <c r="AU100" i="25"/>
  <c r="AU57" i="25"/>
  <c r="AU70" i="25"/>
  <c r="AU83" i="25"/>
  <c r="AU85" i="25"/>
  <c r="AU90" i="25"/>
  <c r="AU31" i="25"/>
  <c r="AU62" i="25"/>
  <c r="AU87" i="25"/>
  <c r="AU97" i="25"/>
  <c r="AU71" i="25"/>
  <c r="AU110" i="25"/>
  <c r="AQ78" i="22"/>
  <c r="AQ29" i="25"/>
  <c r="AQ114" i="22"/>
  <c r="AQ94" i="22"/>
  <c r="AQ70" i="25"/>
  <c r="AU105" i="25"/>
  <c r="AU107" i="25"/>
  <c r="AQ94" i="25"/>
  <c r="AQ112" i="25"/>
  <c r="AU29" i="25"/>
  <c r="AU95" i="25"/>
  <c r="AE37" i="17"/>
  <c r="AF37" i="17" s="1"/>
  <c r="AQ119" i="22"/>
  <c r="AS59" i="19"/>
  <c r="M152" i="25"/>
  <c r="AQ49" i="19"/>
  <c r="AU56" i="22"/>
  <c r="BN57" i="24"/>
  <c r="AU62" i="22"/>
  <c r="AQ47" i="19"/>
  <c r="BN123" i="24"/>
  <c r="BN92" i="24"/>
  <c r="AP83" i="22"/>
  <c r="AU39" i="22"/>
  <c r="AU120" i="22"/>
  <c r="AQ30" i="22"/>
  <c r="AQ48" i="22"/>
  <c r="AQ58" i="22"/>
  <c r="AQ57" i="22"/>
  <c r="AQ46" i="22"/>
  <c r="AU79" i="22"/>
  <c r="AQ97" i="19"/>
  <c r="AQ122" i="19"/>
  <c r="AU41" i="22"/>
  <c r="AQ63" i="19"/>
  <c r="BL53" i="24"/>
  <c r="BN26" i="24"/>
  <c r="AP121" i="22"/>
  <c r="AU45" i="22"/>
  <c r="AQ111" i="22"/>
  <c r="AQ43" i="22"/>
  <c r="AQ117" i="22"/>
  <c r="AQ110" i="22"/>
  <c r="AQ95" i="22"/>
  <c r="AQ41" i="22"/>
  <c r="AU52" i="22"/>
  <c r="AU27" i="22"/>
  <c r="AU93" i="22"/>
  <c r="AQ74" i="22"/>
  <c r="AQ99" i="22"/>
  <c r="AQ79" i="22"/>
  <c r="AP119" i="19"/>
  <c r="AQ41" i="19"/>
  <c r="BL66" i="24"/>
  <c r="AP27" i="22"/>
  <c r="AP68" i="22"/>
  <c r="AU88" i="22"/>
  <c r="AQ72" i="22"/>
  <c r="AU49" i="22"/>
  <c r="AQ53" i="22"/>
  <c r="AQ66" i="22"/>
  <c r="AQ56" i="22"/>
  <c r="AQ40" i="22"/>
  <c r="AQ62" i="22"/>
  <c r="AQ47" i="22"/>
  <c r="AU60" i="22"/>
  <c r="AU98" i="22"/>
  <c r="AU97" i="22"/>
  <c r="AQ60" i="19"/>
  <c r="AU99" i="22"/>
  <c r="AS112" i="24"/>
  <c r="AQ91" i="22"/>
  <c r="AQ113" i="22"/>
  <c r="AQ112" i="22"/>
  <c r="AQ26" i="22"/>
  <c r="AU58" i="19"/>
  <c r="AS96" i="24"/>
  <c r="AS33" i="24"/>
  <c r="AS64" i="24"/>
  <c r="AP30" i="19"/>
  <c r="AQ31" i="19"/>
  <c r="BL109" i="24"/>
  <c r="AU118" i="22"/>
  <c r="AQ88" i="22"/>
  <c r="AQ73" i="22"/>
  <c r="AQ38" i="22"/>
  <c r="AQ31" i="22"/>
  <c r="AQ107" i="22"/>
  <c r="AQ29" i="22"/>
  <c r="AQ122" i="22"/>
  <c r="AQ63" i="22"/>
  <c r="AP87" i="19"/>
  <c r="AS32" i="19"/>
  <c r="AQ42" i="19"/>
  <c r="AQ40" i="19"/>
  <c r="E218" i="21"/>
  <c r="E219" i="21" s="1"/>
  <c r="E220" i="21" s="1"/>
  <c r="F220" i="21" s="1"/>
  <c r="G220" i="21" s="1"/>
  <c r="H220" i="21" s="1"/>
  <c r="I220" i="21" s="1"/>
  <c r="J220" i="21" s="1"/>
  <c r="K220" i="21" s="1"/>
  <c r="L220" i="21" s="1"/>
  <c r="M220" i="21" s="1"/>
  <c r="N220" i="21" s="1"/>
  <c r="O220" i="21" s="1"/>
  <c r="P220" i="21" s="1"/>
  <c r="Q220" i="21" s="1"/>
  <c r="R220" i="21" s="1"/>
  <c r="S220" i="21" s="1"/>
  <c r="T220" i="21" s="1"/>
  <c r="AS26" i="19"/>
  <c r="AQ79" i="19"/>
  <c r="AT75" i="19"/>
  <c r="AU120" i="19"/>
  <c r="AQ98" i="19"/>
  <c r="AQ83" i="19"/>
  <c r="AQ71" i="19"/>
  <c r="AP94" i="19"/>
  <c r="AQ37" i="19"/>
  <c r="AQ56" i="19"/>
  <c r="AQ64" i="19"/>
  <c r="BM124" i="24"/>
  <c r="AU82" i="22"/>
  <c r="AQ58" i="19"/>
  <c r="AQ66" i="19"/>
  <c r="AQ52" i="19"/>
  <c r="AQ89" i="19"/>
  <c r="AQ117" i="19"/>
  <c r="BN34" i="24"/>
  <c r="AU55" i="22"/>
  <c r="AS110" i="24"/>
  <c r="AQ57" i="19"/>
  <c r="AS48" i="24"/>
  <c r="AQ87" i="19"/>
  <c r="AP56" i="19"/>
  <c r="AS72" i="19"/>
  <c r="AQ93" i="19"/>
  <c r="AQ72" i="19"/>
  <c r="AS99" i="19"/>
  <c r="BM49" i="24"/>
  <c r="AU101" i="22"/>
  <c r="AQ107" i="19"/>
  <c r="AQ112" i="19"/>
  <c r="AS54" i="24"/>
  <c r="AS105" i="24"/>
  <c r="AP104" i="19"/>
  <c r="AQ44" i="19"/>
  <c r="AQ96" i="19"/>
  <c r="AS109" i="19"/>
  <c r="BM105" i="24"/>
  <c r="AU87" i="22"/>
  <c r="AU123" i="22"/>
  <c r="AU108" i="22"/>
  <c r="AT26" i="19"/>
  <c r="AU124" i="19"/>
  <c r="AU48" i="19"/>
  <c r="AS41" i="24"/>
  <c r="AS37" i="24"/>
  <c r="AS62" i="24"/>
  <c r="AT59" i="22"/>
  <c r="BM40" i="24"/>
  <c r="AS110" i="22"/>
  <c r="AS83" i="22"/>
  <c r="AS80" i="22"/>
  <c r="BN82" i="24"/>
  <c r="AT92" i="22"/>
  <c r="AT32" i="22"/>
  <c r="AT62" i="22"/>
  <c r="AT112" i="22"/>
  <c r="AT78" i="22"/>
  <c r="AT70" i="22"/>
  <c r="AT52" i="22"/>
  <c r="AS113" i="22"/>
  <c r="AT77" i="22"/>
  <c r="AU70" i="19"/>
  <c r="AT103" i="22"/>
  <c r="AU118" i="19"/>
  <c r="AS36" i="24"/>
  <c r="AS45" i="24"/>
  <c r="AS28" i="24"/>
  <c r="AS80" i="24"/>
  <c r="BM72" i="24"/>
  <c r="BN68" i="24"/>
  <c r="BN64" i="24"/>
  <c r="AT94" i="22"/>
  <c r="AT79" i="22"/>
  <c r="AT69" i="22"/>
  <c r="AT73" i="22"/>
  <c r="AT44" i="22"/>
  <c r="AT114" i="22"/>
  <c r="AT67" i="22"/>
  <c r="AT107" i="22"/>
  <c r="AT66" i="22"/>
  <c r="AU91" i="19"/>
  <c r="AS109" i="24"/>
  <c r="AS47" i="24"/>
  <c r="AS71" i="22"/>
  <c r="AS116" i="22"/>
  <c r="AS101" i="22"/>
  <c r="BN88" i="24"/>
  <c r="BN36" i="24"/>
  <c r="AT54" i="22"/>
  <c r="AT108" i="22"/>
  <c r="AT104" i="22"/>
  <c r="AT91" i="22"/>
  <c r="AT46" i="22"/>
  <c r="AT87" i="22"/>
  <c r="AT76" i="22"/>
  <c r="AT81" i="22"/>
  <c r="AT83" i="22"/>
  <c r="AT80" i="22"/>
  <c r="AT119" i="22"/>
  <c r="AT31" i="22"/>
  <c r="AT41" i="22"/>
  <c r="AT35" i="22"/>
  <c r="AT63" i="22"/>
  <c r="AT29" i="22"/>
  <c r="AT118" i="22"/>
  <c r="AT113" i="22"/>
  <c r="AT68" i="22"/>
  <c r="AT121" i="22"/>
  <c r="AT36" i="22"/>
  <c r="AU32" i="19"/>
  <c r="AS55" i="24"/>
  <c r="AS70" i="24"/>
  <c r="AU102" i="19"/>
  <c r="AU42" i="19"/>
  <c r="BN41" i="24"/>
  <c r="AT53" i="22"/>
  <c r="AT50" i="22"/>
  <c r="AT30" i="22"/>
  <c r="AT96" i="22"/>
  <c r="AU94" i="19"/>
  <c r="AS120" i="24"/>
  <c r="AS92" i="24"/>
  <c r="AF28" i="6"/>
  <c r="AT64" i="22"/>
  <c r="AS47" i="22"/>
  <c r="AS52" i="22"/>
  <c r="BN107" i="24"/>
  <c r="AT82" i="22"/>
  <c r="AT124" i="22"/>
  <c r="AT106" i="22"/>
  <c r="AT109" i="22"/>
  <c r="AS63" i="24"/>
  <c r="AS97" i="24"/>
  <c r="AS77" i="24"/>
  <c r="AS29" i="24"/>
  <c r="AS52" i="24"/>
  <c r="AS31" i="24"/>
  <c r="AT84" i="22"/>
  <c r="BN117" i="24"/>
  <c r="AS89" i="22"/>
  <c r="AS63" i="22"/>
  <c r="AS115" i="22"/>
  <c r="BN37" i="24"/>
  <c r="BN102" i="24"/>
  <c r="AT98" i="22"/>
  <c r="AT37" i="22"/>
  <c r="AT34" i="22"/>
  <c r="AT39" i="22"/>
  <c r="AT75" i="22"/>
  <c r="AT58" i="22"/>
  <c r="AT89" i="22"/>
  <c r="AT42" i="22"/>
  <c r="AT90" i="22"/>
  <c r="AT60" i="22"/>
  <c r="AT40" i="22"/>
  <c r="AS114" i="24"/>
  <c r="AS124" i="24"/>
  <c r="AS94" i="24"/>
  <c r="BN40" i="24"/>
  <c r="AT33" i="22"/>
  <c r="AT88" i="22"/>
  <c r="AT47" i="22"/>
  <c r="AS51" i="24"/>
  <c r="AS92" i="22"/>
  <c r="BN56" i="24"/>
  <c r="AT61" i="22"/>
  <c r="AT100" i="22"/>
  <c r="AS122" i="24"/>
  <c r="AS98" i="24"/>
  <c r="AS46" i="24"/>
  <c r="D5" i="6"/>
  <c r="AS104" i="22"/>
  <c r="AS64" i="22"/>
  <c r="AS85" i="22"/>
  <c r="AS33" i="22"/>
  <c r="AS55" i="22"/>
  <c r="BN39" i="24"/>
  <c r="AT99" i="22"/>
  <c r="AT48" i="22"/>
  <c r="AT95" i="22"/>
  <c r="AT71" i="22"/>
  <c r="AT93" i="22"/>
  <c r="AT72" i="22"/>
  <c r="AT26" i="22"/>
  <c r="BM58" i="24"/>
  <c r="AT56" i="22"/>
  <c r="AS99" i="24"/>
  <c r="AS43" i="24"/>
  <c r="AS32" i="24"/>
  <c r="AS95" i="24"/>
  <c r="AS30" i="24"/>
  <c r="AT49" i="22"/>
  <c r="BN52" i="24"/>
  <c r="AT57" i="22"/>
  <c r="AT86" i="22"/>
  <c r="AT28" i="22"/>
  <c r="AT102" i="22"/>
  <c r="AT123" i="22"/>
  <c r="AT43" i="22"/>
  <c r="AT38" i="22"/>
  <c r="AT51" i="22"/>
  <c r="AS101" i="24"/>
  <c r="AS58" i="24"/>
  <c r="AS27" i="22"/>
  <c r="BM104" i="24"/>
  <c r="AS120" i="22"/>
  <c r="AS111" i="22"/>
  <c r="BN124" i="24"/>
  <c r="AT27" i="22"/>
  <c r="AT110" i="22"/>
  <c r="AT74" i="22"/>
  <c r="AT117" i="22"/>
  <c r="AT122" i="22"/>
  <c r="AT97" i="22"/>
  <c r="AT111" i="22"/>
  <c r="AT120" i="22"/>
  <c r="AU48" i="22"/>
  <c r="AU63" i="22"/>
  <c r="AU28" i="22"/>
  <c r="AQ33" i="19"/>
  <c r="AU100" i="22"/>
  <c r="AU68" i="22"/>
  <c r="AU71" i="22"/>
  <c r="AP92" i="19"/>
  <c r="AQ70" i="19"/>
  <c r="AQ94" i="19"/>
  <c r="AQ80" i="19"/>
  <c r="AQ99" i="19"/>
  <c r="AQ38" i="19"/>
  <c r="AU90" i="22"/>
  <c r="AU69" i="22"/>
  <c r="AU119" i="22"/>
  <c r="AU83" i="22"/>
  <c r="AP67" i="19"/>
  <c r="AQ61" i="19"/>
  <c r="AQ34" i="19"/>
  <c r="AQ28" i="19"/>
  <c r="AQ27" i="19"/>
  <c r="AQ123" i="19"/>
  <c r="AQ78" i="19"/>
  <c r="AQ44" i="24"/>
  <c r="BM66" i="24"/>
  <c r="AU76" i="22"/>
  <c r="AU35" i="22"/>
  <c r="AU86" i="22"/>
  <c r="AU105" i="22"/>
  <c r="AU124" i="22"/>
  <c r="AU61" i="22"/>
  <c r="AU107" i="22"/>
  <c r="AU66" i="22"/>
  <c r="AU103" i="19"/>
  <c r="AQ102" i="19"/>
  <c r="AQ90" i="19"/>
  <c r="AQ121" i="19"/>
  <c r="AQ103" i="19"/>
  <c r="AQ68" i="19"/>
  <c r="AQ109" i="19"/>
  <c r="AF16" i="6"/>
  <c r="BM36" i="24"/>
  <c r="AU73" i="22"/>
  <c r="AU117" i="22"/>
  <c r="AU31" i="22"/>
  <c r="AU54" i="22"/>
  <c r="AU115" i="22"/>
  <c r="AU50" i="22"/>
  <c r="AU37" i="22"/>
  <c r="BI34" i="25"/>
  <c r="AU70" i="22"/>
  <c r="AQ32" i="19"/>
  <c r="AQ111" i="19"/>
  <c r="AQ73" i="19"/>
  <c r="AQ53" i="19"/>
  <c r="AQ54" i="19"/>
  <c r="AQ118" i="19"/>
  <c r="AQ119" i="19"/>
  <c r="AU26" i="22"/>
  <c r="AU103" i="22"/>
  <c r="AU92" i="22"/>
  <c r="AU65" i="22"/>
  <c r="AU114" i="22"/>
  <c r="AU51" i="22"/>
  <c r="AU109" i="22"/>
  <c r="AU44" i="22"/>
  <c r="AU94" i="22"/>
  <c r="AU91" i="22"/>
  <c r="AU110" i="22"/>
  <c r="AU43" i="22"/>
  <c r="AQ108" i="19"/>
  <c r="AQ62" i="19"/>
  <c r="AQ114" i="19"/>
  <c r="AQ67" i="19"/>
  <c r="AQ92" i="19"/>
  <c r="AQ124" i="19"/>
  <c r="AQ59" i="19"/>
  <c r="AQ26" i="19"/>
  <c r="AQ46" i="19"/>
  <c r="AQ30" i="19"/>
  <c r="AQ81" i="19"/>
  <c r="AQ86" i="19"/>
  <c r="AU30" i="22"/>
  <c r="AU116" i="22"/>
  <c r="AU57" i="22"/>
  <c r="AU121" i="22"/>
  <c r="AU42" i="22"/>
  <c r="AU64" i="22"/>
  <c r="AU36" i="22"/>
  <c r="AU85" i="22"/>
  <c r="AU33" i="22"/>
  <c r="AU122" i="22"/>
  <c r="AU29" i="22"/>
  <c r="AU59" i="22"/>
  <c r="AU38" i="22"/>
  <c r="AU80" i="22"/>
  <c r="AU34" i="22"/>
  <c r="AU112" i="22"/>
  <c r="AU81" i="22"/>
  <c r="AU46" i="22"/>
  <c r="AU89" i="22"/>
  <c r="AU77" i="22"/>
  <c r="AP108" i="19"/>
  <c r="AQ43" i="19"/>
  <c r="AQ48" i="19"/>
  <c r="AQ69" i="19"/>
  <c r="AQ82" i="19"/>
  <c r="AQ36" i="19"/>
  <c r="AQ120" i="19"/>
  <c r="AU106" i="22"/>
  <c r="AU113" i="22"/>
  <c r="AU111" i="22"/>
  <c r="AU102" i="22"/>
  <c r="AU53" i="22"/>
  <c r="AU32" i="22"/>
  <c r="AU58" i="22"/>
  <c r="AU92" i="19"/>
  <c r="AU64" i="19"/>
  <c r="AU107" i="19"/>
  <c r="AQ110" i="19"/>
  <c r="AP117" i="19"/>
  <c r="AQ84" i="19"/>
  <c r="AQ39" i="19"/>
  <c r="AQ95" i="19"/>
  <c r="AQ77" i="19"/>
  <c r="AQ88" i="19"/>
  <c r="AQ91" i="19"/>
  <c r="AU74" i="22"/>
  <c r="AU67" i="22"/>
  <c r="AU72" i="22"/>
  <c r="AU40" i="22"/>
  <c r="AU96" i="22"/>
  <c r="AU47" i="22"/>
  <c r="AU84" i="22"/>
  <c r="AP59" i="19"/>
  <c r="AF10" i="6"/>
  <c r="AS27" i="24"/>
  <c r="AS116" i="24"/>
  <c r="AS34" i="24"/>
  <c r="AS61" i="24"/>
  <c r="AS44" i="24"/>
  <c r="AS42" i="24"/>
  <c r="AS107" i="24"/>
  <c r="AS82" i="24"/>
  <c r="AS121" i="24"/>
  <c r="AS78" i="24"/>
  <c r="AS123" i="24"/>
  <c r="AS88" i="24"/>
  <c r="AS71" i="24"/>
  <c r="AS73" i="24"/>
  <c r="AS104" i="24"/>
  <c r="AS117" i="24"/>
  <c r="AS69" i="24"/>
  <c r="AS74" i="24"/>
  <c r="AS93" i="24"/>
  <c r="AS89" i="24"/>
  <c r="AS38" i="24"/>
  <c r="AS35" i="24"/>
  <c r="AS68" i="24"/>
  <c r="AS81" i="24"/>
  <c r="AS119" i="24"/>
  <c r="AS53" i="24"/>
  <c r="AS100" i="24"/>
  <c r="AS113" i="24"/>
  <c r="AS103" i="24"/>
  <c r="AS102" i="24"/>
  <c r="AS83" i="24"/>
  <c r="AS39" i="24"/>
  <c r="AS115" i="24"/>
  <c r="AS67" i="24"/>
  <c r="AS60" i="24"/>
  <c r="AS91" i="24"/>
  <c r="AS40" i="24"/>
  <c r="AS26" i="24"/>
  <c r="AS111" i="24"/>
  <c r="AS66" i="24"/>
  <c r="AS79" i="24"/>
  <c r="AS49" i="24"/>
  <c r="AS118" i="24"/>
  <c r="AS85" i="24"/>
  <c r="AS90" i="24"/>
  <c r="AS72" i="24"/>
  <c r="BN98" i="24"/>
  <c r="BN106" i="24"/>
  <c r="BN122" i="24"/>
  <c r="BN43" i="24"/>
  <c r="BN110" i="24"/>
  <c r="BN61" i="24"/>
  <c r="BN62" i="24"/>
  <c r="BN31" i="24"/>
  <c r="BN38" i="24"/>
  <c r="BN81" i="24"/>
  <c r="BN91" i="24"/>
  <c r="BN46" i="24"/>
  <c r="BN75" i="24"/>
  <c r="BN108" i="24"/>
  <c r="BN76" i="24"/>
  <c r="BN97" i="24"/>
  <c r="BN48" i="24"/>
  <c r="BN95" i="24"/>
  <c r="BN49" i="24"/>
  <c r="BN66" i="24"/>
  <c r="BN27" i="24"/>
  <c r="BN50" i="24"/>
  <c r="BN59" i="24"/>
  <c r="BN112" i="24"/>
  <c r="BN45" i="24"/>
  <c r="BN79" i="24"/>
  <c r="BN104" i="24"/>
  <c r="BN96" i="24"/>
  <c r="BN87" i="24"/>
  <c r="BN119" i="24"/>
  <c r="BN80" i="24"/>
  <c r="BN89" i="24"/>
  <c r="BN53" i="24"/>
  <c r="BN116" i="24"/>
  <c r="BN94" i="24"/>
  <c r="BN35" i="24"/>
  <c r="BN90" i="24"/>
  <c r="BN28" i="24"/>
  <c r="BN83" i="24"/>
  <c r="BN125" i="24"/>
  <c r="BN105" i="24"/>
  <c r="BN78" i="24"/>
  <c r="BN121" i="24"/>
  <c r="BN29" i="24"/>
  <c r="BN99" i="24"/>
  <c r="BN47" i="24"/>
  <c r="BN74" i="24"/>
  <c r="BN22" i="24"/>
  <c r="BN71" i="24"/>
  <c r="BN115" i="24"/>
  <c r="BN33" i="24"/>
  <c r="BN32" i="24"/>
  <c r="BN93" i="24"/>
  <c r="BN120" i="24"/>
  <c r="BN63" i="24"/>
  <c r="BN60" i="24"/>
  <c r="BN109" i="24"/>
  <c r="BN51" i="24"/>
  <c r="BN86" i="24"/>
  <c r="BN58" i="24"/>
  <c r="BN70" i="24"/>
  <c r="BN65" i="24"/>
  <c r="BM87" i="24"/>
  <c r="BM96" i="24"/>
  <c r="BM52" i="24"/>
  <c r="BM110" i="24"/>
  <c r="BM60" i="24"/>
  <c r="BM74" i="24"/>
  <c r="BM101" i="24"/>
  <c r="BM31" i="24"/>
  <c r="BM51" i="24"/>
  <c r="BM29" i="24"/>
  <c r="BM121" i="24"/>
  <c r="BM73" i="24"/>
  <c r="BM81" i="24"/>
  <c r="BM91" i="24"/>
  <c r="BM64" i="24"/>
  <c r="BM90" i="24"/>
  <c r="BM47" i="24"/>
  <c r="BM108" i="24"/>
  <c r="BM41" i="24"/>
  <c r="BM65" i="24"/>
  <c r="BM79" i="24"/>
  <c r="BM62" i="24"/>
  <c r="BM83" i="24"/>
  <c r="BM107" i="24"/>
  <c r="BM46" i="24"/>
  <c r="BM113" i="24"/>
  <c r="BM76" i="24"/>
  <c r="BM43" i="24"/>
  <c r="BM118" i="24"/>
  <c r="BM80" i="24"/>
  <c r="AQ29" i="24"/>
  <c r="AU53" i="19"/>
  <c r="AU54" i="19"/>
  <c r="AP33" i="19"/>
  <c r="AS76" i="24"/>
  <c r="AU121" i="19"/>
  <c r="BN67" i="24"/>
  <c r="BM84" i="24"/>
  <c r="BM99" i="24"/>
  <c r="BN55" i="24"/>
  <c r="BN111" i="24"/>
  <c r="BN84" i="24"/>
  <c r="AP111" i="19"/>
  <c r="AP99" i="19"/>
  <c r="BM22" i="24"/>
  <c r="AU40" i="19"/>
  <c r="AU86" i="19"/>
  <c r="AS108" i="24"/>
  <c r="AP107" i="19"/>
  <c r="AS87" i="24"/>
  <c r="AU68" i="19"/>
  <c r="BM28" i="24"/>
  <c r="BN77" i="24"/>
  <c r="BN103" i="24"/>
  <c r="BM34" i="24"/>
  <c r="BN118" i="24"/>
  <c r="AU108" i="19"/>
  <c r="AU106" i="19"/>
  <c r="AS57" i="24"/>
  <c r="AU82" i="19"/>
  <c r="AF30" i="6"/>
  <c r="BM30" i="24"/>
  <c r="BN85" i="24"/>
  <c r="BN30" i="24"/>
  <c r="BM68" i="24"/>
  <c r="BN69" i="24"/>
  <c r="AQ32" i="24"/>
  <c r="AQ70" i="24"/>
  <c r="AQ124" i="24"/>
  <c r="AQ58" i="24"/>
  <c r="AQ77" i="24"/>
  <c r="AP90" i="19"/>
  <c r="AP89" i="19"/>
  <c r="AP58" i="19"/>
  <c r="AP39" i="19"/>
  <c r="AP64" i="19"/>
  <c r="AP60" i="19"/>
  <c r="AP48" i="19"/>
  <c r="AP57" i="19"/>
  <c r="AP29" i="19"/>
  <c r="AP102" i="19"/>
  <c r="AP54" i="19"/>
  <c r="AP51" i="19"/>
  <c r="AP47" i="19"/>
  <c r="AP81" i="19"/>
  <c r="AP91" i="19"/>
  <c r="AP31" i="19"/>
  <c r="AP78" i="19"/>
  <c r="AP84" i="19"/>
  <c r="AP110" i="19"/>
  <c r="AP96" i="19"/>
  <c r="AP62" i="19"/>
  <c r="AP93" i="19"/>
  <c r="AU57" i="19"/>
  <c r="AU87" i="19"/>
  <c r="AS59" i="24"/>
  <c r="G94" i="17"/>
  <c r="BN73" i="24"/>
  <c r="BM93" i="24"/>
  <c r="BN42" i="24"/>
  <c r="BN101" i="24"/>
  <c r="BN100" i="24"/>
  <c r="AU39" i="19"/>
  <c r="AU35" i="19"/>
  <c r="AU56" i="19"/>
  <c r="AU60" i="19"/>
  <c r="AU113" i="19"/>
  <c r="AU122" i="19"/>
  <c r="AU109" i="19"/>
  <c r="AU34" i="19"/>
  <c r="AU61" i="19"/>
  <c r="AU69" i="19"/>
  <c r="AU66" i="19"/>
  <c r="AU79" i="19"/>
  <c r="AU112" i="19"/>
  <c r="AU95" i="19"/>
  <c r="AU50" i="19"/>
  <c r="AU88" i="19"/>
  <c r="AU49" i="19"/>
  <c r="AU63" i="19"/>
  <c r="AU26" i="19"/>
  <c r="AU104" i="19"/>
  <c r="AU41" i="19"/>
  <c r="AU96" i="19"/>
  <c r="AU93" i="19"/>
  <c r="AU114" i="19"/>
  <c r="AU28" i="19"/>
  <c r="AU36" i="19"/>
  <c r="AU44" i="19"/>
  <c r="AU47" i="19"/>
  <c r="AU101" i="19"/>
  <c r="AU31" i="19"/>
  <c r="AU29" i="19"/>
  <c r="AU98" i="19"/>
  <c r="AU110" i="19"/>
  <c r="AU115" i="19"/>
  <c r="BI51" i="25"/>
  <c r="AF24" i="6"/>
  <c r="O19" i="21" s="1"/>
  <c r="AF18" i="6"/>
  <c r="AF12" i="6"/>
  <c r="AF15" i="6"/>
  <c r="AF8" i="6"/>
  <c r="AF13" i="6"/>
  <c r="AU105" i="19"/>
  <c r="AU100" i="19"/>
  <c r="AU74" i="19"/>
  <c r="AP123" i="19"/>
  <c r="AU99" i="19"/>
  <c r="AP72" i="19"/>
  <c r="AS56" i="24"/>
  <c r="AU38" i="19"/>
  <c r="BM39" i="24"/>
  <c r="BM88" i="24"/>
  <c r="BN113" i="24"/>
  <c r="BN44" i="24"/>
  <c r="BN114" i="24"/>
  <c r="BN54" i="24"/>
  <c r="I43" i="21"/>
  <c r="AU124" i="24"/>
  <c r="AU113" i="24"/>
  <c r="BL33" i="24"/>
  <c r="AS115" i="19"/>
  <c r="BL67" i="24"/>
  <c r="AP73" i="22"/>
  <c r="AU54" i="24"/>
  <c r="AS103" i="19"/>
  <c r="AP121" i="24"/>
  <c r="AP26" i="24"/>
  <c r="BL57" i="24"/>
  <c r="AP104" i="22"/>
  <c r="AS105" i="19"/>
  <c r="BL103" i="24"/>
  <c r="BL80" i="24"/>
  <c r="AU74" i="24"/>
  <c r="AS76" i="19"/>
  <c r="AS117" i="19"/>
  <c r="AS63" i="19"/>
  <c r="AP99" i="22"/>
  <c r="AP122" i="24"/>
  <c r="BL49" i="24"/>
  <c r="BL97" i="24"/>
  <c r="BL113" i="24"/>
  <c r="BL93" i="24"/>
  <c r="AP64" i="22"/>
  <c r="AP123" i="22"/>
  <c r="AP90" i="22"/>
  <c r="AE48" i="17"/>
  <c r="AF48" i="17" s="1"/>
  <c r="AE38" i="17"/>
  <c r="AF38" i="17" s="1"/>
  <c r="AE50" i="17"/>
  <c r="AF50" i="17" s="1"/>
  <c r="AE31" i="17"/>
  <c r="AF31" i="17" s="1"/>
  <c r="AU32" i="24"/>
  <c r="AU70" i="24"/>
  <c r="AU51" i="24"/>
  <c r="AU91" i="24"/>
  <c r="AU27" i="24"/>
  <c r="AU98" i="24"/>
  <c r="AU71" i="24"/>
  <c r="AU41" i="24"/>
  <c r="AU99" i="24"/>
  <c r="AU121" i="24"/>
  <c r="AU100" i="24"/>
  <c r="AU62" i="24"/>
  <c r="AU108" i="24"/>
  <c r="AU118" i="24"/>
  <c r="BL104" i="24"/>
  <c r="AP122" i="22"/>
  <c r="BI72" i="24"/>
  <c r="BI44" i="24"/>
  <c r="BI79" i="24"/>
  <c r="BI110" i="24"/>
  <c r="BI116" i="24"/>
  <c r="AS91" i="19"/>
  <c r="BL107" i="24"/>
  <c r="BL60" i="24"/>
  <c r="AQ93" i="24"/>
  <c r="AQ80" i="24"/>
  <c r="AQ31" i="24"/>
  <c r="AQ28" i="24"/>
  <c r="AQ64" i="24"/>
  <c r="AQ110" i="24"/>
  <c r="AQ46" i="24"/>
  <c r="AQ122" i="24"/>
  <c r="AQ38" i="24"/>
  <c r="AQ95" i="24"/>
  <c r="AQ66" i="24"/>
  <c r="AQ118" i="24"/>
  <c r="AQ123" i="24"/>
  <c r="AQ96" i="24"/>
  <c r="AQ81" i="24"/>
  <c r="AQ89" i="24"/>
  <c r="AQ88" i="24"/>
  <c r="AQ108" i="24"/>
  <c r="AQ112" i="24"/>
  <c r="AQ57" i="24"/>
  <c r="AQ107" i="24"/>
  <c r="AQ111" i="24"/>
  <c r="AQ98" i="24"/>
  <c r="AQ103" i="24"/>
  <c r="AQ99" i="24"/>
  <c r="AQ84" i="24"/>
  <c r="AU30" i="24"/>
  <c r="AU80" i="24"/>
  <c r="BL43" i="24"/>
  <c r="BL116" i="24"/>
  <c r="BL124" i="24"/>
  <c r="BL64" i="24"/>
  <c r="AP111" i="22"/>
  <c r="AP82" i="22"/>
  <c r="AP72" i="22"/>
  <c r="BL121" i="24"/>
  <c r="AU123" i="24"/>
  <c r="AU89" i="24"/>
  <c r="AU86" i="24"/>
  <c r="AE41" i="17"/>
  <c r="AF41" i="17" s="1"/>
  <c r="AQ76" i="24"/>
  <c r="AQ40" i="24"/>
  <c r="BL54" i="24"/>
  <c r="AP72" i="24"/>
  <c r="BL70" i="24"/>
  <c r="BL41" i="24"/>
  <c r="BL45" i="24"/>
  <c r="BL52" i="24"/>
  <c r="BL120" i="24"/>
  <c r="BL110" i="24"/>
  <c r="AP119" i="22"/>
  <c r="AP56" i="22"/>
  <c r="AP63" i="22"/>
  <c r="BL94" i="24"/>
  <c r="AE49" i="17"/>
  <c r="AF49" i="17" s="1"/>
  <c r="AE47" i="17"/>
  <c r="AF47" i="17" s="1"/>
  <c r="AP69" i="22"/>
  <c r="AS116" i="19"/>
  <c r="AS55" i="19"/>
  <c r="AS82" i="19"/>
  <c r="AS74" i="19"/>
  <c r="AS84" i="19"/>
  <c r="AS83" i="19"/>
  <c r="AS60" i="19"/>
  <c r="AS97" i="19"/>
  <c r="AS112" i="19"/>
  <c r="AS35" i="19"/>
  <c r="AS39" i="19"/>
  <c r="AS101" i="19"/>
  <c r="AS42" i="19"/>
  <c r="AS123" i="19"/>
  <c r="AS46" i="19"/>
  <c r="AS113" i="19"/>
  <c r="AS47" i="19"/>
  <c r="AS100" i="19"/>
  <c r="AS34" i="19"/>
  <c r="AS70" i="19"/>
  <c r="AS92" i="19"/>
  <c r="AS43" i="19"/>
  <c r="AS68" i="19"/>
  <c r="AS96" i="19"/>
  <c r="AS111" i="19"/>
  <c r="AS50" i="19"/>
  <c r="AS62" i="19"/>
  <c r="AS66" i="19"/>
  <c r="AS64" i="19"/>
  <c r="AS52" i="19"/>
  <c r="AP75" i="22"/>
  <c r="BJ31" i="24"/>
  <c r="BJ118" i="24"/>
  <c r="BJ28" i="24"/>
  <c r="AP58" i="24"/>
  <c r="BL118" i="24"/>
  <c r="BL122" i="24"/>
  <c r="AP95" i="22"/>
  <c r="AP104" i="24"/>
  <c r="BL29" i="24"/>
  <c r="AQ117" i="24"/>
  <c r="AP52" i="22"/>
  <c r="AP49" i="22"/>
  <c r="BL35" i="24"/>
  <c r="BL62" i="24"/>
  <c r="AP84" i="22"/>
  <c r="AP74" i="22"/>
  <c r="BL63" i="24"/>
  <c r="G94" i="16"/>
  <c r="G95" i="16" s="1"/>
  <c r="AG33" i="19"/>
  <c r="BL90" i="24"/>
  <c r="BL72" i="24"/>
  <c r="BL115" i="24"/>
  <c r="BL40" i="24"/>
  <c r="BL100" i="24"/>
  <c r="BL44" i="24"/>
  <c r="BL98" i="24"/>
  <c r="BL119" i="24"/>
  <c r="BL114" i="24"/>
  <c r="BL34" i="24"/>
  <c r="BL48" i="24"/>
  <c r="BL85" i="24"/>
  <c r="BL73" i="24"/>
  <c r="BL96" i="24"/>
  <c r="BL82" i="24"/>
  <c r="BL99" i="24"/>
  <c r="BL37" i="24"/>
  <c r="BL74" i="24"/>
  <c r="BL111" i="24"/>
  <c r="BL108" i="24"/>
  <c r="BL59" i="24"/>
  <c r="BL56" i="24"/>
  <c r="BL76" i="24"/>
  <c r="BL102" i="24"/>
  <c r="BL92" i="24"/>
  <c r="BL88" i="24"/>
  <c r="BL46" i="24"/>
  <c r="BL30" i="24"/>
  <c r="BL78" i="24"/>
  <c r="BL42" i="24"/>
  <c r="BL105" i="24"/>
  <c r="BL117" i="24"/>
  <c r="BL27" i="24"/>
  <c r="BL83" i="24"/>
  <c r="BL87" i="24"/>
  <c r="BL84" i="24"/>
  <c r="BL39" i="24"/>
  <c r="BL112" i="24"/>
  <c r="BL77" i="24"/>
  <c r="BL36" i="24"/>
  <c r="BL68" i="24"/>
  <c r="BL28" i="24"/>
  <c r="BL89" i="24"/>
  <c r="AP44" i="22"/>
  <c r="AP89" i="22"/>
  <c r="AP71" i="22"/>
  <c r="AP41" i="22"/>
  <c r="AP66" i="22"/>
  <c r="AP94" i="22"/>
  <c r="AP86" i="22"/>
  <c r="AP113" i="22"/>
  <c r="AP58" i="22"/>
  <c r="AP33" i="22"/>
  <c r="AP26" i="22"/>
  <c r="AP46" i="22"/>
  <c r="AP35" i="22"/>
  <c r="AP62" i="22"/>
  <c r="AP54" i="22"/>
  <c r="AP100" i="22"/>
  <c r="AP76" i="22"/>
  <c r="AP60" i="22"/>
  <c r="AP28" i="22"/>
  <c r="AP118" i="22"/>
  <c r="AP120" i="22"/>
  <c r="AP103" i="22"/>
  <c r="AP36" i="22"/>
  <c r="AP88" i="22"/>
  <c r="AP107" i="22"/>
  <c r="AP32" i="22"/>
  <c r="AP102" i="22"/>
  <c r="AP37" i="22"/>
  <c r="AP47" i="22"/>
  <c r="AP48" i="22"/>
  <c r="AP57" i="22"/>
  <c r="AP93" i="22"/>
  <c r="AP51" i="22"/>
  <c r="AP117" i="22"/>
  <c r="AP112" i="22"/>
  <c r="AP108" i="22"/>
  <c r="AP124" i="22"/>
  <c r="AP59" i="22"/>
  <c r="AP50" i="22"/>
  <c r="BL55" i="24"/>
  <c r="AP34" i="22"/>
  <c r="AP39" i="22"/>
  <c r="AT58" i="19"/>
  <c r="AT35" i="19"/>
  <c r="AT43" i="19"/>
  <c r="AU78" i="24"/>
  <c r="AU69" i="24"/>
  <c r="AP77" i="22"/>
  <c r="BL69" i="24"/>
  <c r="AP109" i="22"/>
  <c r="AS30" i="19"/>
  <c r="AS28" i="19"/>
  <c r="BL50" i="24"/>
  <c r="AU72" i="24"/>
  <c r="BL95" i="24"/>
  <c r="BL47" i="24"/>
  <c r="AP38" i="22"/>
  <c r="AP30" i="22"/>
  <c r="BI40" i="24"/>
  <c r="AS78" i="19"/>
  <c r="BL61" i="24"/>
  <c r="L92" i="16"/>
  <c r="L95" i="16" s="1"/>
  <c r="BL123" i="24"/>
  <c r="AP42" i="22"/>
  <c r="BI120" i="24"/>
  <c r="AS36" i="19"/>
  <c r="AP92" i="22"/>
  <c r="M152" i="19"/>
  <c r="AS40" i="19"/>
  <c r="AE33" i="17"/>
  <c r="AF33" i="17" s="1"/>
  <c r="G132" i="5"/>
  <c r="AU103" i="24"/>
  <c r="AU76" i="24"/>
  <c r="AP81" i="22"/>
  <c r="BL101" i="24"/>
  <c r="BL51" i="24"/>
  <c r="BL91" i="24"/>
  <c r="AP87" i="22"/>
  <c r="AP78" i="22"/>
  <c r="AP91" i="22"/>
  <c r="AU65" i="24"/>
  <c r="AS80" i="19"/>
  <c r="AS58" i="19"/>
  <c r="AE43" i="17"/>
  <c r="AF43" i="17" s="1"/>
  <c r="AS95" i="19"/>
  <c r="AS87" i="19"/>
  <c r="AE51" i="17"/>
  <c r="AF51" i="17" s="1"/>
  <c r="AQ39" i="24"/>
  <c r="AQ91" i="24"/>
  <c r="AQ61" i="24"/>
  <c r="AQ72" i="24"/>
  <c r="BL86" i="24"/>
  <c r="AU35" i="24"/>
  <c r="AU60" i="24"/>
  <c r="AP114" i="22"/>
  <c r="BL79" i="24"/>
  <c r="BL81" i="24"/>
  <c r="BL58" i="24"/>
  <c r="AP110" i="22"/>
  <c r="AP29" i="22"/>
  <c r="AP80" i="22"/>
  <c r="AP69" i="19"/>
  <c r="AP27" i="19"/>
  <c r="AP113" i="19"/>
  <c r="AP95" i="19"/>
  <c r="AP77" i="19"/>
  <c r="AP38" i="19"/>
  <c r="AP103" i="19"/>
  <c r="AP75" i="19"/>
  <c r="AP49" i="19"/>
  <c r="AP50" i="19"/>
  <c r="AP76" i="19"/>
  <c r="AP36" i="19"/>
  <c r="AF22" i="6"/>
  <c r="O18" i="21" s="1"/>
  <c r="E5" i="6"/>
  <c r="F12" i="21" s="1"/>
  <c r="AF25" i="6"/>
  <c r="G5" i="6"/>
  <c r="P18" i="21" s="1"/>
  <c r="P19" i="21" s="1"/>
  <c r="P20" i="21" s="1"/>
  <c r="P21" i="21" s="1"/>
  <c r="P22" i="21" s="1"/>
  <c r="AF9" i="6"/>
  <c r="AF27" i="6"/>
  <c r="AF14" i="6"/>
  <c r="AF29" i="6"/>
  <c r="AF20" i="6"/>
  <c r="F5" i="6"/>
  <c r="AF23" i="6"/>
  <c r="O20" i="21" s="1"/>
  <c r="AU52" i="19"/>
  <c r="AU80" i="19"/>
  <c r="AU37" i="19"/>
  <c r="AU55" i="19"/>
  <c r="AU84" i="19"/>
  <c r="AU117" i="19"/>
  <c r="AP66" i="19"/>
  <c r="AP118" i="19"/>
  <c r="AP53" i="19"/>
  <c r="AP41" i="19"/>
  <c r="AP100" i="19"/>
  <c r="AP35" i="19"/>
  <c r="AF11" i="6"/>
  <c r="BM102" i="24"/>
  <c r="BM32" i="24"/>
  <c r="BM114" i="24"/>
  <c r="BM35" i="24"/>
  <c r="BM111" i="24"/>
  <c r="BM57" i="24"/>
  <c r="BM75" i="24"/>
  <c r="AU59" i="19"/>
  <c r="AU51" i="19"/>
  <c r="AU123" i="19"/>
  <c r="AU73" i="19"/>
  <c r="AP68" i="19"/>
  <c r="AP122" i="19"/>
  <c r="AP46" i="19"/>
  <c r="AP26" i="19"/>
  <c r="AP37" i="19"/>
  <c r="AF31" i="6"/>
  <c r="AF19" i="6"/>
  <c r="BM26" i="24"/>
  <c r="BM97" i="24"/>
  <c r="BM53" i="24"/>
  <c r="BM112" i="24"/>
  <c r="BM77" i="24"/>
  <c r="BM120" i="24"/>
  <c r="BM125" i="24"/>
  <c r="BM119" i="24"/>
  <c r="BI72" i="25"/>
  <c r="AU65" i="19"/>
  <c r="AU111" i="19"/>
  <c r="AU67" i="19"/>
  <c r="AU83" i="19"/>
  <c r="AU81" i="19"/>
  <c r="AU97" i="19"/>
  <c r="AU77" i="19"/>
  <c r="AU71" i="19"/>
  <c r="AU43" i="19"/>
  <c r="AU30" i="19"/>
  <c r="AU46" i="19"/>
  <c r="AU72" i="19"/>
  <c r="AU78" i="19"/>
  <c r="AU90" i="19"/>
  <c r="AP42" i="19"/>
  <c r="AP83" i="19"/>
  <c r="AP73" i="19"/>
  <c r="AP74" i="19"/>
  <c r="AP114" i="19"/>
  <c r="AP112" i="19"/>
  <c r="AU33" i="19"/>
  <c r="AG33" i="22"/>
  <c r="AF17" i="6"/>
  <c r="BM27" i="24"/>
  <c r="BM103" i="24"/>
  <c r="BM55" i="24"/>
  <c r="BM92" i="24"/>
  <c r="BM56" i="24"/>
  <c r="AP28" i="19"/>
  <c r="BM100" i="24"/>
  <c r="BM122" i="24"/>
  <c r="BM115" i="24"/>
  <c r="BM109" i="24"/>
  <c r="BM78" i="24"/>
  <c r="BM45" i="24"/>
  <c r="BM50" i="24"/>
  <c r="BM69" i="24"/>
  <c r="BM37" i="24"/>
  <c r="BM82" i="24"/>
  <c r="BM117" i="24"/>
  <c r="BM42" i="24"/>
  <c r="BM123" i="24"/>
  <c r="BM54" i="24"/>
  <c r="BM85" i="24"/>
  <c r="BM71" i="24"/>
  <c r="BM86" i="24"/>
  <c r="BM98" i="24"/>
  <c r="BM44" i="24"/>
  <c r="BM95" i="24"/>
  <c r="BM48" i="24"/>
  <c r="BM89" i="24"/>
  <c r="BM61" i="24"/>
  <c r="BM94" i="24"/>
  <c r="AU27" i="19"/>
  <c r="AU116" i="19"/>
  <c r="AU45" i="19"/>
  <c r="AU89" i="19"/>
  <c r="AU62" i="19"/>
  <c r="AP71" i="19"/>
  <c r="AP32" i="19"/>
  <c r="AP109" i="19"/>
  <c r="AP121" i="19"/>
  <c r="AP86" i="19"/>
  <c r="AU85" i="19"/>
  <c r="AU76" i="19"/>
  <c r="AF7" i="6"/>
  <c r="BM116" i="24"/>
  <c r="BM33" i="24"/>
  <c r="BM63" i="24"/>
  <c r="BM70" i="24"/>
  <c r="AF21" i="6"/>
  <c r="C8" i="24"/>
  <c r="C9" i="24" s="1"/>
  <c r="BN108" i="25"/>
  <c r="AS67" i="22"/>
  <c r="AS68" i="22"/>
  <c r="AS95" i="22"/>
  <c r="AS32" i="22"/>
  <c r="AS58" i="22"/>
  <c r="AS60" i="22"/>
  <c r="AS102" i="22"/>
  <c r="AS79" i="22"/>
  <c r="AS46" i="22"/>
  <c r="AS38" i="22"/>
  <c r="AS56" i="22"/>
  <c r="AS72" i="22"/>
  <c r="AS82" i="22"/>
  <c r="AS118" i="22"/>
  <c r="AS59" i="22"/>
  <c r="AS88" i="22"/>
  <c r="AS51" i="22"/>
  <c r="AS69" i="22"/>
  <c r="AS87" i="22"/>
  <c r="AS124" i="22"/>
  <c r="AS122" i="22"/>
  <c r="AS112" i="22"/>
  <c r="AS97" i="22"/>
  <c r="AS109" i="22"/>
  <c r="AS70" i="22"/>
  <c r="AS48" i="22"/>
  <c r="AS66" i="22"/>
  <c r="AS119" i="22"/>
  <c r="AS103" i="22"/>
  <c r="AS36" i="22"/>
  <c r="AS94" i="22"/>
  <c r="AS121" i="22"/>
  <c r="AS29" i="22"/>
  <c r="AS77" i="22"/>
  <c r="AS41" i="22"/>
  <c r="AS42" i="22"/>
  <c r="AS57" i="22"/>
  <c r="AE35" i="17"/>
  <c r="AF35" i="17" s="1"/>
  <c r="AF7" i="17"/>
  <c r="AE46" i="17"/>
  <c r="AF46" i="17" s="1"/>
  <c r="AE42" i="17"/>
  <c r="AF42" i="17" s="1"/>
  <c r="AE34" i="17"/>
  <c r="AF34" i="17" s="1"/>
  <c r="AE39" i="17"/>
  <c r="AF39" i="17" s="1"/>
  <c r="AE32" i="17"/>
  <c r="AF32" i="17" s="1"/>
  <c r="AD71" i="17"/>
  <c r="AD26" i="17"/>
  <c r="AS67" i="19"/>
  <c r="AS124" i="19"/>
  <c r="AE36" i="17"/>
  <c r="AF36" i="17" s="1"/>
  <c r="AQ49" i="24"/>
  <c r="E234" i="21"/>
  <c r="F234" i="21" s="1"/>
  <c r="G234" i="21" s="1"/>
  <c r="AQ34" i="24"/>
  <c r="AQ102" i="24"/>
  <c r="AS78" i="22"/>
  <c r="AS76" i="22"/>
  <c r="AS28" i="22"/>
  <c r="AS84" i="22"/>
  <c r="BJ86" i="24"/>
  <c r="AT122" i="19"/>
  <c r="AT73" i="19"/>
  <c r="AT99" i="19"/>
  <c r="AT71" i="19"/>
  <c r="AT31" i="19"/>
  <c r="AT90" i="19"/>
  <c r="AT76" i="19"/>
  <c r="AT88" i="19"/>
  <c r="AT37" i="19"/>
  <c r="BI35" i="24"/>
  <c r="BI102" i="24"/>
  <c r="BI43" i="24"/>
  <c r="BI96" i="24"/>
  <c r="AS27" i="19"/>
  <c r="AS44" i="19"/>
  <c r="AS51" i="19"/>
  <c r="AS107" i="19"/>
  <c r="AS48" i="19"/>
  <c r="AS108" i="19"/>
  <c r="AS38" i="19"/>
  <c r="AS88" i="19"/>
  <c r="AS120" i="19"/>
  <c r="AS94" i="19"/>
  <c r="AS54" i="19"/>
  <c r="AS86" i="19"/>
  <c r="AS31" i="19"/>
  <c r="AS90" i="19"/>
  <c r="AS119" i="19"/>
  <c r="AS121" i="19"/>
  <c r="AS104" i="19"/>
  <c r="AS71" i="19"/>
  <c r="AS79" i="19"/>
  <c r="BJ29" i="24"/>
  <c r="BJ103" i="24"/>
  <c r="BJ71" i="24"/>
  <c r="BJ44" i="24"/>
  <c r="BJ111" i="24"/>
  <c r="BJ57" i="24"/>
  <c r="BJ35" i="24"/>
  <c r="BJ26" i="24"/>
  <c r="AP119" i="24"/>
  <c r="AP114" i="24"/>
  <c r="AP47" i="24"/>
  <c r="AP57" i="24"/>
  <c r="AP28" i="24"/>
  <c r="AP35" i="24"/>
  <c r="BJ109" i="24"/>
  <c r="AQ109" i="24"/>
  <c r="AQ60" i="24"/>
  <c r="AQ67" i="24"/>
  <c r="AQ92" i="24"/>
  <c r="AQ97" i="24"/>
  <c r="AQ33" i="24"/>
  <c r="AQ119" i="24"/>
  <c r="AQ35" i="24"/>
  <c r="AQ71" i="24"/>
  <c r="AQ37" i="24"/>
  <c r="AQ36" i="24"/>
  <c r="AQ82" i="24"/>
  <c r="AQ94" i="24"/>
  <c r="AQ54" i="24"/>
  <c r="AQ48" i="24"/>
  <c r="AQ41" i="24"/>
  <c r="AQ73" i="24"/>
  <c r="AQ51" i="24"/>
  <c r="AQ83" i="24"/>
  <c r="AQ121" i="24"/>
  <c r="AQ27" i="24"/>
  <c r="AQ43" i="24"/>
  <c r="AQ113" i="24"/>
  <c r="AQ47" i="24"/>
  <c r="I95" i="16"/>
  <c r="AT77" i="24"/>
  <c r="AQ59" i="24"/>
  <c r="AQ30" i="24"/>
  <c r="AQ79" i="24"/>
  <c r="AQ86" i="24"/>
  <c r="AQ114" i="24"/>
  <c r="AS100" i="22"/>
  <c r="AS61" i="22"/>
  <c r="AP75" i="24"/>
  <c r="AS31" i="22"/>
  <c r="AS53" i="22"/>
  <c r="AS44" i="22"/>
  <c r="AP89" i="24"/>
  <c r="BI99" i="24"/>
  <c r="AS91" i="22"/>
  <c r="AS93" i="22"/>
  <c r="BJ92" i="24"/>
  <c r="AS86" i="22"/>
  <c r="AS35" i="22"/>
  <c r="U8" i="19"/>
  <c r="U9" i="19" s="1"/>
  <c r="BM106" i="24"/>
  <c r="R4" i="21"/>
  <c r="AP94" i="24"/>
  <c r="AP68" i="24"/>
  <c r="AP118" i="24"/>
  <c r="AP60" i="24"/>
  <c r="AP44" i="24"/>
  <c r="AP36" i="24"/>
  <c r="AP50" i="24"/>
  <c r="AP112" i="24"/>
  <c r="AP90" i="24"/>
  <c r="AP62" i="24"/>
  <c r="AP41" i="24"/>
  <c r="AP117" i="24"/>
  <c r="AP103" i="24"/>
  <c r="AP76" i="24"/>
  <c r="AP73" i="24"/>
  <c r="AP32" i="24"/>
  <c r="AP124" i="24"/>
  <c r="AP88" i="24"/>
  <c r="AP100" i="24"/>
  <c r="BN35" i="25"/>
  <c r="BM59" i="24"/>
  <c r="BM38" i="24"/>
  <c r="U8" i="24"/>
  <c r="U9" i="24" s="1"/>
  <c r="AP39" i="24"/>
  <c r="BI113" i="24"/>
  <c r="AT102" i="19"/>
  <c r="BI31" i="24"/>
  <c r="BI82" i="24"/>
  <c r="BI91" i="24"/>
  <c r="BI55" i="24"/>
  <c r="BI115" i="24"/>
  <c r="BJ37" i="24"/>
  <c r="BJ61" i="24"/>
  <c r="BJ112" i="24"/>
  <c r="BJ48" i="24"/>
  <c r="BJ105" i="24"/>
  <c r="BJ98" i="24"/>
  <c r="BJ114" i="24"/>
  <c r="AT36" i="19"/>
  <c r="AT77" i="19"/>
  <c r="BI30" i="24"/>
  <c r="AT91" i="19"/>
  <c r="BI63" i="24"/>
  <c r="AT40" i="19"/>
  <c r="BI87" i="24"/>
  <c r="BJ34" i="22"/>
  <c r="AT59" i="19"/>
  <c r="BI62" i="24"/>
  <c r="BI75" i="24"/>
  <c r="BI112" i="24"/>
  <c r="BI37" i="24"/>
  <c r="BI41" i="24"/>
  <c r="AT97" i="19"/>
  <c r="BJ38" i="24"/>
  <c r="BJ42" i="24"/>
  <c r="BJ84" i="24"/>
  <c r="BJ97" i="24"/>
  <c r="BJ49" i="24"/>
  <c r="BJ87" i="24"/>
  <c r="BJ74" i="24"/>
  <c r="AT112" i="19"/>
  <c r="AT79" i="19"/>
  <c r="AT103" i="19"/>
  <c r="AT89" i="19"/>
  <c r="AT94" i="19"/>
  <c r="BI78" i="24"/>
  <c r="AT101" i="19"/>
  <c r="AT29" i="19"/>
  <c r="AT62" i="19"/>
  <c r="BI50" i="24"/>
  <c r="AT98" i="19"/>
  <c r="AT34" i="19"/>
  <c r="AT84" i="19"/>
  <c r="AT28" i="19"/>
  <c r="BI53" i="24"/>
  <c r="BI71" i="24"/>
  <c r="AP54" i="24"/>
  <c r="AT53" i="19"/>
  <c r="AT82" i="19"/>
  <c r="AT86" i="19"/>
  <c r="AP30" i="24"/>
  <c r="AP91" i="24"/>
  <c r="AP81" i="24"/>
  <c r="AP52" i="24"/>
  <c r="AP123" i="24"/>
  <c r="BI124" i="24"/>
  <c r="BI121" i="24"/>
  <c r="BI60" i="24"/>
  <c r="BI88" i="24"/>
  <c r="BI100" i="24"/>
  <c r="BI95" i="24"/>
  <c r="BI101" i="24"/>
  <c r="BI27" i="24"/>
  <c r="AQ69" i="24"/>
  <c r="BJ99" i="24"/>
  <c r="BJ95" i="24"/>
  <c r="BJ54" i="24"/>
  <c r="BJ41" i="24"/>
  <c r="BJ124" i="24"/>
  <c r="AT32" i="19"/>
  <c r="BI76" i="24"/>
  <c r="AT111" i="19"/>
  <c r="AT47" i="19"/>
  <c r="BI107" i="24"/>
  <c r="AQ26" i="24"/>
  <c r="AT110" i="19"/>
  <c r="AT48" i="19"/>
  <c r="AQ78" i="24"/>
  <c r="AT92" i="19"/>
  <c r="AT123" i="19"/>
  <c r="AQ104" i="24"/>
  <c r="AQ63" i="24"/>
  <c r="BI38" i="24"/>
  <c r="AP110" i="24"/>
  <c r="AT44" i="19"/>
  <c r="AT120" i="19"/>
  <c r="AT83" i="19"/>
  <c r="AP37" i="24"/>
  <c r="AP120" i="24"/>
  <c r="AP66" i="24"/>
  <c r="AP59" i="24"/>
  <c r="AP108" i="24"/>
  <c r="BI122" i="24"/>
  <c r="AP64" i="24"/>
  <c r="BI108" i="24"/>
  <c r="BI58" i="24"/>
  <c r="BI109" i="24"/>
  <c r="BI118" i="24"/>
  <c r="BI59" i="24"/>
  <c r="AP87" i="24"/>
  <c r="AP102" i="24"/>
  <c r="BJ90" i="24"/>
  <c r="BJ91" i="24"/>
  <c r="BJ88" i="24"/>
  <c r="BJ27" i="24"/>
  <c r="BJ81" i="24"/>
  <c r="BJ70" i="24"/>
  <c r="BJ119" i="24"/>
  <c r="AT119" i="19"/>
  <c r="BI103" i="24"/>
  <c r="BI69" i="24"/>
  <c r="BI92" i="24"/>
  <c r="BI54" i="24"/>
  <c r="AT33" i="19"/>
  <c r="AT50" i="19"/>
  <c r="AQ87" i="24"/>
  <c r="AT95" i="19"/>
  <c r="AQ56" i="24"/>
  <c r="AT96" i="19"/>
  <c r="AQ62" i="24"/>
  <c r="AT39" i="19"/>
  <c r="AQ90" i="24"/>
  <c r="AQ52" i="24"/>
  <c r="AT118" i="19"/>
  <c r="AT114" i="19"/>
  <c r="AT81" i="19"/>
  <c r="AP83" i="24"/>
  <c r="AP84" i="24"/>
  <c r="AP93" i="24"/>
  <c r="AP113" i="24"/>
  <c r="AP96" i="24"/>
  <c r="BI90" i="24"/>
  <c r="AP92" i="24"/>
  <c r="AP31" i="24"/>
  <c r="BI57" i="24"/>
  <c r="BI97" i="24"/>
  <c r="BI123" i="24"/>
  <c r="BI73" i="24"/>
  <c r="BI74" i="24"/>
  <c r="AP29" i="24"/>
  <c r="BI33" i="24"/>
  <c r="BJ77" i="24"/>
  <c r="BJ89" i="24"/>
  <c r="BJ107" i="24"/>
  <c r="BJ68" i="24"/>
  <c r="BJ64" i="24"/>
  <c r="BJ72" i="24"/>
  <c r="BJ76" i="24"/>
  <c r="BJ66" i="24"/>
  <c r="AT56" i="19"/>
  <c r="BI66" i="24"/>
  <c r="BI81" i="24"/>
  <c r="BI34" i="24"/>
  <c r="BI56" i="24"/>
  <c r="AT30" i="19"/>
  <c r="AT117" i="19"/>
  <c r="AT27" i="19"/>
  <c r="AT64" i="19"/>
  <c r="AQ120" i="24"/>
  <c r="AQ53" i="24"/>
  <c r="AQ42" i="24"/>
  <c r="AQ68" i="24"/>
  <c r="AP46" i="24"/>
  <c r="AP27" i="24"/>
  <c r="BI61" i="24"/>
  <c r="AT38" i="19"/>
  <c r="AT109" i="19"/>
  <c r="AT63" i="19"/>
  <c r="AT72" i="19"/>
  <c r="AP53" i="24"/>
  <c r="AP67" i="24"/>
  <c r="AP80" i="24"/>
  <c r="AP78" i="24"/>
  <c r="AP63" i="24"/>
  <c r="BI49" i="24"/>
  <c r="AP56" i="24"/>
  <c r="BI119" i="24"/>
  <c r="BI111" i="24"/>
  <c r="BI80" i="24"/>
  <c r="BI64" i="24"/>
  <c r="BI84" i="24"/>
  <c r="BI48" i="24"/>
  <c r="AT46" i="19"/>
  <c r="AP49" i="24"/>
  <c r="BI117" i="24"/>
  <c r="BJ93" i="24"/>
  <c r="BJ113" i="24"/>
  <c r="BJ123" i="24"/>
  <c r="BJ53" i="24"/>
  <c r="BJ52" i="24"/>
  <c r="BJ102" i="24"/>
  <c r="BJ39" i="24"/>
  <c r="BJ80" i="24"/>
  <c r="BJ117" i="24"/>
  <c r="AU29" i="17"/>
  <c r="X29" i="17" s="1"/>
  <c r="AU28" i="17"/>
  <c r="AU27" i="17"/>
  <c r="AU26" i="17"/>
  <c r="AU25" i="17"/>
  <c r="AT60" i="19"/>
  <c r="BI89" i="24"/>
  <c r="AT78" i="19"/>
  <c r="AT54" i="19"/>
  <c r="AT113" i="19"/>
  <c r="AT80" i="19"/>
  <c r="AT106" i="19"/>
  <c r="AP86" i="24"/>
  <c r="AT66" i="19"/>
  <c r="AT61" i="19"/>
  <c r="AP107" i="24"/>
  <c r="AP82" i="24"/>
  <c r="AP42" i="24"/>
  <c r="AP109" i="24"/>
  <c r="AP77" i="24"/>
  <c r="BI93" i="24"/>
  <c r="BJ67" i="22"/>
  <c r="BI29" i="24"/>
  <c r="BI70" i="24"/>
  <c r="BI104" i="24"/>
  <c r="BI32" i="24"/>
  <c r="BI46" i="24"/>
  <c r="AP34" i="24"/>
  <c r="BJ83" i="24"/>
  <c r="BJ47" i="24"/>
  <c r="BJ59" i="24"/>
  <c r="BJ67" i="24"/>
  <c r="BJ101" i="24"/>
  <c r="BJ96" i="24"/>
  <c r="BJ30" i="24"/>
  <c r="AP33" i="24"/>
  <c r="BI26" i="24"/>
  <c r="AP111" i="24"/>
  <c r="BI77" i="24"/>
  <c r="BI67" i="24"/>
  <c r="BI39" i="24"/>
  <c r="BI68" i="24"/>
  <c r="AP74" i="24"/>
  <c r="BI51" i="24"/>
  <c r="BJ34" i="24"/>
  <c r="BJ51" i="24"/>
  <c r="BJ32" i="24"/>
  <c r="BJ120" i="24"/>
  <c r="BJ46" i="24"/>
  <c r="BJ108" i="24"/>
  <c r="BJ58" i="24"/>
  <c r="BJ121" i="24"/>
  <c r="BJ94" i="24"/>
  <c r="AT51" i="19"/>
  <c r="AT108" i="19"/>
  <c r="AT70" i="19"/>
  <c r="AT124" i="19"/>
  <c r="AT93" i="19"/>
  <c r="AT41" i="19"/>
  <c r="AT87" i="19"/>
  <c r="AT67" i="19"/>
  <c r="BI114" i="24"/>
  <c r="BI83" i="24"/>
  <c r="BI94" i="24"/>
  <c r="BI47" i="24"/>
  <c r="BJ73" i="22"/>
  <c r="AT104" i="19"/>
  <c r="BJ43" i="24"/>
  <c r="BJ36" i="24"/>
  <c r="BJ33" i="24"/>
  <c r="BJ82" i="24"/>
  <c r="BJ116" i="24"/>
  <c r="BJ79" i="24"/>
  <c r="BJ104" i="24"/>
  <c r="BJ73" i="24"/>
  <c r="AT121" i="19"/>
  <c r="AT74" i="19"/>
  <c r="AT69" i="19"/>
  <c r="AT57" i="19"/>
  <c r="AT107" i="19"/>
  <c r="AT42" i="19"/>
  <c r="AT52" i="19"/>
  <c r="AT100" i="19"/>
  <c r="AP99" i="24"/>
  <c r="AP95" i="24"/>
  <c r="AP48" i="24"/>
  <c r="AP38" i="24"/>
  <c r="AP51" i="24"/>
  <c r="BI86" i="24"/>
  <c r="BI36" i="24"/>
  <c r="BI28" i="24"/>
  <c r="BI98" i="24"/>
  <c r="AT68" i="19"/>
  <c r="BI42" i="24"/>
  <c r="AP69" i="24"/>
  <c r="BJ78" i="24"/>
  <c r="BJ62" i="24"/>
  <c r="BJ122" i="24"/>
  <c r="BJ56" i="24"/>
  <c r="BJ60" i="24"/>
  <c r="BJ40" i="24"/>
  <c r="BJ110" i="24"/>
  <c r="BJ63" i="24"/>
  <c r="H105" i="17"/>
  <c r="AG33" i="24"/>
  <c r="AD27" i="17"/>
  <c r="K95" i="16"/>
  <c r="AD28" i="17"/>
  <c r="AD25" i="17"/>
  <c r="AD29" i="17"/>
  <c r="E146" i="24"/>
  <c r="E148" i="24"/>
  <c r="E149" i="24" s="1"/>
  <c r="I12" i="24"/>
  <c r="E140" i="24"/>
  <c r="E214" i="22"/>
  <c r="E141" i="22"/>
  <c r="E142" i="22" s="1"/>
  <c r="E151" i="22"/>
  <c r="E211" i="19"/>
  <c r="F186" i="21"/>
  <c r="G186" i="21" s="1"/>
  <c r="G194" i="21" s="1"/>
  <c r="G262" i="21" s="1"/>
  <c r="E261" i="21"/>
  <c r="E141" i="25"/>
  <c r="E142" i="25" s="1"/>
  <c r="M142" i="19"/>
  <c r="AF25" i="19" s="1"/>
  <c r="AF37" i="19" s="1"/>
  <c r="M147" i="25"/>
  <c r="E151" i="25"/>
  <c r="M151" i="25" s="1"/>
  <c r="E214" i="25"/>
  <c r="E214" i="19"/>
  <c r="E151" i="19"/>
  <c r="M151" i="19" s="1"/>
  <c r="M147" i="19"/>
  <c r="G89" i="17" s="1"/>
  <c r="M149" i="19"/>
  <c r="G92" i="17" s="1"/>
  <c r="E188" i="21"/>
  <c r="F188" i="21" s="1"/>
  <c r="G188" i="21" s="1"/>
  <c r="H188" i="21" s="1"/>
  <c r="I188" i="21" s="1"/>
  <c r="J188" i="21" s="1"/>
  <c r="K188" i="21" s="1"/>
  <c r="G11" i="17"/>
  <c r="AR106" i="19"/>
  <c r="AV106" i="19"/>
  <c r="AS102" i="19"/>
  <c r="AS73" i="19"/>
  <c r="AS77" i="19"/>
  <c r="AS98" i="19"/>
  <c r="AS57" i="19"/>
  <c r="AS122" i="19"/>
  <c r="AS37" i="19"/>
  <c r="AS81" i="19"/>
  <c r="AS53" i="19"/>
  <c r="AS69" i="19"/>
  <c r="AS33" i="19"/>
  <c r="AS118" i="19"/>
  <c r="AS61" i="19"/>
  <c r="AS29" i="19"/>
  <c r="AS114" i="19"/>
  <c r="AS110" i="19"/>
  <c r="AS41" i="19"/>
  <c r="AS93" i="19"/>
  <c r="AS49" i="19"/>
  <c r="AS89" i="19"/>
  <c r="AS45" i="19"/>
  <c r="AS85" i="19"/>
  <c r="AT118" i="25" l="1"/>
  <c r="AT119" i="25"/>
  <c r="AT49" i="25"/>
  <c r="AT53" i="25"/>
  <c r="AT30" i="25"/>
  <c r="AT43" i="25"/>
  <c r="AT75" i="25"/>
  <c r="AT124" i="25"/>
  <c r="AT92" i="25"/>
  <c r="AT113" i="25"/>
  <c r="AT87" i="25"/>
  <c r="AT84" i="25"/>
  <c r="AT34" i="25"/>
  <c r="AT122" i="25"/>
  <c r="AT26" i="25"/>
  <c r="AT70" i="25"/>
  <c r="AT93" i="25"/>
  <c r="AT80" i="25"/>
  <c r="AT66" i="25"/>
  <c r="AT89" i="25"/>
  <c r="AT109" i="25"/>
  <c r="AT32" i="25"/>
  <c r="AT78" i="25"/>
  <c r="AT27" i="25"/>
  <c r="AT104" i="25"/>
  <c r="AT74" i="25"/>
  <c r="AT114" i="25"/>
  <c r="AT50" i="25"/>
  <c r="AT76" i="25"/>
  <c r="AT81" i="25"/>
  <c r="AT77" i="25"/>
  <c r="AT39" i="25"/>
  <c r="AT121" i="25"/>
  <c r="AT56" i="25"/>
  <c r="AT91" i="25"/>
  <c r="AT38" i="25"/>
  <c r="AT83" i="25"/>
  <c r="AT100" i="25"/>
  <c r="AT88" i="25"/>
  <c r="AT69" i="25"/>
  <c r="AT60" i="25"/>
  <c r="AT33" i="25"/>
  <c r="AT54" i="25"/>
  <c r="AT102" i="25"/>
  <c r="AT59" i="25"/>
  <c r="AT79" i="25"/>
  <c r="AT94" i="25"/>
  <c r="AT41" i="25"/>
  <c r="AT112" i="25"/>
  <c r="AT110" i="25"/>
  <c r="AT63" i="25"/>
  <c r="AT48" i="25"/>
  <c r="AT111" i="25"/>
  <c r="AT58" i="25"/>
  <c r="AT99" i="25"/>
  <c r="AT108" i="25"/>
  <c r="AT47" i="25"/>
  <c r="AT61" i="25"/>
  <c r="AT35" i="25"/>
  <c r="AT29" i="25"/>
  <c r="AT42" i="25"/>
  <c r="AT57" i="25"/>
  <c r="AT64" i="25"/>
  <c r="AT103" i="25"/>
  <c r="AT98" i="25"/>
  <c r="AT71" i="25"/>
  <c r="AT86" i="25"/>
  <c r="AT123" i="25"/>
  <c r="AT31" i="25"/>
  <c r="AT107" i="25"/>
  <c r="AT36" i="25"/>
  <c r="AT90" i="25"/>
  <c r="AT67" i="25"/>
  <c r="AT96" i="25"/>
  <c r="AT97" i="25"/>
  <c r="AT44" i="25"/>
  <c r="AT62" i="25"/>
  <c r="AT73" i="25"/>
  <c r="AT68" i="25"/>
  <c r="AT106" i="25"/>
  <c r="AT95" i="25"/>
  <c r="AT110" i="24"/>
  <c r="AT84" i="24"/>
  <c r="AT52" i="24"/>
  <c r="AT27" i="24"/>
  <c r="AT69" i="24"/>
  <c r="AT107" i="24"/>
  <c r="AT121" i="24"/>
  <c r="AT111" i="24"/>
  <c r="AT90" i="24"/>
  <c r="AT61" i="24"/>
  <c r="AT59" i="24"/>
  <c r="AT98" i="24"/>
  <c r="AT43" i="24"/>
  <c r="AT60" i="24"/>
  <c r="AT91" i="24"/>
  <c r="AT81" i="24"/>
  <c r="AT58" i="24"/>
  <c r="AT124" i="24"/>
  <c r="AT74" i="24"/>
  <c r="AT31" i="24"/>
  <c r="AT47" i="24"/>
  <c r="AT106" i="24"/>
  <c r="AT78" i="24"/>
  <c r="AT35" i="24"/>
  <c r="AT42" i="24"/>
  <c r="AT36" i="24"/>
  <c r="AT79" i="24"/>
  <c r="AT71" i="24"/>
  <c r="AT83" i="24"/>
  <c r="AT34" i="24"/>
  <c r="AT44" i="24"/>
  <c r="AT33" i="24"/>
  <c r="AT28" i="24"/>
  <c r="AT53" i="24"/>
  <c r="AT123" i="24"/>
  <c r="AT46" i="24"/>
  <c r="AT93" i="24"/>
  <c r="AT82" i="24"/>
  <c r="AT119" i="24"/>
  <c r="AT88" i="24"/>
  <c r="AT94" i="24"/>
  <c r="AT103" i="24"/>
  <c r="AT101" i="24"/>
  <c r="AT109" i="24"/>
  <c r="AT51" i="24"/>
  <c r="AT68" i="24"/>
  <c r="AT50" i="24"/>
  <c r="AT75" i="24"/>
  <c r="AT86" i="24"/>
  <c r="AT62" i="24"/>
  <c r="AT64" i="24"/>
  <c r="AT92" i="24"/>
  <c r="AT48" i="24"/>
  <c r="AT113" i="24"/>
  <c r="AT120" i="24"/>
  <c r="AT67" i="24"/>
  <c r="AT66" i="24"/>
  <c r="AT76" i="24"/>
  <c r="AT26" i="24"/>
  <c r="AT54" i="24"/>
  <c r="AT80" i="24"/>
  <c r="AT40" i="24"/>
  <c r="AT97" i="24"/>
  <c r="AT95" i="24"/>
  <c r="AT72" i="24"/>
  <c r="AT102" i="24"/>
  <c r="AT114" i="24"/>
  <c r="AT57" i="24"/>
  <c r="AT73" i="24"/>
  <c r="AT63" i="24"/>
  <c r="AT41" i="24"/>
  <c r="AT117" i="24"/>
  <c r="AT122" i="24"/>
  <c r="AT39" i="24"/>
  <c r="AT89" i="24"/>
  <c r="AT108" i="24"/>
  <c r="AT38" i="24"/>
  <c r="AT99" i="24"/>
  <c r="AT52" i="25"/>
  <c r="AT112" i="24"/>
  <c r="AT100" i="24"/>
  <c r="AT72" i="25"/>
  <c r="AT29" i="24"/>
  <c r="AT118" i="24"/>
  <c r="AT87" i="24"/>
  <c r="AT40" i="25"/>
  <c r="AT28" i="25"/>
  <c r="AT32" i="24"/>
  <c r="AT117" i="25"/>
  <c r="W21" i="17"/>
  <c r="AU21" i="17"/>
  <c r="X21" i="17" s="1"/>
  <c r="AT37" i="24"/>
  <c r="AT46" i="25"/>
  <c r="AT37" i="25"/>
  <c r="AT56" i="24"/>
  <c r="AT49" i="24"/>
  <c r="AT120" i="25"/>
  <c r="AT104" i="24"/>
  <c r="AT82" i="25"/>
  <c r="AT51" i="25"/>
  <c r="AT96" i="24"/>
  <c r="AT70" i="24"/>
  <c r="AT30" i="24"/>
  <c r="AP60" i="25"/>
  <c r="AU105" i="24"/>
  <c r="AU26" i="24"/>
  <c r="AU117" i="24"/>
  <c r="AU50" i="24"/>
  <c r="AU115" i="24"/>
  <c r="AU68" i="24"/>
  <c r="AU88" i="24"/>
  <c r="AU43" i="24"/>
  <c r="AU64" i="24"/>
  <c r="AU104" i="24"/>
  <c r="AP84" i="25"/>
  <c r="AP91" i="25"/>
  <c r="AP94" i="25"/>
  <c r="AP35" i="25"/>
  <c r="AP73" i="25"/>
  <c r="AP27" i="25"/>
  <c r="AP63" i="25"/>
  <c r="AP51" i="25"/>
  <c r="E194" i="21"/>
  <c r="AU47" i="24"/>
  <c r="AU90" i="24"/>
  <c r="AU56" i="24"/>
  <c r="AU77" i="24"/>
  <c r="AU92" i="24"/>
  <c r="AU122" i="24"/>
  <c r="AU55" i="24"/>
  <c r="AU31" i="24"/>
  <c r="AU107" i="24"/>
  <c r="AU96" i="24"/>
  <c r="AU52" i="24"/>
  <c r="AP47" i="25"/>
  <c r="AP77" i="25"/>
  <c r="AP56" i="25"/>
  <c r="AP76" i="25"/>
  <c r="AP112" i="25"/>
  <c r="AP30" i="25"/>
  <c r="AP29" i="25"/>
  <c r="AU119" i="24"/>
  <c r="AU39" i="24"/>
  <c r="AU57" i="24"/>
  <c r="AU58" i="24"/>
  <c r="AU84" i="24"/>
  <c r="AU46" i="24"/>
  <c r="AP124" i="25"/>
  <c r="AP53" i="25"/>
  <c r="AP58" i="25"/>
  <c r="BN44" i="25"/>
  <c r="E170" i="21"/>
  <c r="E178" i="21" s="1"/>
  <c r="AU61" i="24"/>
  <c r="AU45" i="24"/>
  <c r="AU81" i="24"/>
  <c r="AU95" i="24"/>
  <c r="AU44" i="24"/>
  <c r="AU48" i="24"/>
  <c r="I79" i="21"/>
  <c r="AP68" i="25"/>
  <c r="AP93" i="25"/>
  <c r="AP64" i="25"/>
  <c r="AP104" i="25"/>
  <c r="AP99" i="25"/>
  <c r="AP32" i="25"/>
  <c r="AP107" i="25"/>
  <c r="AP117" i="25"/>
  <c r="AP81" i="25"/>
  <c r="AP118" i="25"/>
  <c r="AP49" i="25"/>
  <c r="AU79" i="24"/>
  <c r="AU49" i="24"/>
  <c r="AU116" i="24"/>
  <c r="AP111" i="25"/>
  <c r="AP88" i="25"/>
  <c r="AP54" i="25"/>
  <c r="AP89" i="25"/>
  <c r="AU29" i="24"/>
  <c r="AU101" i="24"/>
  <c r="AU102" i="24"/>
  <c r="AP80" i="25"/>
  <c r="AP42" i="25"/>
  <c r="AP40" i="25"/>
  <c r="AP46" i="25"/>
  <c r="AG33" i="25"/>
  <c r="M151" i="22"/>
  <c r="AU40" i="24"/>
  <c r="E250" i="21"/>
  <c r="E251" i="21" s="1"/>
  <c r="AU63" i="24"/>
  <c r="AU109" i="24"/>
  <c r="AU36" i="24"/>
  <c r="AU85" i="24"/>
  <c r="AU66" i="24"/>
  <c r="AU114" i="24"/>
  <c r="AU112" i="24"/>
  <c r="AP70" i="25"/>
  <c r="AP44" i="25"/>
  <c r="AP83" i="25"/>
  <c r="AP28" i="25"/>
  <c r="AP120" i="25"/>
  <c r="AP71" i="25"/>
  <c r="AW71" i="25" s="1"/>
  <c r="AP66" i="25"/>
  <c r="AP123" i="25"/>
  <c r="AP72" i="25"/>
  <c r="AU111" i="24"/>
  <c r="AU67" i="24"/>
  <c r="AU110" i="24"/>
  <c r="AU37" i="24"/>
  <c r="AU28" i="24"/>
  <c r="M142" i="22"/>
  <c r="AF25" i="22" s="1"/>
  <c r="I78" i="16" s="1"/>
  <c r="W22" i="17"/>
  <c r="AP109" i="25"/>
  <c r="AP74" i="25"/>
  <c r="AW74" i="25" s="1"/>
  <c r="AP31" i="25"/>
  <c r="AP67" i="25"/>
  <c r="AP48" i="25"/>
  <c r="AP102" i="25"/>
  <c r="AP41" i="25"/>
  <c r="AP36" i="25"/>
  <c r="AP82" i="25"/>
  <c r="AP69" i="25"/>
  <c r="AP34" i="25"/>
  <c r="M142" i="25"/>
  <c r="AF25" i="25" s="1"/>
  <c r="M78" i="16" s="1"/>
  <c r="AP101" i="25"/>
  <c r="AU34" i="24"/>
  <c r="AU33" i="24"/>
  <c r="AU120" i="24"/>
  <c r="AU42" i="24"/>
  <c r="AU82" i="24"/>
  <c r="M149" i="22"/>
  <c r="M147" i="22"/>
  <c r="BN46" i="25"/>
  <c r="AU59" i="24"/>
  <c r="AU87" i="24"/>
  <c r="AU38" i="24"/>
  <c r="AU53" i="24"/>
  <c r="AU93" i="24"/>
  <c r="AU94" i="24"/>
  <c r="AU106" i="24"/>
  <c r="AU97" i="24"/>
  <c r="AP103" i="25"/>
  <c r="AP121" i="25"/>
  <c r="AP100" i="25"/>
  <c r="AP108" i="25"/>
  <c r="AP92" i="25"/>
  <c r="AP39" i="25"/>
  <c r="AP90" i="25"/>
  <c r="U8" i="25"/>
  <c r="U9" i="25" s="1"/>
  <c r="U8" i="22"/>
  <c r="U9" i="22" s="1"/>
  <c r="BJ78" i="25"/>
  <c r="E202" i="21"/>
  <c r="E203" i="21" s="1"/>
  <c r="F203" i="21" s="1"/>
  <c r="G203" i="21" s="1"/>
  <c r="H203" i="21" s="1"/>
  <c r="I203" i="21" s="1"/>
  <c r="J203" i="21" s="1"/>
  <c r="K203" i="21" s="1"/>
  <c r="L203" i="21" s="1"/>
  <c r="M203" i="21" s="1"/>
  <c r="N203" i="21" s="1"/>
  <c r="O203" i="21" s="1"/>
  <c r="P203" i="21" s="1"/>
  <c r="Q203" i="21" s="1"/>
  <c r="R203" i="21" s="1"/>
  <c r="S203" i="21" s="1"/>
  <c r="T203" i="21" s="1"/>
  <c r="BJ58" i="25"/>
  <c r="BJ122" i="25"/>
  <c r="BJ42" i="25"/>
  <c r="BJ74" i="25"/>
  <c r="BJ51" i="25"/>
  <c r="BJ119" i="25"/>
  <c r="K79" i="21"/>
  <c r="BJ104" i="25"/>
  <c r="BJ88" i="25"/>
  <c r="BJ79" i="25"/>
  <c r="BJ67" i="25"/>
  <c r="K43" i="21"/>
  <c r="BJ114" i="25"/>
  <c r="BJ90" i="25"/>
  <c r="BJ95" i="25"/>
  <c r="BL107" i="25"/>
  <c r="BL42" i="25"/>
  <c r="BL118" i="25"/>
  <c r="BL39" i="25"/>
  <c r="BJ90" i="19"/>
  <c r="BL94" i="25"/>
  <c r="BL91" i="25"/>
  <c r="BL119" i="25"/>
  <c r="BL84" i="25"/>
  <c r="BL86" i="25"/>
  <c r="BJ104" i="19"/>
  <c r="BL100" i="25"/>
  <c r="K78" i="21"/>
  <c r="BL45" i="25"/>
  <c r="BL44" i="25"/>
  <c r="BL73" i="25"/>
  <c r="BL64" i="25"/>
  <c r="BL97" i="25"/>
  <c r="BL63" i="25"/>
  <c r="BL68" i="25"/>
  <c r="BJ72" i="19"/>
  <c r="BL96" i="25"/>
  <c r="BL29" i="25"/>
  <c r="BL109" i="25"/>
  <c r="BN41" i="25"/>
  <c r="BJ62" i="22"/>
  <c r="BL26" i="25"/>
  <c r="G43" i="21"/>
  <c r="BJ95" i="22"/>
  <c r="BL55" i="25"/>
  <c r="BL113" i="25"/>
  <c r="BL120" i="25"/>
  <c r="BL93" i="25"/>
  <c r="BJ59" i="19"/>
  <c r="BL101" i="25"/>
  <c r="BL74" i="25"/>
  <c r="BJ78" i="19"/>
  <c r="BL81" i="25"/>
  <c r="BL79" i="25"/>
  <c r="J92" i="16"/>
  <c r="J95" i="16" s="1"/>
  <c r="BJ48" i="22"/>
  <c r="BL105" i="25"/>
  <c r="BL102" i="25"/>
  <c r="BJ51" i="19"/>
  <c r="BJ32" i="22"/>
  <c r="BL67" i="25"/>
  <c r="BL49" i="25"/>
  <c r="L92" i="17"/>
  <c r="L89" i="17"/>
  <c r="BJ102" i="22"/>
  <c r="BJ66" i="22"/>
  <c r="BL114" i="25"/>
  <c r="BL70" i="25"/>
  <c r="BL37" i="25"/>
  <c r="BL83" i="25"/>
  <c r="BL122" i="25"/>
  <c r="BL104" i="25"/>
  <c r="BI33" i="25"/>
  <c r="BJ105" i="25"/>
  <c r="BL99" i="25"/>
  <c r="BL57" i="25"/>
  <c r="BL123" i="25"/>
  <c r="BL71" i="25"/>
  <c r="BJ103" i="19"/>
  <c r="BJ118" i="25"/>
  <c r="BI88" i="25"/>
  <c r="BJ35" i="22"/>
  <c r="BL52" i="25"/>
  <c r="BJ33" i="19"/>
  <c r="BL88" i="25"/>
  <c r="BL51" i="25"/>
  <c r="BL111" i="25"/>
  <c r="BL77" i="25"/>
  <c r="BJ103" i="22"/>
  <c r="R22" i="17"/>
  <c r="BL32" i="25"/>
  <c r="BL43" i="25"/>
  <c r="BL35" i="25"/>
  <c r="BL82" i="25"/>
  <c r="BL103" i="25"/>
  <c r="BJ94" i="25"/>
  <c r="BL58" i="25"/>
  <c r="BL53" i="25"/>
  <c r="BL62" i="25"/>
  <c r="BJ67" i="19"/>
  <c r="BL92" i="25"/>
  <c r="BJ62" i="25"/>
  <c r="BL34" i="25"/>
  <c r="BI42" i="25"/>
  <c r="BJ27" i="22"/>
  <c r="BL48" i="25"/>
  <c r="BL33" i="25"/>
  <c r="BJ121" i="22"/>
  <c r="BL124" i="25"/>
  <c r="BL117" i="25"/>
  <c r="BJ27" i="19"/>
  <c r="BJ124" i="22"/>
  <c r="BJ107" i="25"/>
  <c r="BJ53" i="19"/>
  <c r="BL121" i="25"/>
  <c r="BL60" i="25"/>
  <c r="BJ31" i="25"/>
  <c r="BL85" i="25"/>
  <c r="BL122" i="22"/>
  <c r="BL92" i="22"/>
  <c r="BL91" i="19"/>
  <c r="BL70" i="22"/>
  <c r="BN28" i="22"/>
  <c r="BN100" i="22"/>
  <c r="BN69" i="25"/>
  <c r="BL114" i="19"/>
  <c r="BN45" i="25"/>
  <c r="BN101" i="25"/>
  <c r="BL39" i="19"/>
  <c r="BN100" i="25"/>
  <c r="BN91" i="25"/>
  <c r="BL115" i="19"/>
  <c r="BN96" i="25"/>
  <c r="BN71" i="25"/>
  <c r="BL124" i="19"/>
  <c r="BN92" i="25"/>
  <c r="R105" i="17"/>
  <c r="BJ77" i="19"/>
  <c r="BL120" i="19"/>
  <c r="BN111" i="25"/>
  <c r="BL90" i="19"/>
  <c r="BL31" i="19"/>
  <c r="BN39" i="25"/>
  <c r="BL44" i="19"/>
  <c r="BN83" i="25"/>
  <c r="BJ60" i="19"/>
  <c r="BL51" i="19"/>
  <c r="BN95" i="25"/>
  <c r="BL62" i="19"/>
  <c r="BL82" i="19"/>
  <c r="BJ61" i="22"/>
  <c r="BJ59" i="22"/>
  <c r="BJ43" i="22"/>
  <c r="BJ83" i="22"/>
  <c r="BJ94" i="22"/>
  <c r="BJ104" i="22"/>
  <c r="BJ49" i="22"/>
  <c r="BJ94" i="19"/>
  <c r="BJ54" i="19"/>
  <c r="BJ114" i="19"/>
  <c r="BJ84" i="22"/>
  <c r="BL95" i="25"/>
  <c r="BJ60" i="22"/>
  <c r="BJ53" i="22"/>
  <c r="BJ31" i="22"/>
  <c r="BJ57" i="22"/>
  <c r="BJ41" i="22"/>
  <c r="BJ44" i="22"/>
  <c r="BJ96" i="22"/>
  <c r="BJ90" i="22"/>
  <c r="G74" i="21"/>
  <c r="G78" i="21" s="1"/>
  <c r="L91" i="17" s="1"/>
  <c r="BJ37" i="22"/>
  <c r="BJ81" i="22"/>
  <c r="BJ119" i="22"/>
  <c r="BJ26" i="22"/>
  <c r="BJ82" i="22"/>
  <c r="BJ80" i="22"/>
  <c r="BJ79" i="22"/>
  <c r="BJ109" i="22"/>
  <c r="BJ117" i="22"/>
  <c r="BJ111" i="22"/>
  <c r="BJ63" i="22"/>
  <c r="BJ114" i="22"/>
  <c r="BJ110" i="22"/>
  <c r="BJ72" i="22"/>
  <c r="BJ120" i="22"/>
  <c r="BJ91" i="22"/>
  <c r="BJ112" i="22"/>
  <c r="BJ77" i="22"/>
  <c r="BI109" i="19"/>
  <c r="BI97" i="25"/>
  <c r="BI110" i="25"/>
  <c r="BI33" i="22"/>
  <c r="BI60" i="25"/>
  <c r="BI46" i="22"/>
  <c r="BI37" i="25"/>
  <c r="BJ108" i="25"/>
  <c r="BM70" i="22"/>
  <c r="BI61" i="22"/>
  <c r="BL108" i="22"/>
  <c r="BN54" i="22"/>
  <c r="BJ46" i="25"/>
  <c r="BJ89" i="22"/>
  <c r="BJ92" i="22"/>
  <c r="BJ71" i="22"/>
  <c r="BM95" i="22"/>
  <c r="BJ107" i="22"/>
  <c r="BL113" i="22"/>
  <c r="BI96" i="25"/>
  <c r="BN61" i="22"/>
  <c r="BI63" i="25"/>
  <c r="BM123" i="22"/>
  <c r="BI52" i="25"/>
  <c r="BI99" i="22"/>
  <c r="BL51" i="22"/>
  <c r="BL38" i="22"/>
  <c r="BI52" i="19"/>
  <c r="BI75" i="25"/>
  <c r="BI86" i="25"/>
  <c r="BJ69" i="22"/>
  <c r="BL56" i="22"/>
  <c r="BJ92" i="25"/>
  <c r="BJ52" i="25"/>
  <c r="BJ54" i="22"/>
  <c r="BL94" i="22"/>
  <c r="BJ80" i="25"/>
  <c r="BL30" i="19"/>
  <c r="BM80" i="25"/>
  <c r="BI81" i="22"/>
  <c r="BM82" i="25"/>
  <c r="BI30" i="25"/>
  <c r="BI77" i="25"/>
  <c r="BI56" i="25"/>
  <c r="BM78" i="25"/>
  <c r="BM26" i="22"/>
  <c r="BI31" i="19"/>
  <c r="BI31" i="25"/>
  <c r="BI111" i="25"/>
  <c r="BI95" i="25"/>
  <c r="BI66" i="25"/>
  <c r="BI92" i="22"/>
  <c r="BI110" i="22"/>
  <c r="BI97" i="22"/>
  <c r="BI42" i="19"/>
  <c r="BI67" i="25"/>
  <c r="BI35" i="22"/>
  <c r="BI78" i="22"/>
  <c r="BI50" i="19"/>
  <c r="BI30" i="22"/>
  <c r="BM48" i="25"/>
  <c r="BM56" i="25"/>
  <c r="BI80" i="25"/>
  <c r="BI122" i="22"/>
  <c r="BI29" i="25"/>
  <c r="BI99" i="19"/>
  <c r="BI71" i="25"/>
  <c r="BI90" i="22"/>
  <c r="AP21" i="17"/>
  <c r="S21" i="17" s="1"/>
  <c r="AF27" i="17"/>
  <c r="AF26" i="17"/>
  <c r="AF25" i="17"/>
  <c r="AF28" i="17"/>
  <c r="AF29" i="17"/>
  <c r="BM51" i="25"/>
  <c r="BM26" i="25"/>
  <c r="BM120" i="25"/>
  <c r="AK29" i="17"/>
  <c r="AK28" i="17"/>
  <c r="AK26" i="17"/>
  <c r="BI108" i="22"/>
  <c r="BI26" i="22"/>
  <c r="BI59" i="22"/>
  <c r="BI71" i="22"/>
  <c r="BI120" i="22"/>
  <c r="BI95" i="22"/>
  <c r="BI57" i="22"/>
  <c r="BI52" i="22"/>
  <c r="BI39" i="22"/>
  <c r="BI107" i="22"/>
  <c r="BI87" i="22"/>
  <c r="BI36" i="22"/>
  <c r="BI60" i="22"/>
  <c r="BI31" i="22"/>
  <c r="BI32" i="22"/>
  <c r="BI112" i="22"/>
  <c r="BI42" i="22"/>
  <c r="BI96" i="22"/>
  <c r="BI49" i="22"/>
  <c r="BI62" i="22"/>
  <c r="BI72" i="22"/>
  <c r="BI27" i="22"/>
  <c r="BI66" i="22"/>
  <c r="BI50" i="22"/>
  <c r="BI74" i="22"/>
  <c r="BI123" i="22"/>
  <c r="BI76" i="22"/>
  <c r="BI109" i="22"/>
  <c r="BI69" i="22"/>
  <c r="BI111" i="22"/>
  <c r="BI63" i="22"/>
  <c r="BI91" i="22"/>
  <c r="BI44" i="22"/>
  <c r="BI48" i="22"/>
  <c r="BI84" i="22"/>
  <c r="BI98" i="22"/>
  <c r="BI41" i="22"/>
  <c r="BI29" i="22"/>
  <c r="BI113" i="22"/>
  <c r="BI68" i="22"/>
  <c r="BI102" i="22"/>
  <c r="BI28" i="22"/>
  <c r="BI77" i="22"/>
  <c r="BI93" i="22"/>
  <c r="BI47" i="22"/>
  <c r="BI43" i="22"/>
  <c r="BI117" i="22"/>
  <c r="BI124" i="22"/>
  <c r="BI38" i="22"/>
  <c r="BI103" i="22"/>
  <c r="BI89" i="22"/>
  <c r="BM57" i="25"/>
  <c r="BI75" i="22"/>
  <c r="BI53" i="22"/>
  <c r="BM77" i="25"/>
  <c r="BI112" i="19"/>
  <c r="BI101" i="22"/>
  <c r="BN30" i="19"/>
  <c r="BN116" i="19"/>
  <c r="AF21" i="17"/>
  <c r="H21" i="17"/>
  <c r="BI34" i="22"/>
  <c r="BI94" i="19"/>
  <c r="BM92" i="19"/>
  <c r="BM49" i="19"/>
  <c r="BN46" i="22"/>
  <c r="BN122" i="22"/>
  <c r="BN55" i="22"/>
  <c r="BN97" i="22"/>
  <c r="BN95" i="22"/>
  <c r="BN75" i="22"/>
  <c r="BN84" i="22"/>
  <c r="BM87" i="22"/>
  <c r="BI62" i="19"/>
  <c r="BI39" i="25"/>
  <c r="BI86" i="22"/>
  <c r="BI58" i="19"/>
  <c r="BI32" i="25"/>
  <c r="BM28" i="25"/>
  <c r="BI29" i="19"/>
  <c r="BI99" i="25"/>
  <c r="BI84" i="25"/>
  <c r="BI93" i="25"/>
  <c r="BM34" i="25"/>
  <c r="BI107" i="25"/>
  <c r="BI119" i="22"/>
  <c r="BI116" i="22"/>
  <c r="BI101" i="25"/>
  <c r="BM101" i="25"/>
  <c r="BI53" i="19"/>
  <c r="BI55" i="25"/>
  <c r="BI37" i="22"/>
  <c r="BI35" i="25"/>
  <c r="BM68" i="25"/>
  <c r="BI113" i="25"/>
  <c r="BI118" i="25"/>
  <c r="BI121" i="25"/>
  <c r="BI54" i="22"/>
  <c r="BI82" i="22"/>
  <c r="BI51" i="22"/>
  <c r="BI121" i="22"/>
  <c r="BI124" i="25"/>
  <c r="BM125" i="25"/>
  <c r="BM97" i="25"/>
  <c r="BM64" i="25"/>
  <c r="BM83" i="25"/>
  <c r="BM110" i="25"/>
  <c r="BM111" i="25"/>
  <c r="BM95" i="25"/>
  <c r="BM89" i="25"/>
  <c r="BM105" i="25"/>
  <c r="BM55" i="25"/>
  <c r="BM114" i="25"/>
  <c r="BM53" i="25"/>
  <c r="BM99" i="25"/>
  <c r="BM43" i="25"/>
  <c r="BM90" i="25"/>
  <c r="BM85" i="25"/>
  <c r="BM87" i="25"/>
  <c r="BM58" i="25"/>
  <c r="BM46" i="25"/>
  <c r="BM122" i="25"/>
  <c r="BM106" i="25"/>
  <c r="BM117" i="25"/>
  <c r="BM92" i="25"/>
  <c r="BM62" i="25"/>
  <c r="BM121" i="25"/>
  <c r="BM109" i="25"/>
  <c r="BM27" i="25"/>
  <c r="BI59" i="19"/>
  <c r="BI108" i="19"/>
  <c r="BI124" i="19"/>
  <c r="BI70" i="19"/>
  <c r="BI84" i="19"/>
  <c r="BI68" i="19"/>
  <c r="BI95" i="19"/>
  <c r="BI64" i="19"/>
  <c r="BI57" i="19"/>
  <c r="BI91" i="19"/>
  <c r="BI34" i="19"/>
  <c r="BI121" i="19"/>
  <c r="BI37" i="19"/>
  <c r="BI60" i="19"/>
  <c r="BI87" i="19"/>
  <c r="BI113" i="19"/>
  <c r="BI74" i="19"/>
  <c r="BI54" i="19"/>
  <c r="BI36" i="19"/>
  <c r="BI40" i="19"/>
  <c r="BI80" i="19"/>
  <c r="BI56" i="19"/>
  <c r="BI35" i="19"/>
  <c r="BI38" i="19"/>
  <c r="BI78" i="19"/>
  <c r="AJ37" i="17"/>
  <c r="AK37" i="17" s="1"/>
  <c r="AJ40" i="17"/>
  <c r="AK40" i="17" s="1"/>
  <c r="AJ47" i="17"/>
  <c r="AK47" i="17" s="1"/>
  <c r="AJ49" i="17"/>
  <c r="AK49" i="17" s="1"/>
  <c r="AJ33" i="17"/>
  <c r="AK33" i="17" s="1"/>
  <c r="AJ50" i="17"/>
  <c r="AK50" i="17" s="1"/>
  <c r="BI47" i="19"/>
  <c r="BI46" i="25"/>
  <c r="BI103" i="25"/>
  <c r="BI59" i="25"/>
  <c r="BI120" i="25"/>
  <c r="BI90" i="25"/>
  <c r="BI41" i="25"/>
  <c r="BI64" i="25"/>
  <c r="BI54" i="25"/>
  <c r="BI108" i="25"/>
  <c r="BI78" i="25"/>
  <c r="BI49" i="25"/>
  <c r="BI70" i="25"/>
  <c r="BI26" i="25"/>
  <c r="BI98" i="25"/>
  <c r="BI117" i="25"/>
  <c r="BI115" i="25"/>
  <c r="BI92" i="25"/>
  <c r="BI57" i="25"/>
  <c r="BI91" i="25"/>
  <c r="BI73" i="25"/>
  <c r="BI116" i="25"/>
  <c r="BI100" i="25"/>
  <c r="BI38" i="25"/>
  <c r="BI112" i="25"/>
  <c r="BI62" i="25"/>
  <c r="BI102" i="25"/>
  <c r="BI89" i="25"/>
  <c r="BI76" i="25"/>
  <c r="BI83" i="25"/>
  <c r="BI27" i="25"/>
  <c r="BI109" i="25"/>
  <c r="BI87" i="25"/>
  <c r="BI74" i="25"/>
  <c r="BI94" i="25"/>
  <c r="BI36" i="25"/>
  <c r="BI58" i="25"/>
  <c r="BI114" i="25"/>
  <c r="BI69" i="25"/>
  <c r="BI104" i="25"/>
  <c r="BI119" i="25"/>
  <c r="BI44" i="25"/>
  <c r="BI61" i="25"/>
  <c r="BI82" i="25"/>
  <c r="BI68" i="25"/>
  <c r="BI28" i="25"/>
  <c r="BI81" i="25"/>
  <c r="BI48" i="25"/>
  <c r="W105" i="17"/>
  <c r="AJ43" i="17"/>
  <c r="AK43" i="17" s="1"/>
  <c r="BI40" i="25"/>
  <c r="BN50" i="22"/>
  <c r="BM30" i="25"/>
  <c r="AJ31" i="17"/>
  <c r="AK31" i="17" s="1"/>
  <c r="BI79" i="25"/>
  <c r="BI53" i="25"/>
  <c r="BI88" i="22"/>
  <c r="BI114" i="22"/>
  <c r="BI83" i="22"/>
  <c r="BI118" i="22"/>
  <c r="BI103" i="19"/>
  <c r="BI101" i="19"/>
  <c r="BM81" i="25"/>
  <c r="BI102" i="19"/>
  <c r="BI56" i="22"/>
  <c r="BI90" i="19"/>
  <c r="BM72" i="25"/>
  <c r="BM103" i="25"/>
  <c r="BI47" i="25"/>
  <c r="AJ42" i="17"/>
  <c r="AK42" i="17" s="1"/>
  <c r="BI67" i="22"/>
  <c r="BM40" i="25"/>
  <c r="BM54" i="25"/>
  <c r="BI93" i="19"/>
  <c r="BI43" i="25"/>
  <c r="BI94" i="22"/>
  <c r="AJ48" i="17"/>
  <c r="AK48" i="17" s="1"/>
  <c r="AJ51" i="17"/>
  <c r="AK51" i="17" s="1"/>
  <c r="BI79" i="22"/>
  <c r="BI73" i="22"/>
  <c r="BI64" i="22"/>
  <c r="BI58" i="22"/>
  <c r="BI66" i="19"/>
  <c r="BI80" i="22"/>
  <c r="BI50" i="25"/>
  <c r="BI123" i="25"/>
  <c r="BL91" i="22"/>
  <c r="BJ70" i="25"/>
  <c r="BN123" i="25"/>
  <c r="BN124" i="25"/>
  <c r="BL38" i="19"/>
  <c r="BL95" i="22"/>
  <c r="BJ96" i="25"/>
  <c r="BL68" i="22"/>
  <c r="BL90" i="22"/>
  <c r="BJ121" i="25"/>
  <c r="BL111" i="22"/>
  <c r="BJ44" i="25"/>
  <c r="BL86" i="22"/>
  <c r="BL99" i="19"/>
  <c r="BJ99" i="25"/>
  <c r="BJ101" i="25"/>
  <c r="BJ33" i="25"/>
  <c r="BN67" i="25"/>
  <c r="BN33" i="25"/>
  <c r="BL109" i="22"/>
  <c r="BL69" i="19"/>
  <c r="BL85" i="19"/>
  <c r="BL100" i="19"/>
  <c r="BJ37" i="25"/>
  <c r="BJ61" i="25"/>
  <c r="BL99" i="22"/>
  <c r="BJ87" i="25"/>
  <c r="BJ120" i="25"/>
  <c r="BN107" i="25"/>
  <c r="BL61" i="22"/>
  <c r="BL81" i="22"/>
  <c r="BJ97" i="25"/>
  <c r="BJ39" i="25"/>
  <c r="BL37" i="22"/>
  <c r="BN101" i="22"/>
  <c r="BN73" i="22"/>
  <c r="BN88" i="22"/>
  <c r="BN37" i="22"/>
  <c r="BN104" i="22"/>
  <c r="BN111" i="22"/>
  <c r="BN113" i="22"/>
  <c r="BN112" i="22"/>
  <c r="BN29" i="22"/>
  <c r="BN39" i="22"/>
  <c r="BN103" i="22"/>
  <c r="BN58" i="22"/>
  <c r="BN63" i="22"/>
  <c r="BN86" i="22"/>
  <c r="BN69" i="22"/>
  <c r="BN62" i="22"/>
  <c r="BN92" i="22"/>
  <c r="BN108" i="22"/>
  <c r="BN117" i="22"/>
  <c r="BN64" i="22"/>
  <c r="BN102" i="22"/>
  <c r="BN116" i="22"/>
  <c r="BN123" i="22"/>
  <c r="BN93" i="22"/>
  <c r="BN90" i="22"/>
  <c r="BN99" i="22"/>
  <c r="BN52" i="22"/>
  <c r="BN44" i="22"/>
  <c r="BN96" i="22"/>
  <c r="BN85" i="22"/>
  <c r="BM88" i="22"/>
  <c r="BM58" i="22"/>
  <c r="BM29" i="22"/>
  <c r="BM32" i="22"/>
  <c r="BM54" i="22"/>
  <c r="BM60" i="22"/>
  <c r="BM118" i="22"/>
  <c r="BM96" i="22"/>
  <c r="BM72" i="22"/>
  <c r="BM109" i="22"/>
  <c r="BM101" i="22"/>
  <c r="BM108" i="22"/>
  <c r="BM65" i="22"/>
  <c r="BM50" i="22"/>
  <c r="BM42" i="22"/>
  <c r="BM33" i="22"/>
  <c r="BM125" i="22"/>
  <c r="BM80" i="22"/>
  <c r="BM116" i="22"/>
  <c r="BM121" i="22"/>
  <c r="BM99" i="22"/>
  <c r="BM124" i="22"/>
  <c r="BM114" i="22"/>
  <c r="BM93" i="22"/>
  <c r="BM43" i="22"/>
  <c r="BM49" i="22"/>
  <c r="BM39" i="22"/>
  <c r="BM78" i="22"/>
  <c r="BN51" i="22"/>
  <c r="BN110" i="22"/>
  <c r="AT37" i="17"/>
  <c r="AU37" i="17" s="1"/>
  <c r="X37" i="17" s="1"/>
  <c r="AT49" i="17"/>
  <c r="AU49" i="17" s="1"/>
  <c r="AO50" i="17"/>
  <c r="AP50" i="17" s="1"/>
  <c r="AO38" i="17"/>
  <c r="AP38" i="17" s="1"/>
  <c r="AO34" i="17"/>
  <c r="AP34" i="17" s="1"/>
  <c r="BL60" i="22"/>
  <c r="BL120" i="22"/>
  <c r="BL52" i="22"/>
  <c r="BL100" i="22"/>
  <c r="BL73" i="22"/>
  <c r="BL69" i="22"/>
  <c r="BL97" i="22"/>
  <c r="BL54" i="22"/>
  <c r="BL83" i="22"/>
  <c r="BL33" i="22"/>
  <c r="BL45" i="22"/>
  <c r="BL46" i="22"/>
  <c r="BL53" i="22"/>
  <c r="BL35" i="22"/>
  <c r="BL80" i="22"/>
  <c r="BL41" i="22"/>
  <c r="BL47" i="22"/>
  <c r="BL104" i="22"/>
  <c r="BL59" i="22"/>
  <c r="BL82" i="22"/>
  <c r="BL43" i="22"/>
  <c r="BL72" i="22"/>
  <c r="BL116" i="22"/>
  <c r="BL27" i="22"/>
  <c r="BL32" i="22"/>
  <c r="BL85" i="22"/>
  <c r="BM74" i="22"/>
  <c r="BN121" i="22"/>
  <c r="BN30" i="22"/>
  <c r="BN106" i="22"/>
  <c r="BJ86" i="25"/>
  <c r="BJ29" i="25"/>
  <c r="BJ112" i="25"/>
  <c r="BJ124" i="25"/>
  <c r="BJ76" i="25"/>
  <c r="BJ41" i="25"/>
  <c r="BJ98" i="25"/>
  <c r="BJ103" i="25"/>
  <c r="BJ72" i="25"/>
  <c r="BJ63" i="25"/>
  <c r="BJ34" i="25"/>
  <c r="BJ53" i="25"/>
  <c r="BJ43" i="25"/>
  <c r="BJ69" i="25"/>
  <c r="BJ102" i="25"/>
  <c r="BJ28" i="25"/>
  <c r="BJ117" i="25"/>
  <c r="BJ35" i="25"/>
  <c r="BJ56" i="25"/>
  <c r="BJ32" i="25"/>
  <c r="BJ36" i="25"/>
  <c r="BJ49" i="25"/>
  <c r="BJ93" i="25"/>
  <c r="BJ66" i="25"/>
  <c r="BJ60" i="25"/>
  <c r="BJ64" i="25"/>
  <c r="BJ110" i="25"/>
  <c r="BJ77" i="25"/>
  <c r="BJ82" i="25"/>
  <c r="BJ27" i="25"/>
  <c r="BJ48" i="25"/>
  <c r="BJ38" i="25"/>
  <c r="BJ123" i="25"/>
  <c r="BJ84" i="25"/>
  <c r="BJ73" i="25"/>
  <c r="BJ91" i="25"/>
  <c r="BJ47" i="25"/>
  <c r="BJ109" i="25"/>
  <c r="BJ116" i="25"/>
  <c r="BJ83" i="25"/>
  <c r="BJ30" i="25"/>
  <c r="BJ40" i="25"/>
  <c r="BJ57" i="25"/>
  <c r="BJ81" i="25"/>
  <c r="BJ54" i="25"/>
  <c r="BJ71" i="25"/>
  <c r="BJ89" i="25"/>
  <c r="BN115" i="22"/>
  <c r="BN26" i="22"/>
  <c r="BM112" i="19"/>
  <c r="BM115" i="22"/>
  <c r="BM119" i="22"/>
  <c r="BN98" i="22"/>
  <c r="BL68" i="19"/>
  <c r="BL102" i="19"/>
  <c r="BL33" i="19"/>
  <c r="BL78" i="19"/>
  <c r="BL29" i="19"/>
  <c r="BL64" i="19"/>
  <c r="BL121" i="19"/>
  <c r="BL104" i="19"/>
  <c r="BL86" i="19"/>
  <c r="BL59" i="19"/>
  <c r="BL56" i="19"/>
  <c r="BL73" i="19"/>
  <c r="BL60" i="19"/>
  <c r="BL119" i="19"/>
  <c r="BL48" i="19"/>
  <c r="BL98" i="19"/>
  <c r="BL79" i="19"/>
  <c r="BL109" i="19"/>
  <c r="BL53" i="19"/>
  <c r="BL45" i="19"/>
  <c r="BL42" i="19"/>
  <c r="BN52" i="25"/>
  <c r="BN66" i="25"/>
  <c r="BN50" i="25"/>
  <c r="BN56" i="25"/>
  <c r="BN116" i="25"/>
  <c r="BN121" i="25"/>
  <c r="BN62" i="25"/>
  <c r="BN125" i="25"/>
  <c r="BN98" i="25"/>
  <c r="BN28" i="25"/>
  <c r="BN30" i="25"/>
  <c r="BN90" i="25"/>
  <c r="BN59" i="25"/>
  <c r="BN37" i="25"/>
  <c r="BN113" i="25"/>
  <c r="BN27" i="25"/>
  <c r="BN75" i="25"/>
  <c r="BN70" i="25"/>
  <c r="BN112" i="25"/>
  <c r="BN118" i="25"/>
  <c r="BN117" i="25"/>
  <c r="BN29" i="25"/>
  <c r="BN106" i="25"/>
  <c r="BN80" i="25"/>
  <c r="BN110" i="25"/>
  <c r="BN54" i="25"/>
  <c r="AO42" i="17"/>
  <c r="AP42" i="17" s="1"/>
  <c r="BM82" i="22"/>
  <c r="BL112" i="22"/>
  <c r="BM121" i="19"/>
  <c r="BM86" i="19"/>
  <c r="BM77" i="19"/>
  <c r="BM93" i="19"/>
  <c r="BM47" i="22"/>
  <c r="BM36" i="19"/>
  <c r="BM28" i="22"/>
  <c r="BM113" i="22"/>
  <c r="BL93" i="22"/>
  <c r="BL28" i="22"/>
  <c r="BN76" i="22"/>
  <c r="BM34" i="22"/>
  <c r="BN107" i="22"/>
  <c r="BM55" i="22"/>
  <c r="BN71" i="22"/>
  <c r="BL40" i="22"/>
  <c r="BJ59" i="25"/>
  <c r="BJ68" i="25"/>
  <c r="BN87" i="22"/>
  <c r="BN45" i="22"/>
  <c r="BL87" i="22"/>
  <c r="BN77" i="22"/>
  <c r="BM71" i="22"/>
  <c r="BL32" i="19"/>
  <c r="BM35" i="19"/>
  <c r="BM106" i="22"/>
  <c r="BN118" i="22"/>
  <c r="BM104" i="22"/>
  <c r="BM81" i="22"/>
  <c r="BN36" i="22"/>
  <c r="BN89" i="22"/>
  <c r="BN60" i="22"/>
  <c r="BJ113" i="25"/>
  <c r="BM27" i="19"/>
  <c r="BN32" i="22"/>
  <c r="BM56" i="22"/>
  <c r="BJ111" i="25"/>
  <c r="BM119" i="19"/>
  <c r="BN48" i="25"/>
  <c r="BN72" i="25"/>
  <c r="BN64" i="25"/>
  <c r="BN51" i="25"/>
  <c r="BN33" i="22"/>
  <c r="BN93" i="25"/>
  <c r="BM112" i="22"/>
  <c r="BM27" i="22"/>
  <c r="BL87" i="19"/>
  <c r="BL117" i="22"/>
  <c r="BL96" i="22"/>
  <c r="BN124" i="22"/>
  <c r="BL58" i="22"/>
  <c r="BJ28" i="22"/>
  <c r="BJ70" i="22"/>
  <c r="BJ99" i="22"/>
  <c r="BJ93" i="22"/>
  <c r="BJ74" i="22"/>
  <c r="BJ39" i="22"/>
  <c r="BJ120" i="19"/>
  <c r="BJ88" i="22"/>
  <c r="BJ47" i="22"/>
  <c r="BL78" i="25"/>
  <c r="BL98" i="25"/>
  <c r="BL38" i="25"/>
  <c r="BL108" i="25"/>
  <c r="BJ119" i="19"/>
  <c r="BL56" i="25"/>
  <c r="BL47" i="25"/>
  <c r="BL46" i="25"/>
  <c r="BJ49" i="19"/>
  <c r="BJ78" i="22"/>
  <c r="BJ116" i="22"/>
  <c r="BJ37" i="19"/>
  <c r="BJ76" i="22"/>
  <c r="BJ42" i="22"/>
  <c r="BJ40" i="22"/>
  <c r="BJ87" i="22"/>
  <c r="BJ58" i="19"/>
  <c r="BJ48" i="19"/>
  <c r="BJ97" i="22"/>
  <c r="BJ98" i="22"/>
  <c r="BJ113" i="22"/>
  <c r="BJ29" i="22"/>
  <c r="BJ32" i="19"/>
  <c r="BJ36" i="22"/>
  <c r="BJ51" i="22"/>
  <c r="BJ86" i="22"/>
  <c r="BJ58" i="22"/>
  <c r="BJ46" i="22"/>
  <c r="BJ108" i="22"/>
  <c r="BL110" i="25"/>
  <c r="BJ83" i="19"/>
  <c r="BJ41" i="19"/>
  <c r="BL89" i="25"/>
  <c r="BL50" i="25"/>
  <c r="BL69" i="25"/>
  <c r="BL30" i="25"/>
  <c r="BL27" i="25"/>
  <c r="BL115" i="25"/>
  <c r="BJ89" i="19"/>
  <c r="BJ52" i="22"/>
  <c r="BJ64" i="22"/>
  <c r="BJ122" i="22"/>
  <c r="BJ123" i="22"/>
  <c r="BJ30" i="22"/>
  <c r="BJ33" i="22"/>
  <c r="BJ118" i="22"/>
  <c r="BJ68" i="22"/>
  <c r="BL31" i="25"/>
  <c r="BL116" i="25"/>
  <c r="BJ74" i="19"/>
  <c r="BJ98" i="19"/>
  <c r="BL112" i="25"/>
  <c r="BL76" i="25"/>
  <c r="BJ56" i="22"/>
  <c r="BL54" i="25"/>
  <c r="BN97" i="19"/>
  <c r="V92" i="17"/>
  <c r="BN118" i="19"/>
  <c r="BM62" i="22"/>
  <c r="BM31" i="22"/>
  <c r="BM84" i="22"/>
  <c r="BN53" i="22"/>
  <c r="BN27" i="22"/>
  <c r="BM64" i="22"/>
  <c r="BM75" i="22"/>
  <c r="BM40" i="22"/>
  <c r="BM22" i="22"/>
  <c r="BN67" i="22"/>
  <c r="BL50" i="22"/>
  <c r="BL123" i="22"/>
  <c r="BN94" i="22"/>
  <c r="BL49" i="22"/>
  <c r="BN22" i="22"/>
  <c r="BL107" i="22"/>
  <c r="BL44" i="22"/>
  <c r="BN83" i="22"/>
  <c r="BN49" i="22"/>
  <c r="BN62" i="19"/>
  <c r="BM90" i="22"/>
  <c r="BN100" i="19"/>
  <c r="BM69" i="22"/>
  <c r="BL88" i="22"/>
  <c r="BN82" i="22"/>
  <c r="BN105" i="22"/>
  <c r="BM85" i="22"/>
  <c r="BM122" i="22"/>
  <c r="BM120" i="22"/>
  <c r="BM91" i="22"/>
  <c r="BM48" i="22"/>
  <c r="AI103" i="17"/>
  <c r="BL78" i="22"/>
  <c r="BL31" i="22"/>
  <c r="BL114" i="22"/>
  <c r="BL102" i="22"/>
  <c r="BL103" i="22"/>
  <c r="BN114" i="22"/>
  <c r="BM107" i="22"/>
  <c r="BL57" i="22"/>
  <c r="BL66" i="22"/>
  <c r="BN81" i="22"/>
  <c r="BN40" i="22"/>
  <c r="BN65" i="22"/>
  <c r="BM65" i="19"/>
  <c r="BM100" i="22"/>
  <c r="BM52" i="22"/>
  <c r="BM35" i="22"/>
  <c r="BM67" i="22"/>
  <c r="BN75" i="19"/>
  <c r="BM73" i="22"/>
  <c r="BL79" i="22"/>
  <c r="BN79" i="22"/>
  <c r="BN35" i="22"/>
  <c r="BM89" i="22"/>
  <c r="BM61" i="22"/>
  <c r="BM86" i="22"/>
  <c r="BM77" i="22"/>
  <c r="BM66" i="22"/>
  <c r="BL110" i="22"/>
  <c r="BL36" i="22"/>
  <c r="BL76" i="22"/>
  <c r="BL34" i="22"/>
  <c r="BN66" i="22"/>
  <c r="BL115" i="22"/>
  <c r="BL98" i="22"/>
  <c r="BL121" i="22"/>
  <c r="BM98" i="22"/>
  <c r="BN47" i="22"/>
  <c r="BN91" i="22"/>
  <c r="BM68" i="22"/>
  <c r="BM63" i="22"/>
  <c r="BN114" i="19"/>
  <c r="BM94" i="22"/>
  <c r="BL74" i="22"/>
  <c r="BN68" i="22"/>
  <c r="BN41" i="22"/>
  <c r="BN78" i="22"/>
  <c r="BM44" i="22"/>
  <c r="BM83" i="22"/>
  <c r="BM117" i="22"/>
  <c r="BM30" i="22"/>
  <c r="BL105" i="22"/>
  <c r="BN57" i="22"/>
  <c r="BL67" i="22"/>
  <c r="BL26" i="22"/>
  <c r="BL77" i="22"/>
  <c r="BN125" i="22"/>
  <c r="BN43" i="22"/>
  <c r="BL101" i="22"/>
  <c r="BL89" i="22"/>
  <c r="BM110" i="22"/>
  <c r="BM92" i="22"/>
  <c r="BN80" i="22"/>
  <c r="BN59" i="22"/>
  <c r="BM45" i="22"/>
  <c r="BM76" i="22"/>
  <c r="BN53" i="19"/>
  <c r="BL71" i="22"/>
  <c r="BL62" i="22"/>
  <c r="BM41" i="22"/>
  <c r="BN120" i="22"/>
  <c r="BN34" i="22"/>
  <c r="BN38" i="22"/>
  <c r="BM37" i="22"/>
  <c r="BM46" i="22"/>
  <c r="BM53" i="22"/>
  <c r="BM105" i="22"/>
  <c r="BL55" i="22"/>
  <c r="BN31" i="22"/>
  <c r="BL29" i="22"/>
  <c r="BL84" i="22"/>
  <c r="BN119" i="22"/>
  <c r="BM43" i="19"/>
  <c r="BL63" i="22"/>
  <c r="BN88" i="19"/>
  <c r="BM59" i="19"/>
  <c r="BM101" i="19"/>
  <c r="BN56" i="22"/>
  <c r="BN109" i="22"/>
  <c r="BN74" i="22"/>
  <c r="BM103" i="22"/>
  <c r="BM102" i="22"/>
  <c r="BL64" i="22"/>
  <c r="BM36" i="22"/>
  <c r="BN94" i="19"/>
  <c r="BL42" i="22"/>
  <c r="BL118" i="22"/>
  <c r="BN108" i="19"/>
  <c r="BN42" i="22"/>
  <c r="BN48" i="22"/>
  <c r="BN72" i="22"/>
  <c r="BM38" i="22"/>
  <c r="BM97" i="22"/>
  <c r="BM111" i="22"/>
  <c r="BM79" i="22"/>
  <c r="BM59" i="22"/>
  <c r="BL39" i="22"/>
  <c r="BL124" i="22"/>
  <c r="BL119" i="22"/>
  <c r="BL30" i="22"/>
  <c r="BM57" i="22"/>
  <c r="BN32" i="19"/>
  <c r="BM57" i="19"/>
  <c r="BN90" i="19"/>
  <c r="BN29" i="19"/>
  <c r="BJ40" i="19"/>
  <c r="BJ63" i="19"/>
  <c r="BJ46" i="19"/>
  <c r="BJ66" i="19"/>
  <c r="BJ42" i="19"/>
  <c r="BM46" i="19"/>
  <c r="BM107" i="19"/>
  <c r="AT38" i="17"/>
  <c r="AU38" i="17" s="1"/>
  <c r="BN27" i="19"/>
  <c r="BN89" i="19"/>
  <c r="AS27" i="17"/>
  <c r="BN63" i="19"/>
  <c r="BJ93" i="19"/>
  <c r="BJ36" i="19"/>
  <c r="Q94" i="17"/>
  <c r="BJ80" i="19"/>
  <c r="BN106" i="19"/>
  <c r="BN67" i="19"/>
  <c r="BM98" i="19"/>
  <c r="BM31" i="19"/>
  <c r="BJ107" i="19"/>
  <c r="BM81" i="19"/>
  <c r="BM62" i="19"/>
  <c r="BN36" i="19"/>
  <c r="AS26" i="17"/>
  <c r="BM113" i="19"/>
  <c r="BM124" i="19"/>
  <c r="BM109" i="19"/>
  <c r="Q98" i="17"/>
  <c r="V89" i="17"/>
  <c r="AT41" i="17"/>
  <c r="AU41" i="17" s="1"/>
  <c r="BN64" i="19"/>
  <c r="BM99" i="19"/>
  <c r="BM83" i="19"/>
  <c r="AO40" i="17"/>
  <c r="AP40" i="17" s="1"/>
  <c r="BL72" i="25"/>
  <c r="BJ84" i="19"/>
  <c r="BM42" i="19"/>
  <c r="BN44" i="19"/>
  <c r="AF22" i="17"/>
  <c r="BN124" i="19"/>
  <c r="BM74" i="19"/>
  <c r="BM78" i="19"/>
  <c r="BM41" i="19"/>
  <c r="BN37" i="19"/>
  <c r="BM58" i="19"/>
  <c r="BN31" i="19"/>
  <c r="BJ105" i="19"/>
  <c r="BJ111" i="19"/>
  <c r="BN50" i="19"/>
  <c r="BM66" i="19"/>
  <c r="BM30" i="19"/>
  <c r="AT40" i="17"/>
  <c r="AU40" i="17" s="1"/>
  <c r="M21" i="17"/>
  <c r="K83" i="21"/>
  <c r="V94" i="17" s="1"/>
  <c r="BL41" i="25"/>
  <c r="BL87" i="25"/>
  <c r="BL36" i="25"/>
  <c r="BL90" i="25"/>
  <c r="BJ82" i="19"/>
  <c r="BL59" i="25"/>
  <c r="BL40" i="25"/>
  <c r="BJ109" i="19"/>
  <c r="BL80" i="25"/>
  <c r="BL61" i="25"/>
  <c r="AI71" i="17"/>
  <c r="BN58" i="19"/>
  <c r="BM125" i="19"/>
  <c r="BM76" i="19"/>
  <c r="AO46" i="17"/>
  <c r="AP46" i="17" s="1"/>
  <c r="BL28" i="25"/>
  <c r="BN78" i="19"/>
  <c r="BM22" i="19"/>
  <c r="AS71" i="17"/>
  <c r="AJ46" i="17"/>
  <c r="AK46" i="17" s="1"/>
  <c r="BM94" i="19"/>
  <c r="BN102" i="19"/>
  <c r="BN54" i="19"/>
  <c r="AO39" i="17"/>
  <c r="AP39" i="17" s="1"/>
  <c r="BN85" i="25"/>
  <c r="AS25" i="17"/>
  <c r="AN71" i="17"/>
  <c r="BM61" i="19"/>
  <c r="AT43" i="17"/>
  <c r="AU43" i="17" s="1"/>
  <c r="X43" i="17" s="1"/>
  <c r="BN46" i="19"/>
  <c r="BN88" i="25"/>
  <c r="BL40" i="19"/>
  <c r="AS29" i="17"/>
  <c r="BN122" i="25"/>
  <c r="E78" i="21"/>
  <c r="AO35" i="17"/>
  <c r="AP35" i="17" s="1"/>
  <c r="AP7" i="17"/>
  <c r="BM22" i="25"/>
  <c r="AO33" i="17"/>
  <c r="AP33" i="17" s="1"/>
  <c r="S33" i="17" s="1"/>
  <c r="BM108" i="25"/>
  <c r="BM42" i="25"/>
  <c r="BM63" i="25"/>
  <c r="BN74" i="25"/>
  <c r="BN57" i="25"/>
  <c r="BN103" i="25"/>
  <c r="BN114" i="25"/>
  <c r="BN31" i="25"/>
  <c r="BN55" i="25"/>
  <c r="BI86" i="19"/>
  <c r="BI75" i="19"/>
  <c r="BI115" i="19"/>
  <c r="AO49" i="17"/>
  <c r="AP49" i="17" s="1"/>
  <c r="BN53" i="25"/>
  <c r="BN43" i="25"/>
  <c r="BL123" i="19"/>
  <c r="BL50" i="19"/>
  <c r="BI97" i="19"/>
  <c r="BI69" i="19"/>
  <c r="BI76" i="19"/>
  <c r="BM44" i="25"/>
  <c r="BI89" i="19"/>
  <c r="BL46" i="19"/>
  <c r="BL111" i="19"/>
  <c r="BL72" i="19"/>
  <c r="BL80" i="19"/>
  <c r="BL36" i="19"/>
  <c r="BL34" i="19"/>
  <c r="BL103" i="19"/>
  <c r="BL57" i="19"/>
  <c r="BN40" i="25"/>
  <c r="BM94" i="25"/>
  <c r="BM74" i="25"/>
  <c r="BM88" i="25"/>
  <c r="BM124" i="25"/>
  <c r="AT31" i="17"/>
  <c r="AU31" i="17" s="1"/>
  <c r="BM71" i="25"/>
  <c r="BM91" i="25"/>
  <c r="BM69" i="25"/>
  <c r="BM118" i="25"/>
  <c r="BM123" i="25"/>
  <c r="BM39" i="25"/>
  <c r="BM66" i="25"/>
  <c r="BM112" i="25"/>
  <c r="BM75" i="25"/>
  <c r="BM104" i="25"/>
  <c r="BM93" i="25"/>
  <c r="BM37" i="25"/>
  <c r="BM59" i="25"/>
  <c r="BM70" i="25"/>
  <c r="BN82" i="25"/>
  <c r="BN120" i="25"/>
  <c r="BN109" i="25"/>
  <c r="BN105" i="25"/>
  <c r="BN47" i="25"/>
  <c r="AT51" i="17"/>
  <c r="AU51" i="17" s="1"/>
  <c r="BL76" i="19"/>
  <c r="BN89" i="25"/>
  <c r="BI72" i="19"/>
  <c r="BI33" i="19"/>
  <c r="BI51" i="19"/>
  <c r="BI26" i="19"/>
  <c r="BM116" i="25"/>
  <c r="AJ35" i="17"/>
  <c r="AK35" i="17" s="1"/>
  <c r="AO43" i="17"/>
  <c r="AP43" i="17" s="1"/>
  <c r="S43" i="17" s="1"/>
  <c r="BN81" i="25"/>
  <c r="BN97" i="25"/>
  <c r="BL27" i="19"/>
  <c r="BL94" i="19"/>
  <c r="BI67" i="19"/>
  <c r="BI114" i="19"/>
  <c r="AT35" i="17"/>
  <c r="AU35" i="17" s="1"/>
  <c r="BL110" i="19"/>
  <c r="BL58" i="19"/>
  <c r="BL113" i="19"/>
  <c r="BL70" i="19"/>
  <c r="BL96" i="19"/>
  <c r="BL118" i="19"/>
  <c r="BL49" i="19"/>
  <c r="BL37" i="19"/>
  <c r="BL92" i="19"/>
  <c r="BN84" i="25"/>
  <c r="AI26" i="17"/>
  <c r="AT46" i="17"/>
  <c r="AU46" i="17" s="1"/>
  <c r="X46" i="17" s="1"/>
  <c r="BM115" i="25"/>
  <c r="BM76" i="25"/>
  <c r="BM65" i="25"/>
  <c r="BM73" i="25"/>
  <c r="BM41" i="25"/>
  <c r="BM31" i="25"/>
  <c r="BM113" i="25"/>
  <c r="BM49" i="25"/>
  <c r="BM84" i="25"/>
  <c r="BN68" i="25"/>
  <c r="BN65" i="25"/>
  <c r="BN94" i="25"/>
  <c r="BN42" i="25"/>
  <c r="BL52" i="19"/>
  <c r="BM107" i="25"/>
  <c r="BI41" i="19"/>
  <c r="BI107" i="19"/>
  <c r="BI119" i="19"/>
  <c r="BI96" i="19"/>
  <c r="BM38" i="25"/>
  <c r="BN77" i="25"/>
  <c r="AK7" i="17"/>
  <c r="AO48" i="17"/>
  <c r="AP48" i="17" s="1"/>
  <c r="BN87" i="25"/>
  <c r="BN36" i="25"/>
  <c r="BL122" i="19"/>
  <c r="BL108" i="19"/>
  <c r="AJ36" i="17"/>
  <c r="AK36" i="17" s="1"/>
  <c r="BI48" i="19"/>
  <c r="BI30" i="19"/>
  <c r="AU7" i="17"/>
  <c r="BL74" i="19"/>
  <c r="BL41" i="19"/>
  <c r="BL105" i="19"/>
  <c r="BL117" i="19"/>
  <c r="BL97" i="19"/>
  <c r="BL66" i="19"/>
  <c r="BN32" i="25"/>
  <c r="BN58" i="25"/>
  <c r="BN99" i="25"/>
  <c r="AO41" i="17"/>
  <c r="AP41" i="17" s="1"/>
  <c r="AT39" i="17"/>
  <c r="AU39" i="17" s="1"/>
  <c r="BM29" i="25"/>
  <c r="BL35" i="19"/>
  <c r="BI49" i="19"/>
  <c r="BI71" i="19"/>
  <c r="AI29" i="17"/>
  <c r="BI120" i="19"/>
  <c r="AJ38" i="17"/>
  <c r="AK38" i="17" s="1"/>
  <c r="BI55" i="19"/>
  <c r="AJ41" i="17"/>
  <c r="AK41" i="17" s="1"/>
  <c r="BI73" i="19"/>
  <c r="N92" i="16"/>
  <c r="N95" i="16" s="1"/>
  <c r="BL61" i="19"/>
  <c r="BI39" i="19"/>
  <c r="AT42" i="17"/>
  <c r="AU42" i="17" s="1"/>
  <c r="BL101" i="19"/>
  <c r="BN104" i="25"/>
  <c r="AT32" i="17"/>
  <c r="AU32" i="17" s="1"/>
  <c r="X32" i="17" s="1"/>
  <c r="AT50" i="17"/>
  <c r="AU50" i="17" s="1"/>
  <c r="BM52" i="25"/>
  <c r="BM35" i="25"/>
  <c r="BM45" i="25"/>
  <c r="BM60" i="25"/>
  <c r="BM67" i="25"/>
  <c r="BM119" i="25"/>
  <c r="BM102" i="25"/>
  <c r="BN49" i="25"/>
  <c r="BN60" i="25"/>
  <c r="BL55" i="19"/>
  <c r="BL67" i="19"/>
  <c r="BI77" i="19"/>
  <c r="BI27" i="19"/>
  <c r="BI63" i="19"/>
  <c r="AK27" i="17"/>
  <c r="BI123" i="19"/>
  <c r="BI118" i="19"/>
  <c r="BN102" i="25"/>
  <c r="AJ39" i="17"/>
  <c r="AK39" i="17" s="1"/>
  <c r="AJ32" i="17"/>
  <c r="AK32" i="17" s="1"/>
  <c r="AO37" i="17"/>
  <c r="AP37" i="17" s="1"/>
  <c r="S37" i="17" s="1"/>
  <c r="BN38" i="25"/>
  <c r="BN73" i="25"/>
  <c r="AT34" i="17"/>
  <c r="AU34" i="17" s="1"/>
  <c r="AI27" i="17"/>
  <c r="BI110" i="19"/>
  <c r="BL112" i="19"/>
  <c r="BL71" i="19"/>
  <c r="BL63" i="19"/>
  <c r="BL26" i="19"/>
  <c r="BL89" i="19"/>
  <c r="BL77" i="19"/>
  <c r="BL107" i="19"/>
  <c r="BN78" i="25"/>
  <c r="AO47" i="17"/>
  <c r="AP47" i="17" s="1"/>
  <c r="BN34" i="25"/>
  <c r="AT47" i="17"/>
  <c r="AU47" i="17" s="1"/>
  <c r="BM33" i="25"/>
  <c r="BM79" i="25"/>
  <c r="BM32" i="25"/>
  <c r="BM61" i="25"/>
  <c r="H92" i="16"/>
  <c r="H95" i="16" s="1"/>
  <c r="AO51" i="17"/>
  <c r="AP51" i="17" s="1"/>
  <c r="BI117" i="19"/>
  <c r="BI32" i="19"/>
  <c r="BI44" i="19"/>
  <c r="BM96" i="25"/>
  <c r="AO36" i="17"/>
  <c r="AP36" i="17" s="1"/>
  <c r="S36" i="17" s="1"/>
  <c r="BI82" i="19"/>
  <c r="BL47" i="19"/>
  <c r="BL84" i="19"/>
  <c r="BL88" i="19"/>
  <c r="AT48" i="17"/>
  <c r="AU48" i="17" s="1"/>
  <c r="BM100" i="25"/>
  <c r="BM47" i="25"/>
  <c r="BM98" i="25"/>
  <c r="BM86" i="25"/>
  <c r="BM50" i="25"/>
  <c r="BN26" i="25"/>
  <c r="BN115" i="25"/>
  <c r="BN22" i="25"/>
  <c r="BN86" i="25"/>
  <c r="BL93" i="19"/>
  <c r="BI83" i="19"/>
  <c r="BI122" i="19"/>
  <c r="AK25" i="17"/>
  <c r="BN63" i="25"/>
  <c r="BI28" i="19"/>
  <c r="BI111" i="19"/>
  <c r="BI92" i="19"/>
  <c r="AO31" i="17"/>
  <c r="AP31" i="17" s="1"/>
  <c r="BN119" i="25"/>
  <c r="BN79" i="25"/>
  <c r="BL83" i="19"/>
  <c r="BI100" i="19"/>
  <c r="AT36" i="17"/>
  <c r="AU36" i="17" s="1"/>
  <c r="X36" i="17" s="1"/>
  <c r="AI28" i="17"/>
  <c r="BI104" i="19"/>
  <c r="BL95" i="19"/>
  <c r="AK22" i="17"/>
  <c r="BL54" i="19"/>
  <c r="BL28" i="19"/>
  <c r="BL116" i="19"/>
  <c r="BL43" i="19"/>
  <c r="BI46" i="19"/>
  <c r="BI81" i="19"/>
  <c r="BN76" i="25"/>
  <c r="AO32" i="17"/>
  <c r="AP32" i="17" s="1"/>
  <c r="BJ96" i="19"/>
  <c r="BJ122" i="19"/>
  <c r="BJ39" i="19"/>
  <c r="BJ44" i="19"/>
  <c r="BJ88" i="19"/>
  <c r="BJ69" i="19"/>
  <c r="AN25" i="17"/>
  <c r="BJ29" i="19"/>
  <c r="AN27" i="17"/>
  <c r="BJ92" i="19"/>
  <c r="BJ118" i="19"/>
  <c r="BJ61" i="19"/>
  <c r="BJ71" i="19"/>
  <c r="BJ86" i="19"/>
  <c r="BJ57" i="19"/>
  <c r="BJ62" i="19"/>
  <c r="BJ121" i="19"/>
  <c r="BJ117" i="19"/>
  <c r="BJ28" i="19"/>
  <c r="BJ95" i="19"/>
  <c r="BJ31" i="19"/>
  <c r="BJ102" i="19"/>
  <c r="BJ76" i="19"/>
  <c r="BJ34" i="19"/>
  <c r="BJ110" i="19"/>
  <c r="BJ123" i="19"/>
  <c r="BJ113" i="19"/>
  <c r="BN65" i="19"/>
  <c r="BN121" i="19"/>
  <c r="BN28" i="19"/>
  <c r="BM115" i="19"/>
  <c r="BN71" i="19"/>
  <c r="AN28" i="17"/>
  <c r="BN45" i="19"/>
  <c r="BN22" i="19"/>
  <c r="BM106" i="19"/>
  <c r="BN113" i="19"/>
  <c r="BN56" i="19"/>
  <c r="BN66" i="19"/>
  <c r="BN33" i="19"/>
  <c r="BM60" i="19"/>
  <c r="BM75" i="19"/>
  <c r="BM26" i="19"/>
  <c r="BM95" i="19"/>
  <c r="BM100" i="19"/>
  <c r="BM102" i="19"/>
  <c r="BN57" i="19"/>
  <c r="BM72" i="19"/>
  <c r="BN92" i="19"/>
  <c r="BM67" i="19"/>
  <c r="AN29" i="17"/>
  <c r="BM32" i="19"/>
  <c r="BN40" i="19"/>
  <c r="BN35" i="19"/>
  <c r="BN60" i="19"/>
  <c r="BN55" i="19"/>
  <c r="BN120" i="19"/>
  <c r="BN82" i="19"/>
  <c r="BM90" i="19"/>
  <c r="BM48" i="19"/>
  <c r="BM34" i="19"/>
  <c r="BN43" i="19"/>
  <c r="BM64" i="19"/>
  <c r="BN26" i="19"/>
  <c r="BN91" i="19"/>
  <c r="BM28" i="19"/>
  <c r="BN72" i="19"/>
  <c r="BJ108" i="19"/>
  <c r="BJ116" i="19"/>
  <c r="BJ73" i="19"/>
  <c r="BJ64" i="19"/>
  <c r="BN99" i="19"/>
  <c r="BM103" i="19"/>
  <c r="BN73" i="19"/>
  <c r="BM118" i="19"/>
  <c r="BN52" i="19"/>
  <c r="BM33" i="19"/>
  <c r="BM123" i="19"/>
  <c r="BM91" i="19"/>
  <c r="BN98" i="19"/>
  <c r="BN85" i="19"/>
  <c r="BN38" i="19"/>
  <c r="BM70" i="19"/>
  <c r="BM50" i="19"/>
  <c r="BN86" i="19"/>
  <c r="BN125" i="19"/>
  <c r="BM44" i="19"/>
  <c r="BN79" i="19"/>
  <c r="BN117" i="19"/>
  <c r="BN80" i="19"/>
  <c r="BM39" i="19"/>
  <c r="BM53" i="19"/>
  <c r="BM52" i="19"/>
  <c r="BN95" i="19"/>
  <c r="BN81" i="19"/>
  <c r="E79" i="21"/>
  <c r="E83" i="21" s="1"/>
  <c r="BN110" i="19"/>
  <c r="BN119" i="19"/>
  <c r="BM47" i="19"/>
  <c r="BN109" i="19"/>
  <c r="AP27" i="17"/>
  <c r="BM87" i="19"/>
  <c r="BN93" i="19"/>
  <c r="BN112" i="19"/>
  <c r="BM40" i="19"/>
  <c r="BN74" i="19"/>
  <c r="BM55" i="19"/>
  <c r="E43" i="21"/>
  <c r="BJ81" i="19"/>
  <c r="BM85" i="19"/>
  <c r="BM88" i="19"/>
  <c r="BJ38" i="19"/>
  <c r="BJ91" i="19"/>
  <c r="BJ56" i="19"/>
  <c r="BJ30" i="19"/>
  <c r="BJ43" i="19"/>
  <c r="BJ47" i="19"/>
  <c r="BM97" i="19"/>
  <c r="BN42" i="19"/>
  <c r="BN41" i="19"/>
  <c r="BN104" i="19"/>
  <c r="BN84" i="19"/>
  <c r="BN96" i="19"/>
  <c r="BM38" i="19"/>
  <c r="BM69" i="19"/>
  <c r="BM110" i="19"/>
  <c r="AP28" i="17"/>
  <c r="BM84" i="19"/>
  <c r="BN69" i="19"/>
  <c r="BM89" i="19"/>
  <c r="BN111" i="19"/>
  <c r="BM80" i="19"/>
  <c r="AP29" i="17"/>
  <c r="S29" i="17" s="1"/>
  <c r="G83" i="21"/>
  <c r="BN48" i="19"/>
  <c r="BN76" i="19"/>
  <c r="BM82" i="19"/>
  <c r="BN39" i="19"/>
  <c r="BJ112" i="19"/>
  <c r="BJ68" i="19"/>
  <c r="BJ26" i="19"/>
  <c r="BM104" i="19"/>
  <c r="BN83" i="19"/>
  <c r="BN68" i="19"/>
  <c r="BN47" i="19"/>
  <c r="BN51" i="19"/>
  <c r="BN49" i="19"/>
  <c r="BM122" i="19"/>
  <c r="BM111" i="19"/>
  <c r="AP25" i="17"/>
  <c r="BN123" i="19"/>
  <c r="BN59" i="19"/>
  <c r="BM63" i="19"/>
  <c r="BN101" i="19"/>
  <c r="BN115" i="19"/>
  <c r="BM71" i="19"/>
  <c r="BM73" i="19"/>
  <c r="BN103" i="19"/>
  <c r="BJ97" i="19"/>
  <c r="BM56" i="19"/>
  <c r="BM45" i="19"/>
  <c r="BM120" i="19"/>
  <c r="BM51" i="19"/>
  <c r="BM108" i="19"/>
  <c r="BM117" i="19"/>
  <c r="BM68" i="19"/>
  <c r="BJ35" i="19"/>
  <c r="BJ87" i="19"/>
  <c r="BJ70" i="19"/>
  <c r="BJ79" i="19"/>
  <c r="BJ52" i="19"/>
  <c r="BJ99" i="19"/>
  <c r="BM114" i="19"/>
  <c r="BN70" i="19"/>
  <c r="BN34" i="19"/>
  <c r="BN77" i="19"/>
  <c r="BN87" i="19"/>
  <c r="BM37" i="19"/>
  <c r="BM105" i="19"/>
  <c r="BM54" i="19"/>
  <c r="BM29" i="19"/>
  <c r="BN107" i="19"/>
  <c r="BN105" i="19"/>
  <c r="BM79" i="19"/>
  <c r="BN122" i="19"/>
  <c r="BN61" i="19"/>
  <c r="BM116" i="19"/>
  <c r="I83" i="21"/>
  <c r="I84" i="21" s="1"/>
  <c r="I88" i="21" s="1"/>
  <c r="AW67" i="25"/>
  <c r="AW58" i="25"/>
  <c r="AW41" i="25"/>
  <c r="AW120" i="25"/>
  <c r="AW66" i="25"/>
  <c r="AW109" i="25"/>
  <c r="AW111" i="25"/>
  <c r="AW64" i="25"/>
  <c r="AW94" i="25"/>
  <c r="AW27" i="25"/>
  <c r="F219" i="21"/>
  <c r="G219" i="21" s="1"/>
  <c r="H219" i="21" s="1"/>
  <c r="I219" i="21" s="1"/>
  <c r="J219" i="21" s="1"/>
  <c r="K219" i="21" s="1"/>
  <c r="L219" i="21" s="1"/>
  <c r="M219" i="21" s="1"/>
  <c r="N219" i="21" s="1"/>
  <c r="O219" i="21" s="1"/>
  <c r="P219" i="21" s="1"/>
  <c r="Q219" i="21" s="1"/>
  <c r="R219" i="21" s="1"/>
  <c r="S219" i="21" s="1"/>
  <c r="T219" i="21" s="1"/>
  <c r="E263" i="21"/>
  <c r="E226" i="21"/>
  <c r="F218" i="21"/>
  <c r="G218" i="21" s="1"/>
  <c r="G226" i="21" s="1"/>
  <c r="AW36" i="25"/>
  <c r="AW73" i="25"/>
  <c r="AW123" i="25"/>
  <c r="AW52" i="25"/>
  <c r="AW88" i="25"/>
  <c r="AW121" i="25"/>
  <c r="AW99" i="25"/>
  <c r="AW107" i="25"/>
  <c r="AW78" i="25"/>
  <c r="AW110" i="25"/>
  <c r="AW48" i="25"/>
  <c r="AW28" i="25"/>
  <c r="AW35" i="22"/>
  <c r="AW89" i="25"/>
  <c r="AW40" i="25"/>
  <c r="AW118" i="25"/>
  <c r="AW49" i="25"/>
  <c r="AW62" i="25"/>
  <c r="AW39" i="25"/>
  <c r="AW68" i="25"/>
  <c r="AW112" i="25"/>
  <c r="AW93" i="25"/>
  <c r="AW86" i="25"/>
  <c r="AW119" i="25"/>
  <c r="AW76" i="25"/>
  <c r="AW42" i="25"/>
  <c r="AW53" i="25"/>
  <c r="AW68" i="22"/>
  <c r="AW111" i="22"/>
  <c r="AW53" i="22"/>
  <c r="F170" i="21"/>
  <c r="G170" i="21" s="1"/>
  <c r="G178" i="21" s="1"/>
  <c r="E171" i="21"/>
  <c r="E172" i="21" s="1"/>
  <c r="F172" i="21" s="1"/>
  <c r="G172" i="21" s="1"/>
  <c r="H172" i="21" s="1"/>
  <c r="I172" i="21" s="1"/>
  <c r="J172" i="21" s="1"/>
  <c r="K172" i="21" s="1"/>
  <c r="L172" i="21" s="1"/>
  <c r="M172" i="21" s="1"/>
  <c r="N172" i="21" s="1"/>
  <c r="O172" i="21" s="1"/>
  <c r="P172" i="21" s="1"/>
  <c r="Q172" i="21" s="1"/>
  <c r="R172" i="21" s="1"/>
  <c r="S172" i="21" s="1"/>
  <c r="T172" i="21" s="1"/>
  <c r="AW110" i="22"/>
  <c r="AW72" i="22"/>
  <c r="AW64" i="24"/>
  <c r="AW82" i="25"/>
  <c r="AW84" i="25"/>
  <c r="AW96" i="22"/>
  <c r="AW26" i="25"/>
  <c r="AW104" i="22"/>
  <c r="AW122" i="25"/>
  <c r="AW38" i="25"/>
  <c r="AW31" i="25"/>
  <c r="AW72" i="25"/>
  <c r="AW102" i="25"/>
  <c r="AW81" i="25"/>
  <c r="AW91" i="25"/>
  <c r="AW95" i="25"/>
  <c r="AW47" i="25"/>
  <c r="AW36" i="22"/>
  <c r="AW90" i="22"/>
  <c r="AW99" i="22"/>
  <c r="AW114" i="25"/>
  <c r="AW59" i="25"/>
  <c r="AW108" i="25"/>
  <c r="AW57" i="25"/>
  <c r="AW63" i="25"/>
  <c r="AW82" i="22"/>
  <c r="AW27" i="22"/>
  <c r="AW70" i="25"/>
  <c r="AW113" i="25"/>
  <c r="AW33" i="25"/>
  <c r="AW37" i="25"/>
  <c r="AW96" i="25"/>
  <c r="AW117" i="25"/>
  <c r="AW92" i="25"/>
  <c r="AW123" i="22"/>
  <c r="AW103" i="25"/>
  <c r="AW69" i="25"/>
  <c r="AW60" i="25"/>
  <c r="AW34" i="25"/>
  <c r="AW35" i="25"/>
  <c r="AW57" i="24"/>
  <c r="AW49" i="22"/>
  <c r="AW77" i="25"/>
  <c r="AW56" i="25"/>
  <c r="AW30" i="25"/>
  <c r="AW83" i="25"/>
  <c r="AW51" i="25"/>
  <c r="AW54" i="25"/>
  <c r="AW44" i="25"/>
  <c r="AW124" i="25"/>
  <c r="AW87" i="25"/>
  <c r="AW104" i="25"/>
  <c r="AW90" i="25"/>
  <c r="AW119" i="22"/>
  <c r="AW54" i="22"/>
  <c r="AW31" i="22"/>
  <c r="AW63" i="22"/>
  <c r="BP91" i="24"/>
  <c r="AW95" i="22"/>
  <c r="AW29" i="22"/>
  <c r="AW71" i="22"/>
  <c r="AW107" i="22"/>
  <c r="AW92" i="22"/>
  <c r="AW31" i="24"/>
  <c r="AW81" i="22"/>
  <c r="AW47" i="22"/>
  <c r="AW74" i="22"/>
  <c r="AW41" i="22"/>
  <c r="AW33" i="22"/>
  <c r="AW39" i="19"/>
  <c r="AW108" i="22"/>
  <c r="AW49" i="19"/>
  <c r="Q20" i="21"/>
  <c r="L20" i="21" s="1"/>
  <c r="AW30" i="22"/>
  <c r="AW54" i="19"/>
  <c r="AW56" i="22"/>
  <c r="AW39" i="22"/>
  <c r="AW113" i="22"/>
  <c r="AW26" i="22"/>
  <c r="AW52" i="22"/>
  <c r="AW28" i="19"/>
  <c r="Q18" i="21"/>
  <c r="F18" i="21" s="1"/>
  <c r="AW121" i="24"/>
  <c r="AW37" i="22"/>
  <c r="AW104" i="24"/>
  <c r="AW62" i="22"/>
  <c r="AW89" i="22"/>
  <c r="AW117" i="22"/>
  <c r="AW99" i="24"/>
  <c r="AW67" i="19"/>
  <c r="AW121" i="22"/>
  <c r="AW102" i="19"/>
  <c r="AW74" i="24"/>
  <c r="BP72" i="24"/>
  <c r="AW108" i="24"/>
  <c r="AW93" i="24"/>
  <c r="BP81" i="24"/>
  <c r="AW87" i="24"/>
  <c r="AW124" i="24"/>
  <c r="AW60" i="24"/>
  <c r="AW107" i="24"/>
  <c r="AW32" i="24"/>
  <c r="AW66" i="19"/>
  <c r="AW84" i="24"/>
  <c r="BP109" i="24"/>
  <c r="AW92" i="19"/>
  <c r="AW58" i="22"/>
  <c r="AW83" i="22"/>
  <c r="AW76" i="19"/>
  <c r="AW88" i="22"/>
  <c r="AW80" i="22"/>
  <c r="AW108" i="19"/>
  <c r="BP102" i="24"/>
  <c r="AW67" i="24"/>
  <c r="AW59" i="19"/>
  <c r="BP79" i="24"/>
  <c r="AW38" i="19"/>
  <c r="AW78" i="19"/>
  <c r="AW39" i="24"/>
  <c r="BP116" i="24"/>
  <c r="AW72" i="19"/>
  <c r="BP31" i="24"/>
  <c r="AW67" i="22"/>
  <c r="AW107" i="19"/>
  <c r="AW117" i="19"/>
  <c r="AW56" i="19"/>
  <c r="AW42" i="22"/>
  <c r="AW109" i="22"/>
  <c r="AW120" i="22"/>
  <c r="BP26" i="24"/>
  <c r="AW46" i="24"/>
  <c r="AW28" i="24"/>
  <c r="AW76" i="22"/>
  <c r="AW77" i="24"/>
  <c r="BP62" i="24"/>
  <c r="AW30" i="24"/>
  <c r="AW92" i="24"/>
  <c r="BP95" i="24"/>
  <c r="AW123" i="24"/>
  <c r="AW34" i="22"/>
  <c r="AW28" i="22"/>
  <c r="AW38" i="24"/>
  <c r="AW30" i="19"/>
  <c r="BP37" i="24"/>
  <c r="AW88" i="24"/>
  <c r="AW93" i="22"/>
  <c r="AW94" i="22"/>
  <c r="AW87" i="22"/>
  <c r="AW102" i="22"/>
  <c r="AW71" i="19"/>
  <c r="AW78" i="22"/>
  <c r="AW118" i="24"/>
  <c r="BP29" i="24"/>
  <c r="AW103" i="22"/>
  <c r="AW26" i="19"/>
  <c r="AW59" i="22"/>
  <c r="AW32" i="22"/>
  <c r="BP35" i="24"/>
  <c r="AW64" i="22"/>
  <c r="AW84" i="19"/>
  <c r="AW114" i="22"/>
  <c r="AW73" i="22"/>
  <c r="AW103" i="19"/>
  <c r="AW69" i="22"/>
  <c r="AW29" i="19"/>
  <c r="AW103" i="24"/>
  <c r="AW94" i="24"/>
  <c r="AW90" i="19"/>
  <c r="BP103" i="24"/>
  <c r="AW44" i="22"/>
  <c r="AW122" i="24"/>
  <c r="AW35" i="24"/>
  <c r="AW72" i="24"/>
  <c r="AW64" i="19"/>
  <c r="AW111" i="19"/>
  <c r="AW109" i="24"/>
  <c r="AW31" i="19"/>
  <c r="E210" i="21"/>
  <c r="AW95" i="19"/>
  <c r="BP110" i="24"/>
  <c r="AW111" i="24"/>
  <c r="AW47" i="19"/>
  <c r="AW42" i="19"/>
  <c r="BP71" i="24"/>
  <c r="AW48" i="19"/>
  <c r="AW99" i="19"/>
  <c r="AW51" i="22"/>
  <c r="AW68" i="19"/>
  <c r="BP68" i="24"/>
  <c r="AW82" i="24"/>
  <c r="AW62" i="24"/>
  <c r="BP99" i="24"/>
  <c r="AW114" i="24"/>
  <c r="AW71" i="24"/>
  <c r="AW118" i="22"/>
  <c r="AW89" i="19"/>
  <c r="AW81" i="19"/>
  <c r="BP120" i="24"/>
  <c r="E204" i="21"/>
  <c r="F204" i="21" s="1"/>
  <c r="G204" i="21" s="1"/>
  <c r="H204" i="21" s="1"/>
  <c r="I204" i="21" s="1"/>
  <c r="J204" i="21" s="1"/>
  <c r="K204" i="21" s="1"/>
  <c r="K127" i="21" s="1"/>
  <c r="AW96" i="19"/>
  <c r="E258" i="21"/>
  <c r="AW112" i="22"/>
  <c r="AW58" i="19"/>
  <c r="AW62" i="19"/>
  <c r="AW42" i="24"/>
  <c r="AW60" i="19"/>
  <c r="AW77" i="19"/>
  <c r="AW121" i="19"/>
  <c r="BP84" i="24"/>
  <c r="AW29" i="24"/>
  <c r="BP123" i="24"/>
  <c r="AW113" i="24"/>
  <c r="AW91" i="24"/>
  <c r="AW73" i="24"/>
  <c r="AW44" i="24"/>
  <c r="AW83" i="24"/>
  <c r="F250" i="21"/>
  <c r="AW48" i="22"/>
  <c r="AW60" i="22"/>
  <c r="AW32" i="19"/>
  <c r="AW48" i="24"/>
  <c r="AW34" i="24"/>
  <c r="AW120" i="24"/>
  <c r="AW41" i="24"/>
  <c r="BP60" i="24"/>
  <c r="BP46" i="24"/>
  <c r="AW114" i="19"/>
  <c r="AW73" i="19"/>
  <c r="AW118" i="19"/>
  <c r="AW94" i="19"/>
  <c r="AW38" i="22"/>
  <c r="AW46" i="19"/>
  <c r="AW77" i="22"/>
  <c r="AW57" i="22"/>
  <c r="AW86" i="22"/>
  <c r="AW117" i="24"/>
  <c r="AW83" i="19"/>
  <c r="AW58" i="24"/>
  <c r="AW69" i="19"/>
  <c r="BP28" i="24"/>
  <c r="BP77" i="24"/>
  <c r="BP64" i="24"/>
  <c r="AW68" i="24"/>
  <c r="BP118" i="24"/>
  <c r="AW59" i="24"/>
  <c r="AW123" i="19"/>
  <c r="AW76" i="24"/>
  <c r="BP43" i="24"/>
  <c r="AW84" i="22"/>
  <c r="AW46" i="22"/>
  <c r="AW80" i="19"/>
  <c r="BP92" i="24"/>
  <c r="AW112" i="24"/>
  <c r="AW91" i="19"/>
  <c r="AW122" i="22"/>
  <c r="BP113" i="24"/>
  <c r="AW78" i="24"/>
  <c r="AW89" i="24"/>
  <c r="BP44" i="24"/>
  <c r="AW124" i="22"/>
  <c r="AW112" i="19"/>
  <c r="AW35" i="19"/>
  <c r="AW87" i="19"/>
  <c r="AW91" i="22"/>
  <c r="AW66" i="22"/>
  <c r="AW53" i="19"/>
  <c r="F202" i="21"/>
  <c r="G202" i="21" s="1"/>
  <c r="H202" i="21" s="1"/>
  <c r="BP86" i="24"/>
  <c r="AW53" i="24"/>
  <c r="AW37" i="19"/>
  <c r="AW37" i="24"/>
  <c r="AW104" i="19"/>
  <c r="AW86" i="24"/>
  <c r="BP111" i="24"/>
  <c r="AW80" i="24"/>
  <c r="AW86" i="19"/>
  <c r="AW95" i="24"/>
  <c r="E242" i="21"/>
  <c r="F242" i="21"/>
  <c r="BP69" i="24"/>
  <c r="BP40" i="24"/>
  <c r="AW49" i="24"/>
  <c r="AW36" i="19"/>
  <c r="AW122" i="19"/>
  <c r="BP57" i="24"/>
  <c r="BP96" i="24"/>
  <c r="AW113" i="19"/>
  <c r="AW27" i="19"/>
  <c r="AW119" i="19"/>
  <c r="AW102" i="24"/>
  <c r="AW54" i="24"/>
  <c r="F6" i="21"/>
  <c r="BP56" i="24"/>
  <c r="BP82" i="24"/>
  <c r="AW26" i="24"/>
  <c r="AW33" i="19"/>
  <c r="E235" i="21"/>
  <c r="F235" i="21" s="1"/>
  <c r="G235" i="21" s="1"/>
  <c r="H235" i="21" s="1"/>
  <c r="I235" i="21" s="1"/>
  <c r="J235" i="21" s="1"/>
  <c r="K235" i="21" s="1"/>
  <c r="L235" i="21" s="1"/>
  <c r="M235" i="21" s="1"/>
  <c r="N235" i="21" s="1"/>
  <c r="O235" i="21" s="1"/>
  <c r="P235" i="21" s="1"/>
  <c r="Q235" i="21" s="1"/>
  <c r="R235" i="21" s="1"/>
  <c r="S235" i="21" s="1"/>
  <c r="T235" i="21" s="1"/>
  <c r="BP80" i="24"/>
  <c r="AW109" i="19"/>
  <c r="AW110" i="24"/>
  <c r="Q19" i="21"/>
  <c r="J19" i="21" s="1"/>
  <c r="AW69" i="24"/>
  <c r="AW51" i="24"/>
  <c r="AW74" i="19"/>
  <c r="AW51" i="19"/>
  <c r="BP51" i="24"/>
  <c r="BP39" i="24"/>
  <c r="AW33" i="24"/>
  <c r="BP52" i="24"/>
  <c r="BP48" i="24"/>
  <c r="AW56" i="24"/>
  <c r="AW27" i="24"/>
  <c r="BP76" i="24"/>
  <c r="AW96" i="24"/>
  <c r="BP88" i="24"/>
  <c r="AW81" i="24"/>
  <c r="BP41" i="24"/>
  <c r="BP63" i="24"/>
  <c r="AW119" i="24"/>
  <c r="AW36" i="24"/>
  <c r="BP61" i="24"/>
  <c r="BP38" i="24"/>
  <c r="AW63" i="24"/>
  <c r="BP78" i="24"/>
  <c r="C6" i="21"/>
  <c r="C12" i="21"/>
  <c r="H12" i="21" s="1"/>
  <c r="E252" i="21"/>
  <c r="F252" i="21" s="1"/>
  <c r="G252" i="21" s="1"/>
  <c r="H252" i="21" s="1"/>
  <c r="I252" i="21" s="1"/>
  <c r="J252" i="21" s="1"/>
  <c r="K252" i="21" s="1"/>
  <c r="L252" i="21" s="1"/>
  <c r="M252" i="21" s="1"/>
  <c r="N252" i="21" s="1"/>
  <c r="O252" i="21" s="1"/>
  <c r="P252" i="21" s="1"/>
  <c r="Q252" i="21" s="1"/>
  <c r="R252" i="21" s="1"/>
  <c r="S252" i="21" s="1"/>
  <c r="T252" i="21" s="1"/>
  <c r="F251" i="21"/>
  <c r="G251" i="21" s="1"/>
  <c r="H251" i="21" s="1"/>
  <c r="I251" i="21" s="1"/>
  <c r="J251" i="21" s="1"/>
  <c r="K251" i="21" s="1"/>
  <c r="E264" i="21"/>
  <c r="BP34" i="24"/>
  <c r="BP58" i="24"/>
  <c r="BP104" i="24"/>
  <c r="BP117" i="24"/>
  <c r="BP70" i="24"/>
  <c r="BP54" i="24"/>
  <c r="BP97" i="24"/>
  <c r="BP73" i="24"/>
  <c r="BP122" i="24"/>
  <c r="BP108" i="24"/>
  <c r="BP30" i="24"/>
  <c r="BP90" i="24"/>
  <c r="BP74" i="24"/>
  <c r="BP94" i="24"/>
  <c r="BP32" i="24"/>
  <c r="BP33" i="24"/>
  <c r="BP114" i="24"/>
  <c r="BP83" i="24"/>
  <c r="BP101" i="24"/>
  <c r="AW52" i="24"/>
  <c r="BP107" i="24"/>
  <c r="BP27" i="24"/>
  <c r="BP124" i="24"/>
  <c r="AW90" i="24"/>
  <c r="AW41" i="19"/>
  <c r="BP119" i="24"/>
  <c r="AW110" i="19"/>
  <c r="BP98" i="24"/>
  <c r="BP36" i="24"/>
  <c r="BP121" i="24"/>
  <c r="BP93" i="24"/>
  <c r="BP87" i="24"/>
  <c r="BP47" i="24"/>
  <c r="BP89" i="24"/>
  <c r="BP66" i="24"/>
  <c r="BP42" i="24"/>
  <c r="BP112" i="24"/>
  <c r="BP67" i="24"/>
  <c r="BP53" i="24"/>
  <c r="BP49" i="24"/>
  <c r="BP59" i="24"/>
  <c r="AW93" i="19"/>
  <c r="AW57" i="19"/>
  <c r="M149" i="24"/>
  <c r="Q92" i="17" s="1"/>
  <c r="E211" i="24"/>
  <c r="E141" i="24"/>
  <c r="E142" i="24" s="1"/>
  <c r="M142" i="24" s="1"/>
  <c r="AF25" i="24" s="1"/>
  <c r="K78" i="16" s="1"/>
  <c r="E147" i="24"/>
  <c r="M147" i="24" s="1"/>
  <c r="Q89" i="17" s="1"/>
  <c r="E151" i="24"/>
  <c r="M151" i="24" s="1"/>
  <c r="E214" i="24"/>
  <c r="AF20" i="22"/>
  <c r="AH20" i="22" s="1"/>
  <c r="AH41" i="22" s="1"/>
  <c r="F194" i="21"/>
  <c r="F261" i="21"/>
  <c r="G78" i="16"/>
  <c r="AH25" i="19"/>
  <c r="AH37" i="19" s="1"/>
  <c r="AR25" i="19" s="1"/>
  <c r="AR125" i="19" s="1"/>
  <c r="AF20" i="25"/>
  <c r="M73" i="16" s="1"/>
  <c r="AF20" i="19"/>
  <c r="G73" i="16" s="1"/>
  <c r="L188" i="21"/>
  <c r="M188" i="21" s="1"/>
  <c r="N188" i="21" s="1"/>
  <c r="O188" i="21" s="1"/>
  <c r="P188" i="21" s="1"/>
  <c r="Q188" i="21" s="1"/>
  <c r="R188" i="21" s="1"/>
  <c r="S188" i="21" s="1"/>
  <c r="T188" i="21" s="1"/>
  <c r="K262" i="21"/>
  <c r="G261" i="21"/>
  <c r="H234" i="21"/>
  <c r="G242" i="21"/>
  <c r="H186" i="21"/>
  <c r="H194" i="21" s="1"/>
  <c r="AF37" i="25"/>
  <c r="AH25" i="25"/>
  <c r="AH37" i="25" s="1"/>
  <c r="AH25" i="22"/>
  <c r="AH37" i="22" s="1"/>
  <c r="AF37" i="22"/>
  <c r="G98" i="17"/>
  <c r="V98" i="17"/>
  <c r="L98" i="17"/>
  <c r="AR106" i="25"/>
  <c r="AR106" i="24"/>
  <c r="AV106" i="24"/>
  <c r="AR106" i="22"/>
  <c r="AV106" i="22"/>
  <c r="AV106" i="25"/>
  <c r="G214" i="24" a="1"/>
  <c r="AW32" i="25" l="1"/>
  <c r="AW29" i="25"/>
  <c r="AW46" i="25"/>
  <c r="AW66" i="24"/>
  <c r="AW47" i="24"/>
  <c r="AW80" i="25"/>
  <c r="BP117" i="25"/>
  <c r="BP117" i="22"/>
  <c r="BP122" i="25"/>
  <c r="BP92" i="22"/>
  <c r="BP51" i="25"/>
  <c r="BP98" i="25"/>
  <c r="BP29" i="25"/>
  <c r="BP108" i="22"/>
  <c r="BP66" i="25"/>
  <c r="G84" i="21"/>
  <c r="G86" i="21" s="1"/>
  <c r="G87" i="21" s="1"/>
  <c r="BP103" i="25"/>
  <c r="BP119" i="22"/>
  <c r="BP90" i="25"/>
  <c r="BP96" i="19"/>
  <c r="BP124" i="19"/>
  <c r="BP124" i="22"/>
  <c r="BP34" i="22"/>
  <c r="BP121" i="22"/>
  <c r="BP48" i="25"/>
  <c r="BP57" i="25"/>
  <c r="BP112" i="22"/>
  <c r="BP43" i="22"/>
  <c r="BP78" i="22"/>
  <c r="BP118" i="22"/>
  <c r="BP99" i="22"/>
  <c r="BP93" i="22"/>
  <c r="BP63" i="22"/>
  <c r="BP89" i="22"/>
  <c r="BP64" i="25"/>
  <c r="BP53" i="19"/>
  <c r="BP80" i="25"/>
  <c r="BP52" i="22"/>
  <c r="BP87" i="22"/>
  <c r="BP114" i="22"/>
  <c r="BP61" i="22"/>
  <c r="BP109" i="25"/>
  <c r="BP66" i="22"/>
  <c r="BP120" i="22"/>
  <c r="BP27" i="22"/>
  <c r="BP54" i="25"/>
  <c r="BP121" i="25"/>
  <c r="BP41" i="22"/>
  <c r="BP92" i="25"/>
  <c r="BP99" i="25"/>
  <c r="BP49" i="22"/>
  <c r="BP95" i="22"/>
  <c r="BP90" i="22"/>
  <c r="BP111" i="22"/>
  <c r="BP46" i="25"/>
  <c r="BP39" i="25"/>
  <c r="BP58" i="25"/>
  <c r="BP107" i="25"/>
  <c r="BP82" i="25"/>
  <c r="BP111" i="25"/>
  <c r="BP47" i="25"/>
  <c r="BP59" i="22"/>
  <c r="BP118" i="25"/>
  <c r="BP33" i="25"/>
  <c r="BP81" i="25"/>
  <c r="BP116" i="22"/>
  <c r="BP71" i="25"/>
  <c r="BP96" i="25"/>
  <c r="BP33" i="22"/>
  <c r="BP77" i="25"/>
  <c r="BP109" i="19"/>
  <c r="BP122" i="22"/>
  <c r="BP113" i="25"/>
  <c r="BP97" i="25"/>
  <c r="BP48" i="22"/>
  <c r="BP81" i="22"/>
  <c r="BP47" i="22"/>
  <c r="BP69" i="22"/>
  <c r="BP54" i="22"/>
  <c r="BP67" i="25"/>
  <c r="BP69" i="25"/>
  <c r="BP29" i="22"/>
  <c r="BP71" i="22"/>
  <c r="BP27" i="25"/>
  <c r="BP72" i="22"/>
  <c r="BP46" i="22"/>
  <c r="BP31" i="22"/>
  <c r="BP62" i="25"/>
  <c r="BP77" i="22"/>
  <c r="BP30" i="22"/>
  <c r="BP113" i="22"/>
  <c r="BP86" i="22"/>
  <c r="BP123" i="25"/>
  <c r="BP124" i="25"/>
  <c r="BP53" i="22"/>
  <c r="BP28" i="22"/>
  <c r="BP96" i="22"/>
  <c r="BP95" i="25"/>
  <c r="BP56" i="22"/>
  <c r="BP26" i="22"/>
  <c r="BP58" i="22"/>
  <c r="BP37" i="22"/>
  <c r="BP80" i="22"/>
  <c r="BP101" i="25"/>
  <c r="BP104" i="22"/>
  <c r="BP30" i="19"/>
  <c r="BP91" i="22"/>
  <c r="BP73" i="25"/>
  <c r="BP73" i="22"/>
  <c r="BP70" i="25"/>
  <c r="BP72" i="25"/>
  <c r="BP83" i="25"/>
  <c r="BP30" i="25"/>
  <c r="BP44" i="25"/>
  <c r="BP112" i="25"/>
  <c r="E84" i="21"/>
  <c r="E88" i="21" s="1"/>
  <c r="E89" i="21" s="1"/>
  <c r="BP83" i="22"/>
  <c r="BP98" i="22"/>
  <c r="BP110" i="25"/>
  <c r="BP56" i="25"/>
  <c r="BP60" i="25"/>
  <c r="BP43" i="25"/>
  <c r="BP97" i="22"/>
  <c r="BP60" i="22"/>
  <c r="BP32" i="22"/>
  <c r="BP44" i="22"/>
  <c r="BP120" i="25"/>
  <c r="BP64" i="22"/>
  <c r="BP84" i="22"/>
  <c r="BP68" i="22"/>
  <c r="BP79" i="22"/>
  <c r="BP42" i="22"/>
  <c r="BP107" i="22"/>
  <c r="BP116" i="25"/>
  <c r="BP52" i="25"/>
  <c r="BP36" i="25"/>
  <c r="BP108" i="25"/>
  <c r="BP28" i="25"/>
  <c r="BP67" i="22"/>
  <c r="BP103" i="22"/>
  <c r="BP82" i="22"/>
  <c r="BP94" i="22"/>
  <c r="BP59" i="19"/>
  <c r="BP37" i="25"/>
  <c r="BP109" i="22"/>
  <c r="BP102" i="25"/>
  <c r="BP114" i="25"/>
  <c r="BP42" i="19"/>
  <c r="BP51" i="22"/>
  <c r="BP26" i="25"/>
  <c r="BP93" i="25"/>
  <c r="BP39" i="22"/>
  <c r="BP40" i="25"/>
  <c r="BP102" i="19"/>
  <c r="BP83" i="19"/>
  <c r="BP63" i="19"/>
  <c r="BP35" i="25"/>
  <c r="BP32" i="25"/>
  <c r="BP76" i="25"/>
  <c r="BP58" i="19"/>
  <c r="BP91" i="25"/>
  <c r="BP80" i="19"/>
  <c r="BP53" i="25"/>
  <c r="BP72" i="19"/>
  <c r="BP38" i="22"/>
  <c r="BP74" i="22"/>
  <c r="BP76" i="22"/>
  <c r="BP36" i="22"/>
  <c r="BP62" i="22"/>
  <c r="BP34" i="25"/>
  <c r="BP87" i="25"/>
  <c r="BP57" i="22"/>
  <c r="BP110" i="22"/>
  <c r="BP35" i="22"/>
  <c r="BP102" i="22"/>
  <c r="BP88" i="22"/>
  <c r="BP123" i="22"/>
  <c r="BP68" i="25"/>
  <c r="BP89" i="25"/>
  <c r="BP78" i="25"/>
  <c r="BP91" i="19"/>
  <c r="BP84" i="25"/>
  <c r="BP94" i="19"/>
  <c r="BP74" i="25"/>
  <c r="BP78" i="19"/>
  <c r="BP114" i="19"/>
  <c r="BP40" i="19"/>
  <c r="BP121" i="19"/>
  <c r="BP86" i="25"/>
  <c r="BP62" i="19"/>
  <c r="BP77" i="19"/>
  <c r="BP37" i="19"/>
  <c r="BP94" i="25"/>
  <c r="BP69" i="19"/>
  <c r="BP119" i="25"/>
  <c r="BP90" i="19"/>
  <c r="BP36" i="19"/>
  <c r="BP59" i="25"/>
  <c r="BP104" i="25"/>
  <c r="BP88" i="25"/>
  <c r="BP26" i="19"/>
  <c r="BP28" i="19"/>
  <c r="BP74" i="19"/>
  <c r="BP38" i="25"/>
  <c r="K84" i="21"/>
  <c r="K88" i="21" s="1"/>
  <c r="BP64" i="19"/>
  <c r="BP89" i="19"/>
  <c r="BP67" i="19"/>
  <c r="BP123" i="19"/>
  <c r="BP86" i="19"/>
  <c r="BP104" i="19"/>
  <c r="BP31" i="25"/>
  <c r="BP70" i="19"/>
  <c r="BP61" i="25"/>
  <c r="BP41" i="25"/>
  <c r="BP52" i="19"/>
  <c r="BP49" i="19"/>
  <c r="BP57" i="19"/>
  <c r="BP63" i="25"/>
  <c r="BP87" i="19"/>
  <c r="BP68" i="19"/>
  <c r="BP41" i="19"/>
  <c r="BP46" i="19"/>
  <c r="BP31" i="19"/>
  <c r="BP42" i="25"/>
  <c r="BP122" i="19"/>
  <c r="BP38" i="19"/>
  <c r="BP32" i="19"/>
  <c r="BP33" i="19"/>
  <c r="BP44" i="19"/>
  <c r="BP117" i="19"/>
  <c r="BP49" i="25"/>
  <c r="BP76" i="19"/>
  <c r="BP88" i="19"/>
  <c r="BP39" i="19"/>
  <c r="BP119" i="19"/>
  <c r="BP110" i="19"/>
  <c r="BP48" i="19"/>
  <c r="BP107" i="19"/>
  <c r="BP103" i="19"/>
  <c r="BP54" i="19"/>
  <c r="BP84" i="19"/>
  <c r="BP47" i="19"/>
  <c r="BP79" i="25"/>
  <c r="BP27" i="19"/>
  <c r="BP66" i="19"/>
  <c r="BP112" i="19"/>
  <c r="BP108" i="19"/>
  <c r="BP120" i="19"/>
  <c r="BP93" i="19"/>
  <c r="BP35" i="19"/>
  <c r="BP71" i="19"/>
  <c r="BP95" i="19"/>
  <c r="BP51" i="19"/>
  <c r="BP111" i="19"/>
  <c r="BP82" i="19"/>
  <c r="BP60" i="19"/>
  <c r="BP99" i="19"/>
  <c r="BP97" i="19"/>
  <c r="BP118" i="19"/>
  <c r="BP56" i="19"/>
  <c r="BP29" i="19"/>
  <c r="BP73" i="19"/>
  <c r="BP81" i="19"/>
  <c r="BP34" i="19"/>
  <c r="BP92" i="19"/>
  <c r="BP113" i="19"/>
  <c r="E18" i="21"/>
  <c r="H218" i="21"/>
  <c r="H226" i="21" s="1"/>
  <c r="G263" i="21"/>
  <c r="F226" i="21"/>
  <c r="K263" i="21"/>
  <c r="G18" i="21"/>
  <c r="H20" i="21"/>
  <c r="H170" i="21"/>
  <c r="I170" i="21" s="1"/>
  <c r="F171" i="21"/>
  <c r="G171" i="21" s="1"/>
  <c r="H171" i="21" s="1"/>
  <c r="I171" i="21" s="1"/>
  <c r="J171" i="21" s="1"/>
  <c r="K171" i="21" s="1"/>
  <c r="L171" i="21" s="1"/>
  <c r="M171" i="21" s="1"/>
  <c r="N171" i="21" s="1"/>
  <c r="O171" i="21" s="1"/>
  <c r="P171" i="21" s="1"/>
  <c r="Q171" i="21" s="1"/>
  <c r="R171" i="21" s="1"/>
  <c r="S171" i="21" s="1"/>
  <c r="T171" i="21" s="1"/>
  <c r="F20" i="21"/>
  <c r="K20" i="21"/>
  <c r="G20" i="21"/>
  <c r="E20" i="21"/>
  <c r="F178" i="21"/>
  <c r="E113" i="21"/>
  <c r="I20" i="21"/>
  <c r="J20" i="21"/>
  <c r="L204" i="21"/>
  <c r="M204" i="21" s="1"/>
  <c r="N204" i="21" s="1"/>
  <c r="O204" i="21" s="1"/>
  <c r="P204" i="21" s="1"/>
  <c r="Q204" i="21" s="1"/>
  <c r="R204" i="21" s="1"/>
  <c r="S204" i="21" s="1"/>
  <c r="T204" i="21" s="1"/>
  <c r="G214" i="24"/>
  <c r="M214" i="24" s="1"/>
  <c r="K105" i="16" s="1"/>
  <c r="I86" i="21"/>
  <c r="I87" i="21" s="1"/>
  <c r="G137" i="21"/>
  <c r="I18" i="21"/>
  <c r="J18" i="21"/>
  <c r="L18" i="21"/>
  <c r="K18" i="21"/>
  <c r="H18" i="21"/>
  <c r="G250" i="21"/>
  <c r="F258" i="21"/>
  <c r="G210" i="21"/>
  <c r="K19" i="21"/>
  <c r="L19" i="21"/>
  <c r="E236" i="21"/>
  <c r="F236" i="21" s="1"/>
  <c r="G236" i="21" s="1"/>
  <c r="H236" i="21" s="1"/>
  <c r="I236" i="21" s="1"/>
  <c r="J236" i="21" s="1"/>
  <c r="K236" i="21" s="1"/>
  <c r="L236" i="21" s="1"/>
  <c r="M236" i="21" s="1"/>
  <c r="N236" i="21" s="1"/>
  <c r="O236" i="21" s="1"/>
  <c r="P236" i="21" s="1"/>
  <c r="Q236" i="21" s="1"/>
  <c r="R236" i="21" s="1"/>
  <c r="S236" i="21" s="1"/>
  <c r="T236" i="21" s="1"/>
  <c r="E137" i="21"/>
  <c r="I19" i="21"/>
  <c r="F210" i="21"/>
  <c r="K137" i="21"/>
  <c r="E19" i="21"/>
  <c r="H6" i="21"/>
  <c r="G19" i="21"/>
  <c r="H19" i="21"/>
  <c r="F19" i="21"/>
  <c r="G264" i="21"/>
  <c r="L251" i="21"/>
  <c r="M251" i="21" s="1"/>
  <c r="N251" i="21" s="1"/>
  <c r="O251" i="21" s="1"/>
  <c r="P251" i="21" s="1"/>
  <c r="Q251" i="21" s="1"/>
  <c r="R251" i="21" s="1"/>
  <c r="S251" i="21" s="1"/>
  <c r="T251" i="21" s="1"/>
  <c r="K264" i="21"/>
  <c r="AF20" i="24"/>
  <c r="AH20" i="24" s="1"/>
  <c r="AH41" i="24" s="1"/>
  <c r="AH25" i="24"/>
  <c r="AH37" i="24" s="1"/>
  <c r="AF37" i="24"/>
  <c r="AF41" i="22"/>
  <c r="AV25" i="22" s="1"/>
  <c r="I73" i="16"/>
  <c r="AR105" i="19"/>
  <c r="AR65" i="19"/>
  <c r="AR85" i="19"/>
  <c r="AR22" i="19"/>
  <c r="AR45" i="19"/>
  <c r="AH20" i="19"/>
  <c r="AH41" i="19" s="1"/>
  <c r="AF41" i="19"/>
  <c r="AH20" i="25"/>
  <c r="AH41" i="25" s="1"/>
  <c r="AF41" i="25"/>
  <c r="I234" i="21"/>
  <c r="H242" i="21"/>
  <c r="H261" i="21"/>
  <c r="I186" i="21"/>
  <c r="I194" i="21" s="1"/>
  <c r="I262" i="21" s="1"/>
  <c r="I202" i="21"/>
  <c r="H210" i="21"/>
  <c r="AR25" i="25"/>
  <c r="AR65" i="25" s="1"/>
  <c r="AR25" i="22"/>
  <c r="AR45" i="22" s="1"/>
  <c r="G214" i="22" a="1"/>
  <c r="G214" i="19" a="1"/>
  <c r="G214" i="25" a="1"/>
  <c r="G88" i="21" l="1"/>
  <c r="G89" i="21" s="1"/>
  <c r="G214" i="22"/>
  <c r="M214" i="22" s="1"/>
  <c r="I105" i="16" s="1"/>
  <c r="E86" i="21"/>
  <c r="E87" i="21" s="1"/>
  <c r="G214" i="19"/>
  <c r="M214" i="19" s="1"/>
  <c r="G105" i="16" s="1"/>
  <c r="G214" i="25"/>
  <c r="M214" i="25" s="1"/>
  <c r="M105" i="16" s="1"/>
  <c r="K86" i="21"/>
  <c r="K87" i="21" s="1"/>
  <c r="I218" i="21"/>
  <c r="I226" i="21" s="1"/>
  <c r="I263" i="21" s="1"/>
  <c r="H178" i="21"/>
  <c r="E25" i="21"/>
  <c r="E29" i="21" s="1"/>
  <c r="G113" i="21"/>
  <c r="F25" i="21"/>
  <c r="F29" i="21" s="1"/>
  <c r="K113" i="21"/>
  <c r="G25" i="21"/>
  <c r="G29" i="21" s="1"/>
  <c r="I25" i="21"/>
  <c r="I29" i="21" s="1"/>
  <c r="J25" i="21"/>
  <c r="J29" i="21" s="1"/>
  <c r="K25" i="21"/>
  <c r="K29" i="21" s="1"/>
  <c r="H25" i="21"/>
  <c r="H29" i="21" s="1"/>
  <c r="L25" i="21"/>
  <c r="L29" i="21" s="1"/>
  <c r="H250" i="21"/>
  <c r="G258" i="21"/>
  <c r="AF41" i="24"/>
  <c r="AV25" i="24" s="1"/>
  <c r="AV22" i="24" s="1"/>
  <c r="K73" i="16"/>
  <c r="AR25" i="24"/>
  <c r="AR125" i="24" s="1"/>
  <c r="AV22" i="22"/>
  <c r="AV65" i="22"/>
  <c r="AV45" i="22"/>
  <c r="AV85" i="22"/>
  <c r="AV125" i="22"/>
  <c r="AV105" i="22"/>
  <c r="AV25" i="19"/>
  <c r="AV65" i="19" s="1"/>
  <c r="AV25" i="25"/>
  <c r="AV45" i="25" s="1"/>
  <c r="J234" i="21"/>
  <c r="I242" i="21"/>
  <c r="I137" i="21" s="1"/>
  <c r="J186" i="21"/>
  <c r="J194" i="21" s="1"/>
  <c r="I261" i="21"/>
  <c r="J202" i="21"/>
  <c r="I210" i="21"/>
  <c r="J170" i="21"/>
  <c r="I178" i="21"/>
  <c r="I113" i="21" s="1"/>
  <c r="I89" i="21"/>
  <c r="AR125" i="22"/>
  <c r="AR105" i="25"/>
  <c r="AR125" i="25"/>
  <c r="AR85" i="25"/>
  <c r="AR22" i="25"/>
  <c r="AR45" i="25"/>
  <c r="AR22" i="22"/>
  <c r="AR105" i="22"/>
  <c r="AR85" i="22"/>
  <c r="AR65" i="22"/>
  <c r="J218" i="21" l="1"/>
  <c r="J226" i="21" s="1"/>
  <c r="M29" i="21"/>
  <c r="K8" i="21" s="1"/>
  <c r="K11" i="21" s="1"/>
  <c r="K5" i="21" s="1"/>
  <c r="L54" i="1" s="1"/>
  <c r="M25" i="21"/>
  <c r="N25" i="21" s="1"/>
  <c r="K9" i="21" s="1"/>
  <c r="AR105" i="24"/>
  <c r="AV125" i="24"/>
  <c r="AR85" i="24"/>
  <c r="H258" i="21"/>
  <c r="I250" i="21"/>
  <c r="AR65" i="24"/>
  <c r="AR45" i="24"/>
  <c r="AR22" i="24"/>
  <c r="AV85" i="24"/>
  <c r="AV45" i="24"/>
  <c r="AV65" i="24"/>
  <c r="AV105" i="24"/>
  <c r="AV22" i="25"/>
  <c r="AV65" i="25"/>
  <c r="AV45" i="19"/>
  <c r="AV125" i="19"/>
  <c r="AV105" i="19"/>
  <c r="AV22" i="19"/>
  <c r="AV85" i="19"/>
  <c r="AV85" i="25"/>
  <c r="AV105" i="25"/>
  <c r="AV125" i="25"/>
  <c r="K234" i="21"/>
  <c r="J242" i="21"/>
  <c r="J261" i="21"/>
  <c r="K186" i="21"/>
  <c r="K194" i="21" s="1"/>
  <c r="K202" i="21"/>
  <c r="J210" i="21"/>
  <c r="K170" i="21"/>
  <c r="J178" i="21"/>
  <c r="L21" i="17"/>
  <c r="E62" i="21"/>
  <c r="E66" i="21" s="1"/>
  <c r="F66" i="21" s="1"/>
  <c r="I21" i="17" s="1"/>
  <c r="K218" i="21" l="1"/>
  <c r="K226" i="21" s="1"/>
  <c r="K51" i="21"/>
  <c r="K3" i="21"/>
  <c r="X25" i="17" s="1"/>
  <c r="L136" i="21" s="1"/>
  <c r="E51" i="21"/>
  <c r="G51" i="21"/>
  <c r="I51" i="21"/>
  <c r="K4" i="21"/>
  <c r="I56" i="21" s="1"/>
  <c r="I59" i="21" s="1"/>
  <c r="I258" i="21"/>
  <c r="I264" i="21" s="1"/>
  <c r="J250" i="21"/>
  <c r="L234" i="21"/>
  <c r="K242" i="21"/>
  <c r="K261" i="21"/>
  <c r="L186" i="21"/>
  <c r="L194" i="21" s="1"/>
  <c r="L202" i="21"/>
  <c r="K210" i="21"/>
  <c r="K178" i="21"/>
  <c r="K89" i="21"/>
  <c r="L170" i="21"/>
  <c r="L16" i="17"/>
  <c r="Q17" i="17"/>
  <c r="G16" i="17"/>
  <c r="G21" i="17"/>
  <c r="U6" i="25" a="1"/>
  <c r="L218" i="21" l="1"/>
  <c r="L226" i="21" s="1"/>
  <c r="U6" i="25"/>
  <c r="X17" i="25" s="1"/>
  <c r="N25" i="17"/>
  <c r="S25" i="17"/>
  <c r="L52" i="1"/>
  <c r="L38" i="1" s="1"/>
  <c r="I25" i="17"/>
  <c r="V25" i="17"/>
  <c r="L25" i="17"/>
  <c r="G56" i="21"/>
  <c r="G57" i="21" s="1"/>
  <c r="G62" i="21" s="1"/>
  <c r="G66" i="21" s="1"/>
  <c r="G69" i="21" s="1"/>
  <c r="L26" i="17" s="1"/>
  <c r="I52" i="21"/>
  <c r="G25" i="17"/>
  <c r="Q25" i="17"/>
  <c r="E56" i="21"/>
  <c r="E59" i="21" s="1"/>
  <c r="G52" i="21"/>
  <c r="K56" i="21"/>
  <c r="K59" i="21" s="1"/>
  <c r="E52" i="21"/>
  <c r="E69" i="21"/>
  <c r="G26" i="17" s="1"/>
  <c r="F69" i="21"/>
  <c r="F124" i="21" s="1"/>
  <c r="K52" i="21"/>
  <c r="I57" i="21"/>
  <c r="I58" i="21" s="1"/>
  <c r="I63" i="21" s="1"/>
  <c r="I67" i="21" s="1"/>
  <c r="I70" i="21" s="1"/>
  <c r="Q27" i="17" s="1"/>
  <c r="L53" i="1"/>
  <c r="K250" i="21"/>
  <c r="J258" i="21"/>
  <c r="M186" i="21"/>
  <c r="M194" i="21" s="1"/>
  <c r="L261" i="21"/>
  <c r="M234" i="21"/>
  <c r="L242" i="21"/>
  <c r="M202" i="21"/>
  <c r="L210" i="21"/>
  <c r="M170" i="21"/>
  <c r="L178" i="21"/>
  <c r="K62" i="21"/>
  <c r="V16" i="17" s="1"/>
  <c r="L17" i="17"/>
  <c r="L22" i="17"/>
  <c r="G17" i="17"/>
  <c r="G22" i="17"/>
  <c r="E95" i="21"/>
  <c r="F95" i="21"/>
  <c r="G95" i="21"/>
  <c r="C6" i="25" a="1"/>
  <c r="U6" i="19" a="1"/>
  <c r="U6" i="22" a="1"/>
  <c r="U6" i="24" a="1"/>
  <c r="C6" i="22" a="1"/>
  <c r="C6" i="24" a="1"/>
  <c r="C6" i="19" a="1"/>
  <c r="M218" i="21" l="1"/>
  <c r="M226" i="21" s="1"/>
  <c r="X5" i="25"/>
  <c r="Q88" i="25" s="1" a="1"/>
  <c r="Q88" i="25" s="1"/>
  <c r="X6" i="25" a="1"/>
  <c r="X6" i="25" s="1"/>
  <c r="T88" i="25" s="1" a="1"/>
  <c r="T88" i="25" s="1"/>
  <c r="I26" i="17"/>
  <c r="U6" i="24"/>
  <c r="U6" i="22"/>
  <c r="J136" i="21"/>
  <c r="H136" i="21"/>
  <c r="U6" i="19"/>
  <c r="F136" i="21"/>
  <c r="C6" i="22"/>
  <c r="M17" i="22" s="1"/>
  <c r="C6" i="25"/>
  <c r="M17" i="25" s="1"/>
  <c r="H66" i="21"/>
  <c r="H69" i="21" s="1"/>
  <c r="N26" i="17" s="1"/>
  <c r="G136" i="21"/>
  <c r="K136" i="21"/>
  <c r="G59" i="21"/>
  <c r="G58" i="21"/>
  <c r="G63" i="21" s="1"/>
  <c r="G67" i="21" s="1"/>
  <c r="G70" i="21" s="1"/>
  <c r="G111" i="21" s="1"/>
  <c r="I43" i="16" s="1"/>
  <c r="K57" i="21"/>
  <c r="K58" i="21" s="1"/>
  <c r="K63" i="21" s="1"/>
  <c r="V17" i="17" s="1"/>
  <c r="C6" i="24"/>
  <c r="F5" i="24" s="1"/>
  <c r="F84" i="24" s="1" a="1"/>
  <c r="F84" i="24" s="1"/>
  <c r="C6" i="19"/>
  <c r="F5" i="19" s="1"/>
  <c r="F82" i="19" s="1" a="1"/>
  <c r="F82" i="19" s="1"/>
  <c r="F110" i="21"/>
  <c r="E57" i="21"/>
  <c r="E58" i="21" s="1"/>
  <c r="E63" i="21" s="1"/>
  <c r="E67" i="21" s="1"/>
  <c r="E70" i="21" s="1"/>
  <c r="E111" i="21" s="1"/>
  <c r="I136" i="21"/>
  <c r="E136" i="21"/>
  <c r="I64" i="21"/>
  <c r="I111" i="21"/>
  <c r="K43" i="16" s="1"/>
  <c r="I125" i="21"/>
  <c r="K50" i="16" s="1"/>
  <c r="J67" i="21"/>
  <c r="J70" i="21" s="1"/>
  <c r="S27" i="17" s="1"/>
  <c r="L250" i="21"/>
  <c r="K258" i="21"/>
  <c r="Q12" i="17"/>
  <c r="N186" i="21"/>
  <c r="N194" i="21" s="1"/>
  <c r="M261" i="21"/>
  <c r="N234" i="21"/>
  <c r="M242" i="21"/>
  <c r="N202" i="21"/>
  <c r="M210" i="21"/>
  <c r="N170" i="21"/>
  <c r="M178" i="21"/>
  <c r="N22" i="17"/>
  <c r="I22" i="17"/>
  <c r="G12" i="17"/>
  <c r="H95" i="21"/>
  <c r="I95" i="21"/>
  <c r="Q19" i="17"/>
  <c r="Q22" i="17"/>
  <c r="G28" i="17"/>
  <c r="G211" i="24" a="1"/>
  <c r="N218" i="21" l="1"/>
  <c r="N226" i="21" s="1"/>
  <c r="Q34" i="25" a="1"/>
  <c r="Q34" i="25" s="1"/>
  <c r="Q30" i="25" a="1"/>
  <c r="Q30" i="25" s="1"/>
  <c r="Q87" i="25" a="1"/>
  <c r="Q87" i="25" s="1"/>
  <c r="Q45" i="25" a="1"/>
  <c r="Q45" i="25" s="1"/>
  <c r="Q100" i="25" a="1"/>
  <c r="Q100" i="25" s="1"/>
  <c r="Q99" i="25" a="1"/>
  <c r="Q99" i="25" s="1"/>
  <c r="Q133" i="25" a="1"/>
  <c r="Q133" i="25" s="1"/>
  <c r="T55" i="25" a="1"/>
  <c r="T55" i="25" s="1"/>
  <c r="Q86" i="25" a="1"/>
  <c r="Q86" i="25" s="1"/>
  <c r="Q84" i="25" a="1"/>
  <c r="Q84" i="25" s="1"/>
  <c r="Q20" i="25" a="1"/>
  <c r="Q20" i="25" s="1"/>
  <c r="Q75" i="25" a="1"/>
  <c r="Q75" i="25" s="1"/>
  <c r="T21" i="25" a="1"/>
  <c r="T21" i="25" s="1"/>
  <c r="Q56" i="25" a="1"/>
  <c r="Q56" i="25" s="1"/>
  <c r="Q23" i="25" a="1"/>
  <c r="Q23" i="25" s="1"/>
  <c r="Q61" i="25" a="1"/>
  <c r="Q61" i="25" s="1"/>
  <c r="T66" i="25" a="1"/>
  <c r="T66" i="25" s="1"/>
  <c r="Q92" i="25" a="1"/>
  <c r="Q92" i="25" s="1"/>
  <c r="Q66" i="25" a="1"/>
  <c r="Q66" i="25" s="1"/>
  <c r="T61" i="25" a="1"/>
  <c r="T61" i="25" s="1"/>
  <c r="Q26" i="25" a="1"/>
  <c r="Q26" i="25" s="1"/>
  <c r="T134" i="25" a="1"/>
  <c r="T134" i="25" s="1"/>
  <c r="Q53" i="25" a="1"/>
  <c r="Q53" i="25" s="1"/>
  <c r="Q85" i="25" a="1"/>
  <c r="Q85" i="25" s="1"/>
  <c r="T46" i="25" a="1"/>
  <c r="T46" i="25" s="1"/>
  <c r="Q37" i="25" a="1"/>
  <c r="Q37" i="25" s="1"/>
  <c r="Q63" i="25" a="1"/>
  <c r="Q63" i="25" s="1"/>
  <c r="T44" i="25" a="1"/>
  <c r="T44" i="25" s="1"/>
  <c r="Q57" i="25" a="1"/>
  <c r="Q57" i="25" s="1"/>
  <c r="Q38" i="25" a="1"/>
  <c r="Q38" i="25" s="1"/>
  <c r="Q72" i="25" a="1"/>
  <c r="Q72" i="25" s="1"/>
  <c r="T102" i="25" a="1"/>
  <c r="T102" i="25" s="1"/>
  <c r="T45" i="25" a="1"/>
  <c r="T45" i="25" s="1"/>
  <c r="Q54" i="25" a="1"/>
  <c r="Q54" i="25" s="1"/>
  <c r="Q44" i="25" a="1"/>
  <c r="Q44" i="25" s="1"/>
  <c r="T98" i="25" a="1"/>
  <c r="T98" i="25" s="1"/>
  <c r="Q89" i="25" a="1"/>
  <c r="Q89" i="25" s="1"/>
  <c r="Q130" i="25" a="1"/>
  <c r="Q130" i="25" s="1"/>
  <c r="T27" i="25" a="1"/>
  <c r="T27" i="25" s="1"/>
  <c r="Q78" i="25" a="1"/>
  <c r="Q78" i="25" s="1"/>
  <c r="Q64" i="25" a="1"/>
  <c r="Q64" i="25" s="1"/>
  <c r="T89" i="25" a="1"/>
  <c r="T89" i="25" s="1"/>
  <c r="Q132" i="25" a="1"/>
  <c r="Q132" i="25" s="1"/>
  <c r="Q79" i="25" a="1"/>
  <c r="Q79" i="25" s="1"/>
  <c r="Q76" i="25" a="1"/>
  <c r="Q76" i="25" s="1"/>
  <c r="Q51" i="25" a="1"/>
  <c r="Q51" i="25" s="1"/>
  <c r="T47" i="25" a="1"/>
  <c r="T47" i="25" s="1"/>
  <c r="Q67" i="25" a="1"/>
  <c r="Q67" i="25" s="1"/>
  <c r="Q46" i="25" a="1"/>
  <c r="Q46" i="25" s="1"/>
  <c r="Q42" i="25" a="1"/>
  <c r="Q42" i="25" s="1"/>
  <c r="T52" i="25" a="1"/>
  <c r="T52" i="25" s="1"/>
  <c r="Q134" i="25" a="1"/>
  <c r="Q134" i="25" s="1"/>
  <c r="Q22" i="25" a="1"/>
  <c r="Q22" i="25" s="1"/>
  <c r="Q128" i="25" a="1"/>
  <c r="Q128" i="25" s="1"/>
  <c r="Q129" i="25" a="1"/>
  <c r="Q129" i="25" s="1"/>
  <c r="T87" i="25" a="1"/>
  <c r="T87" i="25" s="1"/>
  <c r="Q131" i="25" a="1"/>
  <c r="Q131" i="25" s="1"/>
  <c r="Q21" i="25" a="1"/>
  <c r="Q21" i="25" s="1"/>
  <c r="Q55" i="25" a="1"/>
  <c r="Q55" i="25" s="1"/>
  <c r="Q104" i="25" a="1"/>
  <c r="Q104" i="25" s="1"/>
  <c r="T83" i="25" a="1"/>
  <c r="T83" i="25" s="1"/>
  <c r="T92" i="25" a="1"/>
  <c r="T92" i="25" s="1"/>
  <c r="Q48" i="25" a="1"/>
  <c r="Q48" i="25" s="1"/>
  <c r="Q103" i="25" a="1"/>
  <c r="Q103" i="25" s="1"/>
  <c r="Q29" i="25" a="1"/>
  <c r="Q29" i="25" s="1"/>
  <c r="Q28" i="25" a="1"/>
  <c r="Q28" i="25" s="1"/>
  <c r="Q27" i="25" a="1"/>
  <c r="Q27" i="25" s="1"/>
  <c r="T42" i="25" a="1"/>
  <c r="T42" i="25" s="1"/>
  <c r="Q93" i="25" a="1"/>
  <c r="Q93" i="25" s="1"/>
  <c r="Q62" i="25" a="1"/>
  <c r="Q62" i="25" s="1"/>
  <c r="Q74" i="25" a="1"/>
  <c r="Q74" i="25" s="1"/>
  <c r="Q39" i="25" a="1"/>
  <c r="Q39" i="25" s="1"/>
  <c r="AA5" i="25"/>
  <c r="T36" i="25" a="1"/>
  <c r="T36" i="25" s="1"/>
  <c r="Q102" i="25" a="1"/>
  <c r="Q102" i="25" s="1"/>
  <c r="Q105" i="25" a="1"/>
  <c r="Q105" i="25" s="1"/>
  <c r="AB5" i="25"/>
  <c r="Q43" i="25" a="1"/>
  <c r="Q43" i="25" s="1"/>
  <c r="Q52" i="25" a="1"/>
  <c r="Q52" i="25" s="1"/>
  <c r="T75" i="25" a="1"/>
  <c r="T75" i="25" s="1"/>
  <c r="T82" i="25" a="1"/>
  <c r="T82" i="25" s="1"/>
  <c r="T129" i="25" a="1"/>
  <c r="T129" i="25" s="1"/>
  <c r="T105" i="25" a="1"/>
  <c r="T105" i="25" s="1"/>
  <c r="T19" i="25" a="1"/>
  <c r="T19" i="25" s="1"/>
  <c r="T29" i="25" a="1"/>
  <c r="T29" i="25" s="1"/>
  <c r="T78" i="25" a="1"/>
  <c r="T78" i="25" s="1"/>
  <c r="T56" i="25" a="1"/>
  <c r="T56" i="25" s="1"/>
  <c r="T23" i="25" a="1"/>
  <c r="T23" i="25" s="1"/>
  <c r="T38" i="25" a="1"/>
  <c r="T38" i="25" s="1"/>
  <c r="T22" i="25" a="1"/>
  <c r="T22" i="25" s="1"/>
  <c r="T67" i="25" a="1"/>
  <c r="T67" i="25" s="1"/>
  <c r="T37" i="25" a="1"/>
  <c r="T37" i="25" s="1"/>
  <c r="Q97" i="25" a="1"/>
  <c r="Q97" i="25" s="1"/>
  <c r="Q69" i="25" a="1"/>
  <c r="Q69" i="25" s="1"/>
  <c r="Q83" i="25" a="1"/>
  <c r="Q83" i="25" s="1"/>
  <c r="Q33" i="25" a="1"/>
  <c r="Q33" i="25" s="1"/>
  <c r="Q47" i="25" a="1"/>
  <c r="Q47" i="25" s="1"/>
  <c r="Q77" i="25" a="1"/>
  <c r="Q77" i="25" s="1"/>
  <c r="T34" i="25" a="1"/>
  <c r="T34" i="25" s="1"/>
  <c r="T28" i="25" a="1"/>
  <c r="T28" i="25" s="1"/>
  <c r="T130" i="25" a="1"/>
  <c r="T130" i="25" s="1"/>
  <c r="T132" i="25" a="1"/>
  <c r="T132" i="25" s="1"/>
  <c r="Q73" i="25" a="1"/>
  <c r="Q73" i="25" s="1"/>
  <c r="Q36" i="25" a="1"/>
  <c r="Q36" i="25" s="1"/>
  <c r="Q106" i="25" a="1"/>
  <c r="Q106" i="25" s="1"/>
  <c r="Q101" i="25" a="1"/>
  <c r="Q101" i="25" s="1"/>
  <c r="P17" i="25"/>
  <c r="Q58" i="25" a="1"/>
  <c r="Q58" i="25" s="1"/>
  <c r="T62" i="25" a="1"/>
  <c r="T62" i="25" s="1"/>
  <c r="T64" i="25" a="1"/>
  <c r="T64" i="25" s="1"/>
  <c r="T33" i="25" a="1"/>
  <c r="T33" i="25" s="1"/>
  <c r="T57" i="25" a="1"/>
  <c r="T57" i="25" s="1"/>
  <c r="Q65" i="25" a="1"/>
  <c r="Q65" i="25" s="1"/>
  <c r="T101" i="25" a="1"/>
  <c r="T101" i="25" s="1"/>
  <c r="T85" i="25" a="1"/>
  <c r="T85" i="25" s="1"/>
  <c r="S17" i="25"/>
  <c r="T58" i="25" a="1"/>
  <c r="T58" i="25" s="1"/>
  <c r="T84" i="25" a="1"/>
  <c r="T84" i="25" s="1"/>
  <c r="T68" i="25" a="1"/>
  <c r="T68" i="25" s="1"/>
  <c r="T65" i="25" a="1"/>
  <c r="T65" i="25" s="1"/>
  <c r="T20" i="25" a="1"/>
  <c r="T20" i="25" s="1"/>
  <c r="T53" i="25" a="1"/>
  <c r="T53" i="25" s="1"/>
  <c r="T86" i="25" a="1"/>
  <c r="T86" i="25" s="1"/>
  <c r="T26" i="25" a="1"/>
  <c r="T26" i="25" s="1"/>
  <c r="T74" i="25" a="1"/>
  <c r="T74" i="25" s="1"/>
  <c r="T128" i="25" a="1"/>
  <c r="T128" i="25" s="1"/>
  <c r="T30" i="25" a="1"/>
  <c r="T30" i="25" s="1"/>
  <c r="T77" i="25" a="1"/>
  <c r="T77" i="25" s="1"/>
  <c r="T63" i="25" a="1"/>
  <c r="T63" i="25" s="1"/>
  <c r="T100" i="25" a="1"/>
  <c r="T100" i="25" s="1"/>
  <c r="T35" i="25" a="1"/>
  <c r="T35" i="25" s="1"/>
  <c r="T97" i="25" a="1"/>
  <c r="T97" i="25" s="1"/>
  <c r="T99" i="25" a="1"/>
  <c r="T99" i="25" s="1"/>
  <c r="T54" i="25" a="1"/>
  <c r="T54" i="25" s="1"/>
  <c r="R17" i="25"/>
  <c r="Q82" i="25" a="1"/>
  <c r="Q82" i="25" s="1"/>
  <c r="Q94" i="25" a="1"/>
  <c r="Q94" i="25" s="1"/>
  <c r="Q19" i="25" a="1"/>
  <c r="Q19" i="25" s="1"/>
  <c r="Q98" i="25" a="1"/>
  <c r="Q98" i="25" s="1"/>
  <c r="Q35" i="25" a="1"/>
  <c r="Q35" i="25" s="1"/>
  <c r="Q68" i="25" a="1"/>
  <c r="Q68" i="25" s="1"/>
  <c r="T72" i="25" a="1"/>
  <c r="T72" i="25" s="1"/>
  <c r="T79" i="25" a="1"/>
  <c r="T79" i="25" s="1"/>
  <c r="U17" i="25"/>
  <c r="AA6" i="25"/>
  <c r="T76" i="25" a="1"/>
  <c r="T76" i="25" s="1"/>
  <c r="T69" i="25" a="1"/>
  <c r="T69" i="25" s="1"/>
  <c r="AB6" i="25"/>
  <c r="T48" i="25" a="1"/>
  <c r="T48" i="25" s="1"/>
  <c r="T43" i="25" a="1"/>
  <c r="T43" i="25" s="1"/>
  <c r="T104" i="25" a="1"/>
  <c r="T104" i="25" s="1"/>
  <c r="T106" i="25" a="1"/>
  <c r="T106" i="25" s="1"/>
  <c r="T131" i="25" a="1"/>
  <c r="T131" i="25" s="1"/>
  <c r="T51" i="25" a="1"/>
  <c r="T51" i="25" s="1"/>
  <c r="T93" i="25" a="1"/>
  <c r="T93" i="25" s="1"/>
  <c r="T73" i="25" a="1"/>
  <c r="T73" i="25" s="1"/>
  <c r="T94" i="25" a="1"/>
  <c r="T94" i="25" s="1"/>
  <c r="T133" i="25" a="1"/>
  <c r="T133" i="25" s="1"/>
  <c r="T39" i="25" a="1"/>
  <c r="T39" i="25" s="1"/>
  <c r="T103" i="25" a="1"/>
  <c r="T103" i="25" s="1"/>
  <c r="F83" i="19" a="1"/>
  <c r="F83" i="19" s="1"/>
  <c r="F6" i="22" a="1"/>
  <c r="F6" i="22" s="1"/>
  <c r="J17" i="22" s="1"/>
  <c r="X6" i="22" a="1"/>
  <c r="X6" i="22" s="1"/>
  <c r="X5" i="22"/>
  <c r="X17" i="22"/>
  <c r="X5" i="24"/>
  <c r="X6" i="24" a="1"/>
  <c r="X6" i="24" s="1"/>
  <c r="X17" i="24"/>
  <c r="G68" i="21"/>
  <c r="X17" i="19"/>
  <c r="X5" i="19"/>
  <c r="X6" i="19" a="1"/>
  <c r="X6" i="19" s="1"/>
  <c r="L27" i="17"/>
  <c r="L28" i="17" s="1"/>
  <c r="F74" i="19" a="1"/>
  <c r="F74" i="19" s="1"/>
  <c r="F21" i="19" a="1"/>
  <c r="F21" i="19" s="1"/>
  <c r="F113" i="19" a="1"/>
  <c r="F113" i="19" s="1"/>
  <c r="I66" i="21"/>
  <c r="J66" i="21" s="1"/>
  <c r="J69" i="21" s="1"/>
  <c r="J110" i="21" s="1"/>
  <c r="G27" i="17"/>
  <c r="AC4" i="17" s="1"/>
  <c r="F4" i="17" s="1"/>
  <c r="H124" i="21"/>
  <c r="F5" i="25"/>
  <c r="G17" i="25" s="1"/>
  <c r="F117" i="19" a="1"/>
  <c r="F117" i="19" s="1"/>
  <c r="F100" i="19" a="1"/>
  <c r="F100" i="19" s="1"/>
  <c r="F92" i="19" a="1"/>
  <c r="F92" i="19" s="1"/>
  <c r="F56" i="19" a="1"/>
  <c r="F56" i="19" s="1"/>
  <c r="F134" i="19" a="1"/>
  <c r="F134" i="19" s="1"/>
  <c r="F87" i="19" a="1"/>
  <c r="F87" i="19" s="1"/>
  <c r="F33" i="19" a="1"/>
  <c r="F33" i="19" s="1"/>
  <c r="F39" i="19" a="1"/>
  <c r="F39" i="19" s="1"/>
  <c r="F101" i="19" a="1"/>
  <c r="F101" i="19" s="1"/>
  <c r="F84" i="19" a="1"/>
  <c r="F84" i="19" s="1"/>
  <c r="F45" i="19" a="1"/>
  <c r="F45" i="19" s="1"/>
  <c r="F51" i="19" a="1"/>
  <c r="F51" i="19" s="1"/>
  <c r="F120" i="19" a="1"/>
  <c r="F120" i="19" s="1"/>
  <c r="F124" i="19" a="1"/>
  <c r="F124" i="19" s="1"/>
  <c r="F82" i="24" a="1"/>
  <c r="F82" i="24" s="1"/>
  <c r="F19" i="19" a="1"/>
  <c r="F19" i="19" s="1"/>
  <c r="F61" i="19" a="1"/>
  <c r="F61" i="19" s="1"/>
  <c r="G17" i="19"/>
  <c r="F93" i="19" a="1"/>
  <c r="F93" i="19" s="1"/>
  <c r="F132" i="24" a="1"/>
  <c r="F132" i="24" s="1"/>
  <c r="K64" i="21"/>
  <c r="F26" i="19" a="1"/>
  <c r="F26" i="19" s="1"/>
  <c r="F157" i="19" a="1"/>
  <c r="F157" i="19" s="1"/>
  <c r="F46" i="19" a="1"/>
  <c r="F46" i="19" s="1"/>
  <c r="F106" i="19" a="1"/>
  <c r="F106" i="19" s="1"/>
  <c r="F66" i="19" a="1"/>
  <c r="F66" i="19" s="1"/>
  <c r="F67" i="24" a="1"/>
  <c r="F67" i="24" s="1"/>
  <c r="F36" i="19" a="1"/>
  <c r="F36" i="19" s="1"/>
  <c r="F66" i="24" a="1"/>
  <c r="F66" i="24" s="1"/>
  <c r="F69" i="19" a="1"/>
  <c r="F69" i="19" s="1"/>
  <c r="F64" i="19" a="1"/>
  <c r="F64" i="19" s="1"/>
  <c r="F68" i="19" a="1"/>
  <c r="F68" i="19" s="1"/>
  <c r="F22" i="19" a="1"/>
  <c r="F22" i="19" s="1"/>
  <c r="F122" i="19" a="1"/>
  <c r="F122" i="19" s="1"/>
  <c r="F128" i="19" a="1"/>
  <c r="F128" i="19" s="1"/>
  <c r="F63" i="19" a="1"/>
  <c r="F63" i="19" s="1"/>
  <c r="F47" i="19" a="1"/>
  <c r="F47" i="19" s="1"/>
  <c r="F123" i="24" a="1"/>
  <c r="F123" i="24" s="1"/>
  <c r="F55" i="19" a="1"/>
  <c r="F55" i="19" s="1"/>
  <c r="F121" i="19" a="1"/>
  <c r="F121" i="19" s="1"/>
  <c r="F76" i="19" a="1"/>
  <c r="F76" i="19" s="1"/>
  <c r="F88" i="19" a="1"/>
  <c r="F88" i="19" s="1"/>
  <c r="F104" i="19" a="1"/>
  <c r="F104" i="19" s="1"/>
  <c r="I5" i="19"/>
  <c r="F119" i="19" a="1"/>
  <c r="F119" i="19" s="1"/>
  <c r="F79" i="19" a="1"/>
  <c r="F79" i="19" s="1"/>
  <c r="F118" i="19" a="1"/>
  <c r="F118" i="19" s="1"/>
  <c r="F72" i="19" a="1"/>
  <c r="F72" i="19" s="1"/>
  <c r="F85" i="19" a="1"/>
  <c r="F85" i="19" s="1"/>
  <c r="F53" i="24" a="1"/>
  <c r="F53" i="24" s="1"/>
  <c r="H110" i="21"/>
  <c r="F5" i="22"/>
  <c r="F157" i="22" s="1" a="1"/>
  <c r="F157" i="22" s="1"/>
  <c r="F105" i="24" a="1"/>
  <c r="F105" i="24" s="1"/>
  <c r="F75" i="24" a="1"/>
  <c r="F75" i="24" s="1"/>
  <c r="F20" i="24" a="1"/>
  <c r="F20" i="24" s="1"/>
  <c r="F69" i="24" a="1"/>
  <c r="F69" i="24" s="1"/>
  <c r="K67" i="21"/>
  <c r="K70" i="21" s="1"/>
  <c r="V27" i="17" s="1"/>
  <c r="F72" i="24" a="1"/>
  <c r="F72" i="24" s="1"/>
  <c r="F119" i="24" a="1"/>
  <c r="F119" i="24" s="1"/>
  <c r="F93" i="24" a="1"/>
  <c r="F93" i="24" s="1"/>
  <c r="F86" i="24" a="1"/>
  <c r="F86" i="24" s="1"/>
  <c r="F48" i="24" a="1"/>
  <c r="F48" i="24" s="1"/>
  <c r="F30" i="24" a="1"/>
  <c r="F30" i="24" s="1"/>
  <c r="F21" i="24" a="1"/>
  <c r="F21" i="24" s="1"/>
  <c r="F23" i="24" a="1"/>
  <c r="F23" i="24" s="1"/>
  <c r="F6" i="25" a="1"/>
  <c r="F6" i="25" s="1"/>
  <c r="I6" i="25" s="1"/>
  <c r="F37" i="24" a="1"/>
  <c r="F37" i="24" s="1"/>
  <c r="F61" i="24" a="1"/>
  <c r="F61" i="24" s="1"/>
  <c r="F39" i="24" a="1"/>
  <c r="F39" i="24" s="1"/>
  <c r="F133" i="24" a="1"/>
  <c r="F133" i="24" s="1"/>
  <c r="F22" i="24" a="1"/>
  <c r="F22" i="24" s="1"/>
  <c r="F43" i="24" a="1"/>
  <c r="F43" i="24" s="1"/>
  <c r="F62" i="24" a="1"/>
  <c r="F62" i="24" s="1"/>
  <c r="H67" i="21"/>
  <c r="H68" i="21" s="1"/>
  <c r="G64" i="21"/>
  <c r="F44" i="24" a="1"/>
  <c r="F44" i="24" s="1"/>
  <c r="F131" i="24" a="1"/>
  <c r="F131" i="24" s="1"/>
  <c r="F6" i="24" a="1"/>
  <c r="F6" i="24" s="1"/>
  <c r="I88" i="24" s="1" a="1"/>
  <c r="I88" i="24" s="1"/>
  <c r="E125" i="21"/>
  <c r="G50" i="16" s="1"/>
  <c r="F27" i="19" a="1"/>
  <c r="F27" i="19" s="1"/>
  <c r="F38" i="19" a="1"/>
  <c r="F38" i="19" s="1"/>
  <c r="F34" i="19" a="1"/>
  <c r="F34" i="19" s="1"/>
  <c r="F132" i="19" a="1"/>
  <c r="F132" i="19" s="1"/>
  <c r="E17" i="19"/>
  <c r="F99" i="19" a="1"/>
  <c r="F99" i="19" s="1"/>
  <c r="F37" i="19" a="1"/>
  <c r="F37" i="19" s="1"/>
  <c r="F116" i="19" a="1"/>
  <c r="F116" i="19" s="1"/>
  <c r="F54" i="19" a="1"/>
  <c r="F54" i="19" s="1"/>
  <c r="F131" i="19" a="1"/>
  <c r="F131" i="19" s="1"/>
  <c r="F75" i="19" a="1"/>
  <c r="F75" i="19" s="1"/>
  <c r="F65" i="19" a="1"/>
  <c r="F65" i="19" s="1"/>
  <c r="F52" i="19" a="1"/>
  <c r="F52" i="19" s="1"/>
  <c r="F123" i="19" a="1"/>
  <c r="F123" i="19" s="1"/>
  <c r="F97" i="19" a="1"/>
  <c r="F97" i="19" s="1"/>
  <c r="F57" i="19" a="1"/>
  <c r="F57" i="19" s="1"/>
  <c r="F103" i="19" a="1"/>
  <c r="F103" i="19" s="1"/>
  <c r="F98" i="19" a="1"/>
  <c r="F98" i="19" s="1"/>
  <c r="F23" i="19" a="1"/>
  <c r="F23" i="19" s="1"/>
  <c r="J5" i="19"/>
  <c r="F130" i="19" a="1"/>
  <c r="F130" i="19" s="1"/>
  <c r="F29" i="19" a="1"/>
  <c r="F29" i="19" s="1"/>
  <c r="G125" i="21"/>
  <c r="I50" i="16" s="1"/>
  <c r="M17" i="24"/>
  <c r="F92" i="24" a="1"/>
  <c r="F92" i="24" s="1"/>
  <c r="F6" i="19" a="1"/>
  <c r="F6" i="19" s="1"/>
  <c r="I82" i="19" s="1" a="1"/>
  <c r="I82" i="19" s="1"/>
  <c r="F133" i="19" a="1"/>
  <c r="F133" i="19" s="1"/>
  <c r="F78" i="19" a="1"/>
  <c r="F78" i="19" s="1"/>
  <c r="F44" i="19" a="1"/>
  <c r="F44" i="19" s="1"/>
  <c r="F20" i="19" a="1"/>
  <c r="F20" i="19" s="1"/>
  <c r="F129" i="19" a="1"/>
  <c r="F129" i="19" s="1"/>
  <c r="F112" i="19" a="1"/>
  <c r="F112" i="19" s="1"/>
  <c r="F102" i="19" a="1"/>
  <c r="F102" i="19" s="1"/>
  <c r="F89" i="19" a="1"/>
  <c r="F89" i="19" s="1"/>
  <c r="F42" i="19" a="1"/>
  <c r="F42" i="19" s="1"/>
  <c r="F28" i="19" a="1"/>
  <c r="F28" i="19" s="1"/>
  <c r="F125" i="19" a="1"/>
  <c r="F125" i="19" s="1"/>
  <c r="F62" i="19" a="1"/>
  <c r="F62" i="19" s="1"/>
  <c r="F77" i="19" a="1"/>
  <c r="F77" i="19" s="1"/>
  <c r="F53" i="19" a="1"/>
  <c r="F53" i="19" s="1"/>
  <c r="F73" i="19" a="1"/>
  <c r="F73" i="19" s="1"/>
  <c r="F86" i="19" a="1"/>
  <c r="F86" i="19" s="1"/>
  <c r="E64" i="21"/>
  <c r="F35" i="19" a="1"/>
  <c r="F35" i="19" s="1"/>
  <c r="F58" i="19" a="1"/>
  <c r="F58" i="19" s="1"/>
  <c r="F94" i="19" a="1"/>
  <c r="F94" i="19" s="1"/>
  <c r="F105" i="19" a="1"/>
  <c r="F105" i="19" s="1"/>
  <c r="F67" i="19" a="1"/>
  <c r="F67" i="19" s="1"/>
  <c r="F43" i="19" a="1"/>
  <c r="F43" i="19" s="1"/>
  <c r="F48" i="19" a="1"/>
  <c r="F48" i="19" s="1"/>
  <c r="F30" i="19" a="1"/>
  <c r="F30" i="19" s="1"/>
  <c r="F104" i="24" a="1"/>
  <c r="F104" i="24" s="1"/>
  <c r="M17" i="19"/>
  <c r="I5" i="24"/>
  <c r="F103" i="24" a="1"/>
  <c r="F103" i="24" s="1"/>
  <c r="F28" i="24" a="1"/>
  <c r="F28" i="24" s="1"/>
  <c r="F35" i="24" a="1"/>
  <c r="F35" i="24" s="1"/>
  <c r="F122" i="24" a="1"/>
  <c r="F122" i="24" s="1"/>
  <c r="F134" i="24" a="1"/>
  <c r="F134" i="24" s="1"/>
  <c r="J5" i="24"/>
  <c r="F77" i="24" a="1"/>
  <c r="F77" i="24" s="1"/>
  <c r="F118" i="24" a="1"/>
  <c r="F118" i="24" s="1"/>
  <c r="F46" i="24" a="1"/>
  <c r="F46" i="24" s="1"/>
  <c r="F63" i="24" a="1"/>
  <c r="F63" i="24" s="1"/>
  <c r="F51" i="24" a="1"/>
  <c r="F51" i="24" s="1"/>
  <c r="F85" i="24" a="1"/>
  <c r="F85" i="24" s="1"/>
  <c r="F128" i="24" a="1"/>
  <c r="F128" i="24" s="1"/>
  <c r="F42" i="24" a="1"/>
  <c r="F42" i="24" s="1"/>
  <c r="F54" i="24" a="1"/>
  <c r="F54" i="24" s="1"/>
  <c r="F26" i="24" a="1"/>
  <c r="F26" i="24" s="1"/>
  <c r="F47" i="24" a="1"/>
  <c r="F47" i="24" s="1"/>
  <c r="F64" i="24" a="1"/>
  <c r="F64" i="24" s="1"/>
  <c r="F58" i="24" a="1"/>
  <c r="F58" i="24" s="1"/>
  <c r="F157" i="24" a="1"/>
  <c r="F157" i="24" s="1"/>
  <c r="F65" i="24" a="1"/>
  <c r="F65" i="24" s="1"/>
  <c r="F33" i="24" a="1"/>
  <c r="F33" i="24" s="1"/>
  <c r="F57" i="24" a="1"/>
  <c r="F57" i="24" s="1"/>
  <c r="F36" i="24" a="1"/>
  <c r="F36" i="24" s="1"/>
  <c r="F117" i="24" a="1"/>
  <c r="F117" i="24" s="1"/>
  <c r="F74" i="24" a="1"/>
  <c r="F74" i="24" s="1"/>
  <c r="F87" i="24" a="1"/>
  <c r="F87" i="24" s="1"/>
  <c r="F19" i="24" a="1"/>
  <c r="F19" i="24" s="1"/>
  <c r="F52" i="24" a="1"/>
  <c r="F52" i="24" s="1"/>
  <c r="F68" i="24" a="1"/>
  <c r="F68" i="24" s="1"/>
  <c r="F124" i="24" a="1"/>
  <c r="F124" i="24" s="1"/>
  <c r="F94" i="24" a="1"/>
  <c r="F94" i="24" s="1"/>
  <c r="E17" i="24"/>
  <c r="F79" i="24" a="1"/>
  <c r="F79" i="24" s="1"/>
  <c r="F97" i="24" a="1"/>
  <c r="F97" i="24" s="1"/>
  <c r="F113" i="24" a="1"/>
  <c r="F113" i="24" s="1"/>
  <c r="F112" i="24" a="1"/>
  <c r="F112" i="24" s="1"/>
  <c r="F76" i="24" a="1"/>
  <c r="F76" i="24" s="1"/>
  <c r="F29" i="24" a="1"/>
  <c r="F29" i="24" s="1"/>
  <c r="F120" i="24" a="1"/>
  <c r="F120" i="24" s="1"/>
  <c r="F106" i="24" a="1"/>
  <c r="F106" i="24" s="1"/>
  <c r="F129" i="24" a="1"/>
  <c r="F129" i="24" s="1"/>
  <c r="F78" i="24" a="1"/>
  <c r="F78" i="24" s="1"/>
  <c r="G17" i="24"/>
  <c r="F121" i="24" a="1"/>
  <c r="F121" i="24" s="1"/>
  <c r="F125" i="24" a="1"/>
  <c r="F125" i="24" s="1"/>
  <c r="F83" i="24" a="1"/>
  <c r="F83" i="24" s="1"/>
  <c r="F101" i="24" a="1"/>
  <c r="F101" i="24" s="1"/>
  <c r="F34" i="24" a="1"/>
  <c r="F34" i="24" s="1"/>
  <c r="F102" i="24" a="1"/>
  <c r="F102" i="24" s="1"/>
  <c r="F100" i="24" a="1"/>
  <c r="F100" i="24" s="1"/>
  <c r="F88" i="24" a="1"/>
  <c r="F88" i="24" s="1"/>
  <c r="F116" i="24" a="1"/>
  <c r="F116" i="24" s="1"/>
  <c r="F45" i="24" a="1"/>
  <c r="F45" i="24" s="1"/>
  <c r="F99" i="24" a="1"/>
  <c r="F99" i="24" s="1"/>
  <c r="F89" i="24" a="1"/>
  <c r="F89" i="24" s="1"/>
  <c r="F38" i="24" a="1"/>
  <c r="F38" i="24" s="1"/>
  <c r="F27" i="24" a="1"/>
  <c r="F27" i="24" s="1"/>
  <c r="F73" i="24" a="1"/>
  <c r="F73" i="24" s="1"/>
  <c r="F56" i="24" a="1"/>
  <c r="F56" i="24" s="1"/>
  <c r="F98" i="24" a="1"/>
  <c r="F98" i="24" s="1"/>
  <c r="F130" i="24" a="1"/>
  <c r="F130" i="24" s="1"/>
  <c r="F55" i="24" a="1"/>
  <c r="F55" i="24" s="1"/>
  <c r="F67" i="21"/>
  <c r="F70" i="21" s="1"/>
  <c r="E68" i="21"/>
  <c r="G211" i="24"/>
  <c r="M211" i="24" s="1"/>
  <c r="K104" i="16" s="1"/>
  <c r="J125" i="21"/>
  <c r="L50" i="16" s="1"/>
  <c r="J111" i="21"/>
  <c r="L43" i="16" s="1"/>
  <c r="M250" i="21"/>
  <c r="L258" i="21"/>
  <c r="L12" i="17"/>
  <c r="N261" i="21"/>
  <c r="O186" i="21"/>
  <c r="O194" i="21" s="1"/>
  <c r="O234" i="21"/>
  <c r="N242" i="21"/>
  <c r="O218" i="21"/>
  <c r="O202" i="21"/>
  <c r="N210" i="21"/>
  <c r="O170" i="21"/>
  <c r="N178" i="21"/>
  <c r="L19" i="17"/>
  <c r="S22" i="17"/>
  <c r="E196" i="24" a="1"/>
  <c r="P86" i="25" a="1"/>
  <c r="E128" i="19" a="1"/>
  <c r="E83" i="19" a="1"/>
  <c r="E198" i="24" a="1"/>
  <c r="E88" i="19" a="1"/>
  <c r="P87" i="25" a="1"/>
  <c r="P82" i="25" a="1"/>
  <c r="H86" i="25" a="1"/>
  <c r="E72" i="19" a="1"/>
  <c r="H87" i="25" a="1"/>
  <c r="E79" i="19" a="1"/>
  <c r="S86" i="25" a="1"/>
  <c r="P196" i="25" a="1"/>
  <c r="P198" i="25" a="1"/>
  <c r="G211" i="22" a="1"/>
  <c r="S89" i="25" a="1"/>
  <c r="S198" i="25" a="1"/>
  <c r="G211" i="19" a="1"/>
  <c r="H82" i="25" a="1"/>
  <c r="E157" i="19" a="1"/>
  <c r="H88" i="25" a="1"/>
  <c r="E197" i="24" a="1"/>
  <c r="H89" i="25" a="1"/>
  <c r="P197" i="25" a="1"/>
  <c r="E196" i="19" a="1"/>
  <c r="E85" i="19" a="1"/>
  <c r="P85" i="25" a="1"/>
  <c r="E198" i="19" a="1"/>
  <c r="S83" i="25" a="1"/>
  <c r="E19" i="19" a="1"/>
  <c r="S197" i="25" a="1"/>
  <c r="E82" i="19" a="1"/>
  <c r="P84" i="25" a="1"/>
  <c r="H83" i="25" a="1"/>
  <c r="S87" i="25" a="1"/>
  <c r="H84" i="25" a="1"/>
  <c r="E87" i="19" a="1"/>
  <c r="S82" i="25" a="1"/>
  <c r="S196" i="25" a="1"/>
  <c r="G211" i="25" a="1"/>
  <c r="P89" i="25" a="1"/>
  <c r="E84" i="19" a="1"/>
  <c r="E89" i="19" a="1"/>
  <c r="H157" i="25" a="1"/>
  <c r="E197" i="19" a="1"/>
  <c r="H85" i="25" a="1"/>
  <c r="P88" i="25" a="1"/>
  <c r="E86" i="19" a="1"/>
  <c r="S88" i="25" a="1"/>
  <c r="E85" i="24" a="1"/>
  <c r="P85" i="25" l="1"/>
  <c r="R85" i="25" s="1"/>
  <c r="P89" i="25"/>
  <c r="R89" i="25" s="1"/>
  <c r="P84" i="25"/>
  <c r="R84" i="25" s="1"/>
  <c r="P197" i="25"/>
  <c r="R197" i="25" s="1"/>
  <c r="I43" i="22" a="1"/>
  <c r="I43" i="22" s="1"/>
  <c r="I128" i="22" a="1"/>
  <c r="I128" i="22" s="1"/>
  <c r="I36" i="22" a="1"/>
  <c r="I36" i="22" s="1"/>
  <c r="I66" i="22" a="1"/>
  <c r="I66" i="22" s="1"/>
  <c r="J6" i="22"/>
  <c r="I44" i="22" a="1"/>
  <c r="I44" i="22" s="1"/>
  <c r="I61" i="22" a="1"/>
  <c r="I61" i="22" s="1"/>
  <c r="I86" i="22" a="1"/>
  <c r="I86" i="22" s="1"/>
  <c r="I38" i="24" a="1"/>
  <c r="I38" i="24" s="1"/>
  <c r="I84" i="22" a="1"/>
  <c r="I84" i="22" s="1"/>
  <c r="I94" i="22" a="1"/>
  <c r="I94" i="22" s="1"/>
  <c r="I35" i="22" a="1"/>
  <c r="I35" i="22" s="1"/>
  <c r="I119" i="22" a="1"/>
  <c r="I119" i="22" s="1"/>
  <c r="I85" i="22" a="1"/>
  <c r="I85" i="22" s="1"/>
  <c r="I55" i="22" a="1"/>
  <c r="I55" i="22" s="1"/>
  <c r="I94" i="24" a="1"/>
  <c r="I94" i="24" s="1"/>
  <c r="I82" i="22" a="1"/>
  <c r="I82" i="22" s="1"/>
  <c r="I89" i="22" a="1"/>
  <c r="I89" i="22" s="1"/>
  <c r="I53" i="22" a="1"/>
  <c r="I53" i="22" s="1"/>
  <c r="AH4" i="17"/>
  <c r="K4" i="17" s="1"/>
  <c r="I100" i="22" a="1"/>
  <c r="I100" i="22" s="1"/>
  <c r="I124" i="22" a="1"/>
  <c r="I124" i="22" s="1"/>
  <c r="I39" i="22" a="1"/>
  <c r="I39" i="22" s="1"/>
  <c r="I63" i="22" a="1"/>
  <c r="I63" i="22" s="1"/>
  <c r="I103" i="22" a="1"/>
  <c r="I103" i="22" s="1"/>
  <c r="K125" i="21"/>
  <c r="M50" i="16" s="1"/>
  <c r="S196" i="25"/>
  <c r="U196" i="25" s="1"/>
  <c r="S87" i="25"/>
  <c r="U87" i="25" s="1"/>
  <c r="S86" i="25"/>
  <c r="U86" i="25" s="1"/>
  <c r="S89" i="25"/>
  <c r="U89" i="25" s="1"/>
  <c r="L67" i="21"/>
  <c r="L70" i="21" s="1"/>
  <c r="X27" i="17" s="1"/>
  <c r="S26" i="17"/>
  <c r="AO4" i="17" s="1"/>
  <c r="R4" i="17" s="1"/>
  <c r="K111" i="21"/>
  <c r="M43" i="16" s="1"/>
  <c r="I113" i="22" a="1"/>
  <c r="I113" i="22" s="1"/>
  <c r="I105" i="22" a="1"/>
  <c r="I105" i="22" s="1"/>
  <c r="I133" i="22" a="1"/>
  <c r="I133" i="22" s="1"/>
  <c r="I117" i="22" a="1"/>
  <c r="I117" i="22" s="1"/>
  <c r="I45" i="22" a="1"/>
  <c r="I45" i="22" s="1"/>
  <c r="I122" i="22" a="1"/>
  <c r="I122" i="22" s="1"/>
  <c r="I76" i="22" a="1"/>
  <c r="I76" i="22" s="1"/>
  <c r="I68" i="22" a="1"/>
  <c r="I68" i="22" s="1"/>
  <c r="I57" i="22" a="1"/>
  <c r="I57" i="22" s="1"/>
  <c r="I106" i="22" a="1"/>
  <c r="I106" i="22" s="1"/>
  <c r="I73" i="22" a="1"/>
  <c r="I73" i="22" s="1"/>
  <c r="I120" i="25" a="1"/>
  <c r="I120" i="25" s="1"/>
  <c r="I46" i="22" a="1"/>
  <c r="I46" i="22" s="1"/>
  <c r="I74" i="22" a="1"/>
  <c r="I74" i="22" s="1"/>
  <c r="I56" i="22" a="1"/>
  <c r="I56" i="22" s="1"/>
  <c r="I112" i="22" a="1"/>
  <c r="I112" i="22" s="1"/>
  <c r="I22" i="22" a="1"/>
  <c r="I22" i="22" s="1"/>
  <c r="I34" i="22" a="1"/>
  <c r="I34" i="22" s="1"/>
  <c r="I37" i="22" a="1"/>
  <c r="I37" i="22" s="1"/>
  <c r="I30" i="22" a="1"/>
  <c r="I30" i="22" s="1"/>
  <c r="I23" i="22" a="1"/>
  <c r="I23" i="22" s="1"/>
  <c r="I42" i="22" a="1"/>
  <c r="I42" i="22" s="1"/>
  <c r="I78" i="22" a="1"/>
  <c r="I78" i="22" s="1"/>
  <c r="I47" i="22" a="1"/>
  <c r="I47" i="22" s="1"/>
  <c r="I116" i="22" a="1"/>
  <c r="I116" i="22" s="1"/>
  <c r="I72" i="22" a="1"/>
  <c r="I72" i="22" s="1"/>
  <c r="I48" i="22" a="1"/>
  <c r="I48" i="22" s="1"/>
  <c r="I99" i="22" a="1"/>
  <c r="I99" i="22" s="1"/>
  <c r="I79" i="22" a="1"/>
  <c r="I79" i="22" s="1"/>
  <c r="I121" i="22" a="1"/>
  <c r="I121" i="22" s="1"/>
  <c r="I54" i="22" a="1"/>
  <c r="I54" i="22" s="1"/>
  <c r="I120" i="22" a="1"/>
  <c r="I120" i="22" s="1"/>
  <c r="I58" i="22" a="1"/>
  <c r="I58" i="22" s="1"/>
  <c r="I130" i="22" a="1"/>
  <c r="I130" i="22" s="1"/>
  <c r="I88" i="22" a="1"/>
  <c r="I88" i="22" s="1"/>
  <c r="I83" i="22" a="1"/>
  <c r="I83" i="22" s="1"/>
  <c r="I33" i="22" a="1"/>
  <c r="I33" i="22" s="1"/>
  <c r="I131" i="22" a="1"/>
  <c r="I131" i="22" s="1"/>
  <c r="I26" i="22" a="1"/>
  <c r="I26" i="22" s="1"/>
  <c r="I93" i="22" a="1"/>
  <c r="I93" i="22" s="1"/>
  <c r="I123" i="22" a="1"/>
  <c r="I123" i="22" s="1"/>
  <c r="I6" i="22"/>
  <c r="I132" i="22" a="1"/>
  <c r="I132" i="22" s="1"/>
  <c r="I21" i="22" a="1"/>
  <c r="I21" i="22" s="1"/>
  <c r="I38" i="22" a="1"/>
  <c r="I38" i="22" s="1"/>
  <c r="I129" i="22" a="1"/>
  <c r="I129" i="22" s="1"/>
  <c r="I62" i="22" a="1"/>
  <c r="I62" i="22" s="1"/>
  <c r="I62" i="24" a="1"/>
  <c r="I62" i="24" s="1"/>
  <c r="I98" i="22" a="1"/>
  <c r="I98" i="22" s="1"/>
  <c r="I29" i="22" a="1"/>
  <c r="I29" i="22" s="1"/>
  <c r="I125" i="22" a="1"/>
  <c r="I125" i="22" s="1"/>
  <c r="I65" i="22" a="1"/>
  <c r="I65" i="22" s="1"/>
  <c r="I69" i="22" a="1"/>
  <c r="I69" i="22" s="1"/>
  <c r="I118" i="22" a="1"/>
  <c r="I118" i="22" s="1"/>
  <c r="I92" i="22" a="1"/>
  <c r="I92" i="22" s="1"/>
  <c r="I19" i="22" a="1"/>
  <c r="I19" i="22" s="1"/>
  <c r="I102" i="22" a="1"/>
  <c r="I102" i="22" s="1"/>
  <c r="I157" i="22" a="1"/>
  <c r="I157" i="22" s="1"/>
  <c r="H17" i="22"/>
  <c r="I20" i="22" a="1"/>
  <c r="I20" i="22" s="1"/>
  <c r="I27" i="22" a="1"/>
  <c r="I27" i="22" s="1"/>
  <c r="I97" i="22" a="1"/>
  <c r="I97" i="22" s="1"/>
  <c r="I101" i="22" a="1"/>
  <c r="I101" i="22" s="1"/>
  <c r="I104" i="22" a="1"/>
  <c r="I104" i="22" s="1"/>
  <c r="I28" i="22" a="1"/>
  <c r="I28" i="22" s="1"/>
  <c r="I51" i="22" a="1"/>
  <c r="I51" i="22" s="1"/>
  <c r="I134" i="22" a="1"/>
  <c r="I134" i="22" s="1"/>
  <c r="I52" i="22" a="1"/>
  <c r="I52" i="22" s="1"/>
  <c r="I75" i="22" a="1"/>
  <c r="I75" i="22" s="1"/>
  <c r="I64" i="22" a="1"/>
  <c r="I64" i="22" s="1"/>
  <c r="I67" i="22" a="1"/>
  <c r="I67" i="22" s="1"/>
  <c r="I87" i="22" a="1"/>
  <c r="I87" i="22" s="1"/>
  <c r="I77" i="22" a="1"/>
  <c r="I77" i="22" s="1"/>
  <c r="T89" i="24" a="1"/>
  <c r="T89" i="24" s="1"/>
  <c r="T102" i="24" a="1"/>
  <c r="T102" i="24" s="1"/>
  <c r="T43" i="24" a="1"/>
  <c r="T43" i="24" s="1"/>
  <c r="T23" i="24" a="1"/>
  <c r="T23" i="24" s="1"/>
  <c r="T128" i="24" a="1"/>
  <c r="T128" i="24" s="1"/>
  <c r="T22" i="24" a="1"/>
  <c r="T22" i="24" s="1"/>
  <c r="T97" i="24" a="1"/>
  <c r="T97" i="24" s="1"/>
  <c r="T84" i="24" a="1"/>
  <c r="T84" i="24" s="1"/>
  <c r="T129" i="24" a="1"/>
  <c r="T129" i="24" s="1"/>
  <c r="T133" i="24" a="1"/>
  <c r="T133" i="24" s="1"/>
  <c r="T36" i="24" a="1"/>
  <c r="T36" i="24" s="1"/>
  <c r="T19" i="24" a="1"/>
  <c r="T19" i="24" s="1"/>
  <c r="T26" i="24" a="1"/>
  <c r="T26" i="24" s="1"/>
  <c r="AA6" i="24"/>
  <c r="T65" i="24" a="1"/>
  <c r="T65" i="24" s="1"/>
  <c r="T88" i="24" a="1"/>
  <c r="T88" i="24" s="1"/>
  <c r="T74" i="24" a="1"/>
  <c r="T74" i="24" s="1"/>
  <c r="T92" i="24" a="1"/>
  <c r="T92" i="24" s="1"/>
  <c r="T77" i="24" a="1"/>
  <c r="T77" i="24" s="1"/>
  <c r="T62" i="24" a="1"/>
  <c r="T62" i="24" s="1"/>
  <c r="T20" i="24" a="1"/>
  <c r="T20" i="24" s="1"/>
  <c r="T83" i="24" a="1"/>
  <c r="T83" i="24" s="1"/>
  <c r="T99" i="24" a="1"/>
  <c r="T99" i="24" s="1"/>
  <c r="T47" i="24" a="1"/>
  <c r="T47" i="24" s="1"/>
  <c r="T54" i="24" a="1"/>
  <c r="T54" i="24" s="1"/>
  <c r="T35" i="24" a="1"/>
  <c r="T35" i="24" s="1"/>
  <c r="T39" i="24" a="1"/>
  <c r="T39" i="24" s="1"/>
  <c r="T85" i="24" a="1"/>
  <c r="T85" i="24" s="1"/>
  <c r="T75" i="24" a="1"/>
  <c r="T75" i="24" s="1"/>
  <c r="T63" i="24" a="1"/>
  <c r="T63" i="24" s="1"/>
  <c r="T86" i="24" a="1"/>
  <c r="T86" i="24" s="1"/>
  <c r="T29" i="24" a="1"/>
  <c r="T29" i="24" s="1"/>
  <c r="T66" i="24" a="1"/>
  <c r="T66" i="24" s="1"/>
  <c r="T30" i="24" a="1"/>
  <c r="T30" i="24" s="1"/>
  <c r="T33" i="24" a="1"/>
  <c r="T33" i="24" s="1"/>
  <c r="T34" i="24" a="1"/>
  <c r="T34" i="24" s="1"/>
  <c r="AB6" i="24"/>
  <c r="T55" i="24" a="1"/>
  <c r="T55" i="24" s="1"/>
  <c r="T21" i="24" a="1"/>
  <c r="T21" i="24" s="1"/>
  <c r="T46" i="24" a="1"/>
  <c r="T46" i="24" s="1"/>
  <c r="T131" i="24" a="1"/>
  <c r="T131" i="24" s="1"/>
  <c r="T68" i="24" a="1"/>
  <c r="T68" i="24" s="1"/>
  <c r="U17" i="24"/>
  <c r="T93" i="24" a="1"/>
  <c r="T93" i="24" s="1"/>
  <c r="T61" i="24" a="1"/>
  <c r="T61" i="24" s="1"/>
  <c r="T132" i="24" a="1"/>
  <c r="T132" i="24" s="1"/>
  <c r="T53" i="24" a="1"/>
  <c r="T53" i="24" s="1"/>
  <c r="T57" i="24" a="1"/>
  <c r="T57" i="24" s="1"/>
  <c r="T103" i="24" a="1"/>
  <c r="T103" i="24" s="1"/>
  <c r="T100" i="24" a="1"/>
  <c r="T100" i="24" s="1"/>
  <c r="T79" i="24" a="1"/>
  <c r="T79" i="24" s="1"/>
  <c r="T98" i="24" a="1"/>
  <c r="T98" i="24" s="1"/>
  <c r="T28" i="24" a="1"/>
  <c r="T28" i="24" s="1"/>
  <c r="T130" i="24" a="1"/>
  <c r="T130" i="24" s="1"/>
  <c r="T101" i="24" a="1"/>
  <c r="T101" i="24" s="1"/>
  <c r="T37" i="24" a="1"/>
  <c r="T37" i="24" s="1"/>
  <c r="T27" i="24" a="1"/>
  <c r="T27" i="24" s="1"/>
  <c r="T38" i="24" a="1"/>
  <c r="T38" i="24" s="1"/>
  <c r="T72" i="24" a="1"/>
  <c r="T72" i="24" s="1"/>
  <c r="T76" i="24" a="1"/>
  <c r="T76" i="24" s="1"/>
  <c r="S17" i="24"/>
  <c r="T78" i="24" a="1"/>
  <c r="T78" i="24" s="1"/>
  <c r="T56" i="24" a="1"/>
  <c r="T56" i="24" s="1"/>
  <c r="T94" i="24" a="1"/>
  <c r="T94" i="24" s="1"/>
  <c r="T82" i="24" a="1"/>
  <c r="T82" i="24" s="1"/>
  <c r="T44" i="24" a="1"/>
  <c r="T44" i="24" s="1"/>
  <c r="T48" i="24" a="1"/>
  <c r="T48" i="24" s="1"/>
  <c r="T64" i="24" a="1"/>
  <c r="T64" i="24" s="1"/>
  <c r="T51" i="24" a="1"/>
  <c r="T51" i="24" s="1"/>
  <c r="T69" i="24" a="1"/>
  <c r="T69" i="24" s="1"/>
  <c r="T104" i="24" a="1"/>
  <c r="T104" i="24" s="1"/>
  <c r="T67" i="24" a="1"/>
  <c r="T67" i="24" s="1"/>
  <c r="T134" i="24" a="1"/>
  <c r="T134" i="24" s="1"/>
  <c r="T42" i="24" a="1"/>
  <c r="T42" i="24" s="1"/>
  <c r="T105" i="24" a="1"/>
  <c r="T105" i="24" s="1"/>
  <c r="T45" i="24" a="1"/>
  <c r="T45" i="24" s="1"/>
  <c r="T87" i="24" a="1"/>
  <c r="T87" i="24" s="1"/>
  <c r="T58" i="24" a="1"/>
  <c r="T58" i="24" s="1"/>
  <c r="T52" i="24" a="1"/>
  <c r="T52" i="24" s="1"/>
  <c r="T73" i="24" a="1"/>
  <c r="T73" i="24" s="1"/>
  <c r="T106" i="24" a="1"/>
  <c r="T106" i="24" s="1"/>
  <c r="Q87" i="24" a="1"/>
  <c r="Q87" i="24" s="1"/>
  <c r="Q104" i="24" a="1"/>
  <c r="Q104" i="24" s="1"/>
  <c r="Q94" i="24" a="1"/>
  <c r="Q94" i="24" s="1"/>
  <c r="Q42" i="24" a="1"/>
  <c r="Q42" i="24" s="1"/>
  <c r="Q101" i="24" a="1"/>
  <c r="Q101" i="24" s="1"/>
  <c r="Q98" i="24" a="1"/>
  <c r="Q98" i="24" s="1"/>
  <c r="Q48" i="24" a="1"/>
  <c r="Q48" i="24" s="1"/>
  <c r="Q86" i="24" a="1"/>
  <c r="Q86" i="24" s="1"/>
  <c r="Q97" i="24" a="1"/>
  <c r="Q97" i="24" s="1"/>
  <c r="Q27" i="24" a="1"/>
  <c r="Q27" i="24" s="1"/>
  <c r="Q39" i="24" a="1"/>
  <c r="Q39" i="24" s="1"/>
  <c r="Q61" i="24" a="1"/>
  <c r="Q61" i="24" s="1"/>
  <c r="Q66" i="24" a="1"/>
  <c r="Q66" i="24" s="1"/>
  <c r="Q33" i="24" a="1"/>
  <c r="Q33" i="24" s="1"/>
  <c r="Q46" i="24" a="1"/>
  <c r="Q46" i="24" s="1"/>
  <c r="Q68" i="24" a="1"/>
  <c r="Q68" i="24" s="1"/>
  <c r="Q28" i="24" a="1"/>
  <c r="Q28" i="24" s="1"/>
  <c r="Q56" i="24" a="1"/>
  <c r="Q56" i="24" s="1"/>
  <c r="AB5" i="24"/>
  <c r="Q37" i="24" a="1"/>
  <c r="Q37" i="24" s="1"/>
  <c r="Q83" i="24" a="1"/>
  <c r="Q83" i="24" s="1"/>
  <c r="Q85" i="24" a="1"/>
  <c r="Q85" i="24" s="1"/>
  <c r="Q51" i="24" a="1"/>
  <c r="Q51" i="24" s="1"/>
  <c r="Q130" i="24" a="1"/>
  <c r="Q130" i="24" s="1"/>
  <c r="R17" i="24"/>
  <c r="Q52" i="24" a="1"/>
  <c r="Q52" i="24" s="1"/>
  <c r="Q29" i="24" a="1"/>
  <c r="Q29" i="24" s="1"/>
  <c r="Q26" i="24" a="1"/>
  <c r="Q26" i="24" s="1"/>
  <c r="Q19" i="24" a="1"/>
  <c r="Q19" i="24" s="1"/>
  <c r="Q23" i="24" a="1"/>
  <c r="Q23" i="24" s="1"/>
  <c r="Q47" i="24" a="1"/>
  <c r="Q47" i="24" s="1"/>
  <c r="Q92" i="24" a="1"/>
  <c r="Q92" i="24" s="1"/>
  <c r="Q57" i="24" a="1"/>
  <c r="Q57" i="24" s="1"/>
  <c r="Q102" i="24" a="1"/>
  <c r="Q102" i="24" s="1"/>
  <c r="Q88" i="24" a="1"/>
  <c r="Q88" i="24" s="1"/>
  <c r="AA5" i="24"/>
  <c r="Q43" i="24" a="1"/>
  <c r="Q43" i="24" s="1"/>
  <c r="Q77" i="24" a="1"/>
  <c r="Q77" i="24" s="1"/>
  <c r="Q93" i="24" a="1"/>
  <c r="Q93" i="24" s="1"/>
  <c r="Q100" i="24" a="1"/>
  <c r="Q100" i="24" s="1"/>
  <c r="Q133" i="24" a="1"/>
  <c r="Q133" i="24" s="1"/>
  <c r="Q84" i="24" a="1"/>
  <c r="Q84" i="24" s="1"/>
  <c r="Q36" i="24" a="1"/>
  <c r="Q36" i="24" s="1"/>
  <c r="Q129" i="24" a="1"/>
  <c r="Q129" i="24" s="1"/>
  <c r="Q73" i="24" a="1"/>
  <c r="Q73" i="24" s="1"/>
  <c r="Q74" i="24" a="1"/>
  <c r="Q74" i="24" s="1"/>
  <c r="Q64" i="24" a="1"/>
  <c r="Q64" i="24" s="1"/>
  <c r="Q54" i="24" a="1"/>
  <c r="Q54" i="24" s="1"/>
  <c r="Q128" i="24" a="1"/>
  <c r="Q128" i="24" s="1"/>
  <c r="Q79" i="24" a="1"/>
  <c r="Q79" i="24" s="1"/>
  <c r="Q69" i="24" a="1"/>
  <c r="Q69" i="24" s="1"/>
  <c r="Q55" i="24" a="1"/>
  <c r="Q55" i="24" s="1"/>
  <c r="Q53" i="24" a="1"/>
  <c r="Q53" i="24" s="1"/>
  <c r="Q65" i="24" a="1"/>
  <c r="Q65" i="24" s="1"/>
  <c r="Q134" i="24" a="1"/>
  <c r="Q134" i="24" s="1"/>
  <c r="Q35" i="24" a="1"/>
  <c r="Q35" i="24" s="1"/>
  <c r="Q44" i="24" a="1"/>
  <c r="Q44" i="24" s="1"/>
  <c r="Q103" i="24" a="1"/>
  <c r="Q103" i="24" s="1"/>
  <c r="Q30" i="24" a="1"/>
  <c r="Q30" i="24" s="1"/>
  <c r="Q78" i="24" a="1"/>
  <c r="Q78" i="24" s="1"/>
  <c r="Q62" i="24" a="1"/>
  <c r="Q62" i="24" s="1"/>
  <c r="Q45" i="24" a="1"/>
  <c r="Q45" i="24" s="1"/>
  <c r="Q89" i="24" a="1"/>
  <c r="Q89" i="24" s="1"/>
  <c r="Q106" i="24" a="1"/>
  <c r="Q106" i="24" s="1"/>
  <c r="Q34" i="24" a="1"/>
  <c r="Q34" i="24" s="1"/>
  <c r="Q72" i="24" a="1"/>
  <c r="Q72" i="24" s="1"/>
  <c r="Q75" i="24" a="1"/>
  <c r="Q75" i="24" s="1"/>
  <c r="Q99" i="24" a="1"/>
  <c r="Q99" i="24" s="1"/>
  <c r="Q20" i="24" a="1"/>
  <c r="Q20" i="24" s="1"/>
  <c r="Q21" i="24" a="1"/>
  <c r="Q21" i="24" s="1"/>
  <c r="Q105" i="24" a="1"/>
  <c r="Q105" i="24" s="1"/>
  <c r="Q63" i="24" a="1"/>
  <c r="Q63" i="24" s="1"/>
  <c r="Q131" i="24" a="1"/>
  <c r="Q131" i="24" s="1"/>
  <c r="Q22" i="24" a="1"/>
  <c r="Q22" i="24" s="1"/>
  <c r="P17" i="24"/>
  <c r="Q132" i="24" a="1"/>
  <c r="Q132" i="24" s="1"/>
  <c r="Q58" i="24" a="1"/>
  <c r="Q58" i="24" s="1"/>
  <c r="Q67" i="24" a="1"/>
  <c r="Q67" i="24" s="1"/>
  <c r="Q38" i="24" a="1"/>
  <c r="Q38" i="24" s="1"/>
  <c r="Q76" i="24" a="1"/>
  <c r="Q76" i="24" s="1"/>
  <c r="Q82" i="24" a="1"/>
  <c r="Q82" i="24" s="1"/>
  <c r="Q98" i="22" a="1"/>
  <c r="Q98" i="22" s="1"/>
  <c r="Q68" i="22" a="1"/>
  <c r="Q68" i="22" s="1"/>
  <c r="Q79" i="22" a="1"/>
  <c r="Q79" i="22" s="1"/>
  <c r="Q64" i="22" a="1"/>
  <c r="Q64" i="22" s="1"/>
  <c r="AA5" i="22"/>
  <c r="Q78" i="22" a="1"/>
  <c r="Q78" i="22" s="1"/>
  <c r="Q37" i="22" a="1"/>
  <c r="Q37" i="22" s="1"/>
  <c r="Q58" i="22" a="1"/>
  <c r="Q58" i="22" s="1"/>
  <c r="Q134" i="22" a="1"/>
  <c r="Q134" i="22" s="1"/>
  <c r="Q46" i="22" a="1"/>
  <c r="Q46" i="22" s="1"/>
  <c r="Q62" i="22" a="1"/>
  <c r="Q62" i="22" s="1"/>
  <c r="Q54" i="22" a="1"/>
  <c r="Q54" i="22" s="1"/>
  <c r="Q27" i="22" a="1"/>
  <c r="Q27" i="22" s="1"/>
  <c r="Q133" i="22" a="1"/>
  <c r="Q133" i="22" s="1"/>
  <c r="Q85" i="22" a="1"/>
  <c r="Q85" i="22" s="1"/>
  <c r="Q29" i="22" a="1"/>
  <c r="Q29" i="22" s="1"/>
  <c r="Q47" i="22" a="1"/>
  <c r="Q47" i="22" s="1"/>
  <c r="Q129" i="22" a="1"/>
  <c r="Q129" i="22" s="1"/>
  <c r="Q82" i="22" a="1"/>
  <c r="Q82" i="22" s="1"/>
  <c r="Q92" i="22" a="1"/>
  <c r="Q92" i="22" s="1"/>
  <c r="Q26" i="22" a="1"/>
  <c r="Q26" i="22" s="1"/>
  <c r="Q103" i="22" a="1"/>
  <c r="Q103" i="22" s="1"/>
  <c r="Q65" i="22" a="1"/>
  <c r="Q65" i="22" s="1"/>
  <c r="Q55" i="22" a="1"/>
  <c r="Q55" i="22" s="1"/>
  <c r="Q132" i="22" a="1"/>
  <c r="Q132" i="22" s="1"/>
  <c r="Q38" i="22" a="1"/>
  <c r="Q38" i="22" s="1"/>
  <c r="Q67" i="22" a="1"/>
  <c r="Q67" i="22" s="1"/>
  <c r="Q77" i="22" a="1"/>
  <c r="Q77" i="22" s="1"/>
  <c r="Q30" i="22" a="1"/>
  <c r="Q30" i="22" s="1"/>
  <c r="Q73" i="22" a="1"/>
  <c r="Q73" i="22" s="1"/>
  <c r="Q75" i="22" a="1"/>
  <c r="Q75" i="22" s="1"/>
  <c r="Q19" i="22" a="1"/>
  <c r="Q19" i="22" s="1"/>
  <c r="Q52" i="22" a="1"/>
  <c r="Q52" i="22" s="1"/>
  <c r="Q35" i="22" a="1"/>
  <c r="Q35" i="22" s="1"/>
  <c r="Q48" i="22" a="1"/>
  <c r="Q48" i="22" s="1"/>
  <c r="Q86" i="22" a="1"/>
  <c r="Q86" i="22" s="1"/>
  <c r="Q76" i="22" a="1"/>
  <c r="Q76" i="22" s="1"/>
  <c r="Q102" i="22" a="1"/>
  <c r="Q102" i="22" s="1"/>
  <c r="Q21" i="22" a="1"/>
  <c r="Q21" i="22" s="1"/>
  <c r="Q23" i="22" a="1"/>
  <c r="Q23" i="22" s="1"/>
  <c r="Q131" i="22" a="1"/>
  <c r="Q131" i="22" s="1"/>
  <c r="Q66" i="22" a="1"/>
  <c r="Q66" i="22" s="1"/>
  <c r="Q87" i="22" a="1"/>
  <c r="Q87" i="22" s="1"/>
  <c r="Q43" i="22" a="1"/>
  <c r="Q43" i="22" s="1"/>
  <c r="Q20" i="22" a="1"/>
  <c r="Q20" i="22" s="1"/>
  <c r="Q83" i="22" a="1"/>
  <c r="Q83" i="22" s="1"/>
  <c r="Q45" i="22" a="1"/>
  <c r="Q45" i="22" s="1"/>
  <c r="Q100" i="22" a="1"/>
  <c r="Q100" i="22" s="1"/>
  <c r="P17" i="22"/>
  <c r="Q104" i="22" a="1"/>
  <c r="Q104" i="22" s="1"/>
  <c r="Q74" i="22" a="1"/>
  <c r="Q74" i="22" s="1"/>
  <c r="Q61" i="22" a="1"/>
  <c r="Q61" i="22" s="1"/>
  <c r="Q39" i="22" a="1"/>
  <c r="Q39" i="22" s="1"/>
  <c r="Q130" i="22" a="1"/>
  <c r="Q130" i="22" s="1"/>
  <c r="AB5" i="22"/>
  <c r="Q57" i="22" a="1"/>
  <c r="Q57" i="22" s="1"/>
  <c r="Q22" i="22" a="1"/>
  <c r="Q22" i="22" s="1"/>
  <c r="Q128" i="22" a="1"/>
  <c r="Q128" i="22" s="1"/>
  <c r="Q84" i="22" a="1"/>
  <c r="Q84" i="22" s="1"/>
  <c r="Q51" i="22" a="1"/>
  <c r="Q51" i="22" s="1"/>
  <c r="Q94" i="22" a="1"/>
  <c r="Q94" i="22" s="1"/>
  <c r="Q105" i="22" a="1"/>
  <c r="Q105" i="22" s="1"/>
  <c r="Q56" i="22" a="1"/>
  <c r="Q56" i="22" s="1"/>
  <c r="Q72" i="22" a="1"/>
  <c r="Q72" i="22" s="1"/>
  <c r="Q97" i="22" a="1"/>
  <c r="Q97" i="22" s="1"/>
  <c r="Q28" i="22" a="1"/>
  <c r="Q28" i="22" s="1"/>
  <c r="R17" i="22"/>
  <c r="Q63" i="22" a="1"/>
  <c r="Q63" i="22" s="1"/>
  <c r="Q44" i="22" a="1"/>
  <c r="Q44" i="22" s="1"/>
  <c r="Q99" i="22" a="1"/>
  <c r="Q99" i="22" s="1"/>
  <c r="Q69" i="22" a="1"/>
  <c r="Q69" i="22" s="1"/>
  <c r="Q93" i="22" a="1"/>
  <c r="Q93" i="22" s="1"/>
  <c r="Q53" i="22" a="1"/>
  <c r="Q53" i="22" s="1"/>
  <c r="Q88" i="22" a="1"/>
  <c r="Q88" i="22" s="1"/>
  <c r="Q89" i="22" a="1"/>
  <c r="Q89" i="22" s="1"/>
  <c r="Q106" i="22" a="1"/>
  <c r="Q106" i="22" s="1"/>
  <c r="Q42" i="22" a="1"/>
  <c r="Q42" i="22" s="1"/>
  <c r="Q33" i="22" a="1"/>
  <c r="Q33" i="22" s="1"/>
  <c r="Q36" i="22" a="1"/>
  <c r="Q36" i="22" s="1"/>
  <c r="Q34" i="22" a="1"/>
  <c r="Q34" i="22" s="1"/>
  <c r="Q101" i="22" a="1"/>
  <c r="Q101" i="22" s="1"/>
  <c r="T86" i="22" a="1"/>
  <c r="T86" i="22" s="1"/>
  <c r="T56" i="22" a="1"/>
  <c r="T56" i="22" s="1"/>
  <c r="T45" i="22" a="1"/>
  <c r="T45" i="22" s="1"/>
  <c r="T21" i="22" a="1"/>
  <c r="T21" i="22" s="1"/>
  <c r="T51" i="22" a="1"/>
  <c r="T51" i="22" s="1"/>
  <c r="T30" i="22" a="1"/>
  <c r="T30" i="22" s="1"/>
  <c r="T42" i="22" a="1"/>
  <c r="T42" i="22" s="1"/>
  <c r="T78" i="22" a="1"/>
  <c r="T78" i="22" s="1"/>
  <c r="AB6" i="22"/>
  <c r="T35" i="22" a="1"/>
  <c r="T35" i="22" s="1"/>
  <c r="T33" i="22" a="1"/>
  <c r="T33" i="22" s="1"/>
  <c r="T47" i="22" a="1"/>
  <c r="T47" i="22" s="1"/>
  <c r="T133" i="22" a="1"/>
  <c r="T133" i="22" s="1"/>
  <c r="T102" i="22" a="1"/>
  <c r="T102" i="22" s="1"/>
  <c r="T36" i="22" a="1"/>
  <c r="T36" i="22" s="1"/>
  <c r="T72" i="22" a="1"/>
  <c r="T72" i="22" s="1"/>
  <c r="T19" i="22" a="1"/>
  <c r="T19" i="22" s="1"/>
  <c r="T89" i="22" a="1"/>
  <c r="T89" i="22" s="1"/>
  <c r="T85" i="22" a="1"/>
  <c r="T85" i="22" s="1"/>
  <c r="T92" i="22" a="1"/>
  <c r="T92" i="22" s="1"/>
  <c r="AA6" i="22"/>
  <c r="T74" i="22" a="1"/>
  <c r="T74" i="22" s="1"/>
  <c r="T64" i="22" a="1"/>
  <c r="T64" i="22" s="1"/>
  <c r="T73" i="22" a="1"/>
  <c r="T73" i="22" s="1"/>
  <c r="T88" i="22" a="1"/>
  <c r="T88" i="22" s="1"/>
  <c r="T54" i="22" a="1"/>
  <c r="T54" i="22" s="1"/>
  <c r="T98" i="22" a="1"/>
  <c r="T98" i="22" s="1"/>
  <c r="T34" i="22" a="1"/>
  <c r="T34" i="22" s="1"/>
  <c r="T46" i="22" a="1"/>
  <c r="T46" i="22" s="1"/>
  <c r="T52" i="22" a="1"/>
  <c r="T52" i="22" s="1"/>
  <c r="T106" i="22" a="1"/>
  <c r="T106" i="22" s="1"/>
  <c r="T130" i="22" a="1"/>
  <c r="T130" i="22" s="1"/>
  <c r="T26" i="22" a="1"/>
  <c r="T26" i="22" s="1"/>
  <c r="T87" i="22" a="1"/>
  <c r="T87" i="22" s="1"/>
  <c r="T103" i="22" a="1"/>
  <c r="T103" i="22" s="1"/>
  <c r="T22" i="22" a="1"/>
  <c r="T22" i="22" s="1"/>
  <c r="T75" i="22" a="1"/>
  <c r="T75" i="22" s="1"/>
  <c r="T28" i="22" a="1"/>
  <c r="T28" i="22" s="1"/>
  <c r="T79" i="22" a="1"/>
  <c r="T79" i="22" s="1"/>
  <c r="T129" i="22" a="1"/>
  <c r="T129" i="22" s="1"/>
  <c r="T97" i="22" a="1"/>
  <c r="T97" i="22" s="1"/>
  <c r="T63" i="22" a="1"/>
  <c r="T63" i="22" s="1"/>
  <c r="T83" i="22" a="1"/>
  <c r="T83" i="22" s="1"/>
  <c r="T105" i="22" a="1"/>
  <c r="T105" i="22" s="1"/>
  <c r="T53" i="22" a="1"/>
  <c r="T53" i="22" s="1"/>
  <c r="T29" i="22" a="1"/>
  <c r="T29" i="22" s="1"/>
  <c r="T23" i="22" a="1"/>
  <c r="T23" i="22" s="1"/>
  <c r="T20" i="22" a="1"/>
  <c r="T20" i="22" s="1"/>
  <c r="T39" i="22" a="1"/>
  <c r="T39" i="22" s="1"/>
  <c r="T44" i="22" a="1"/>
  <c r="T44" i="22" s="1"/>
  <c r="T101" i="22" a="1"/>
  <c r="T101" i="22" s="1"/>
  <c r="T84" i="22" a="1"/>
  <c r="T84" i="22" s="1"/>
  <c r="T48" i="22" a="1"/>
  <c r="T48" i="22" s="1"/>
  <c r="T55" i="22" a="1"/>
  <c r="T55" i="22" s="1"/>
  <c r="T100" i="22" a="1"/>
  <c r="T100" i="22" s="1"/>
  <c r="T66" i="22" a="1"/>
  <c r="T66" i="22" s="1"/>
  <c r="T69" i="22" a="1"/>
  <c r="T69" i="22" s="1"/>
  <c r="T77" i="22" a="1"/>
  <c r="T77" i="22" s="1"/>
  <c r="T82" i="22" a="1"/>
  <c r="T82" i="22" s="1"/>
  <c r="U17" i="22"/>
  <c r="T76" i="22" a="1"/>
  <c r="T76" i="22" s="1"/>
  <c r="T131" i="22" a="1"/>
  <c r="T131" i="22" s="1"/>
  <c r="T67" i="22" a="1"/>
  <c r="T67" i="22" s="1"/>
  <c r="T93" i="22" a="1"/>
  <c r="T93" i="22" s="1"/>
  <c r="T58" i="22" a="1"/>
  <c r="T58" i="22" s="1"/>
  <c r="T27" i="22" a="1"/>
  <c r="T27" i="22" s="1"/>
  <c r="T132" i="22" a="1"/>
  <c r="T132" i="22" s="1"/>
  <c r="S17" i="22"/>
  <c r="T65" i="22" a="1"/>
  <c r="T65" i="22" s="1"/>
  <c r="T38" i="22" a="1"/>
  <c r="T38" i="22" s="1"/>
  <c r="T99" i="22" a="1"/>
  <c r="T99" i="22" s="1"/>
  <c r="T62" i="22" a="1"/>
  <c r="T62" i="22" s="1"/>
  <c r="T61" i="22" a="1"/>
  <c r="T61" i="22" s="1"/>
  <c r="T68" i="22" a="1"/>
  <c r="T68" i="22" s="1"/>
  <c r="T43" i="22" a="1"/>
  <c r="T43" i="22" s="1"/>
  <c r="T57" i="22" a="1"/>
  <c r="T57" i="22" s="1"/>
  <c r="T128" i="22" a="1"/>
  <c r="T128" i="22" s="1"/>
  <c r="T104" i="22" a="1"/>
  <c r="T104" i="22" s="1"/>
  <c r="T37" i="22" a="1"/>
  <c r="T37" i="22" s="1"/>
  <c r="T134" i="22" a="1"/>
  <c r="T134" i="22" s="1"/>
  <c r="T94" i="22" a="1"/>
  <c r="T94" i="22" s="1"/>
  <c r="I106" i="24" a="1"/>
  <c r="I106" i="24" s="1"/>
  <c r="I73" i="25" a="1"/>
  <c r="I73" i="25" s="1"/>
  <c r="T88" i="19" a="1"/>
  <c r="T88" i="19" s="1"/>
  <c r="T54" i="19" a="1"/>
  <c r="T54" i="19" s="1"/>
  <c r="AB6" i="19"/>
  <c r="T62" i="19" a="1"/>
  <c r="T62" i="19" s="1"/>
  <c r="T77" i="19" a="1"/>
  <c r="T77" i="19" s="1"/>
  <c r="T66" i="19" a="1"/>
  <c r="T66" i="19" s="1"/>
  <c r="T75" i="19" a="1"/>
  <c r="T75" i="19" s="1"/>
  <c r="T30" i="19" a="1"/>
  <c r="T30" i="19" s="1"/>
  <c r="T87" i="19" a="1"/>
  <c r="T87" i="19" s="1"/>
  <c r="T78" i="19" a="1"/>
  <c r="T78" i="19" s="1"/>
  <c r="T38" i="19" a="1"/>
  <c r="T38" i="19" s="1"/>
  <c r="T94" i="19" a="1"/>
  <c r="T94" i="19" s="1"/>
  <c r="T105" i="19" a="1"/>
  <c r="T105" i="19" s="1"/>
  <c r="T57" i="19" a="1"/>
  <c r="T57" i="19" s="1"/>
  <c r="T45" i="19" a="1"/>
  <c r="T45" i="19" s="1"/>
  <c r="T44" i="19" a="1"/>
  <c r="T44" i="19" s="1"/>
  <c r="T106" i="19" a="1"/>
  <c r="T106" i="19" s="1"/>
  <c r="T36" i="19" a="1"/>
  <c r="T36" i="19" s="1"/>
  <c r="T101" i="19" a="1"/>
  <c r="T101" i="19" s="1"/>
  <c r="T67" i="19" a="1"/>
  <c r="T67" i="19" s="1"/>
  <c r="T22" i="19" a="1"/>
  <c r="T22" i="19" s="1"/>
  <c r="T33" i="19" a="1"/>
  <c r="T33" i="19" s="1"/>
  <c r="T92" i="19" a="1"/>
  <c r="T92" i="19" s="1"/>
  <c r="T23" i="19" a="1"/>
  <c r="T23" i="19" s="1"/>
  <c r="T86" i="19" a="1"/>
  <c r="T86" i="19" s="1"/>
  <c r="T74" i="19" a="1"/>
  <c r="T74" i="19" s="1"/>
  <c r="T20" i="19" a="1"/>
  <c r="T20" i="19" s="1"/>
  <c r="T84" i="19" a="1"/>
  <c r="T84" i="19" s="1"/>
  <c r="T102" i="19" a="1"/>
  <c r="T102" i="19" s="1"/>
  <c r="T73" i="19" a="1"/>
  <c r="T73" i="19" s="1"/>
  <c r="T29" i="19" a="1"/>
  <c r="T29" i="19" s="1"/>
  <c r="T53" i="19" a="1"/>
  <c r="T53" i="19" s="1"/>
  <c r="T133" i="19" a="1"/>
  <c r="T133" i="19" s="1"/>
  <c r="T46" i="19" a="1"/>
  <c r="T46" i="19" s="1"/>
  <c r="T64" i="19" a="1"/>
  <c r="T64" i="19" s="1"/>
  <c r="T132" i="19" a="1"/>
  <c r="T132" i="19" s="1"/>
  <c r="T93" i="19" a="1"/>
  <c r="T93" i="19" s="1"/>
  <c r="T52" i="19" a="1"/>
  <c r="T52" i="19" s="1"/>
  <c r="T83" i="19" a="1"/>
  <c r="T83" i="19" s="1"/>
  <c r="T98" i="19" a="1"/>
  <c r="T98" i="19" s="1"/>
  <c r="T69" i="19" a="1"/>
  <c r="T69" i="19" s="1"/>
  <c r="T27" i="19" a="1"/>
  <c r="T27" i="19" s="1"/>
  <c r="T128" i="19" a="1"/>
  <c r="T128" i="19" s="1"/>
  <c r="T131" i="19" a="1"/>
  <c r="T131" i="19" s="1"/>
  <c r="T19" i="19" a="1"/>
  <c r="T19" i="19" s="1"/>
  <c r="T99" i="19" a="1"/>
  <c r="T99" i="19" s="1"/>
  <c r="T21" i="19" a="1"/>
  <c r="T21" i="19" s="1"/>
  <c r="T134" i="19" a="1"/>
  <c r="T134" i="19" s="1"/>
  <c r="T43" i="19" a="1"/>
  <c r="T43" i="19" s="1"/>
  <c r="T26" i="19" a="1"/>
  <c r="T26" i="19" s="1"/>
  <c r="T51" i="19" a="1"/>
  <c r="T51" i="19" s="1"/>
  <c r="T65" i="19" a="1"/>
  <c r="T65" i="19" s="1"/>
  <c r="T42" i="19" a="1"/>
  <c r="T42" i="19" s="1"/>
  <c r="T55" i="19" a="1"/>
  <c r="T55" i="19" s="1"/>
  <c r="T129" i="19" a="1"/>
  <c r="T129" i="19" s="1"/>
  <c r="T39" i="19" a="1"/>
  <c r="T39" i="19" s="1"/>
  <c r="T103" i="19" a="1"/>
  <c r="T103" i="19" s="1"/>
  <c r="T34" i="19" a="1"/>
  <c r="T34" i="19" s="1"/>
  <c r="T56" i="19" a="1"/>
  <c r="T56" i="19" s="1"/>
  <c r="T48" i="19" a="1"/>
  <c r="T48" i="19" s="1"/>
  <c r="T89" i="19" a="1"/>
  <c r="T89" i="19" s="1"/>
  <c r="T47" i="19" a="1"/>
  <c r="T47" i="19" s="1"/>
  <c r="T100" i="19" a="1"/>
  <c r="T100" i="19" s="1"/>
  <c r="T63" i="19" a="1"/>
  <c r="T63" i="19" s="1"/>
  <c r="T76" i="19" a="1"/>
  <c r="T76" i="19" s="1"/>
  <c r="T79" i="19" a="1"/>
  <c r="T79" i="19" s="1"/>
  <c r="T130" i="19" a="1"/>
  <c r="T130" i="19" s="1"/>
  <c r="U17" i="19"/>
  <c r="T58" i="19" a="1"/>
  <c r="T58" i="19" s="1"/>
  <c r="T72" i="19" a="1"/>
  <c r="T72" i="19" s="1"/>
  <c r="T37" i="19" a="1"/>
  <c r="T37" i="19" s="1"/>
  <c r="T104" i="19" a="1"/>
  <c r="T104" i="19" s="1"/>
  <c r="AA6" i="19"/>
  <c r="T61" i="19" a="1"/>
  <c r="T61" i="19" s="1"/>
  <c r="T85" i="19" a="1"/>
  <c r="T85" i="19" s="1"/>
  <c r="T68" i="19" a="1"/>
  <c r="T68" i="19" s="1"/>
  <c r="T28" i="19" a="1"/>
  <c r="T28" i="19" s="1"/>
  <c r="T97" i="19" a="1"/>
  <c r="T97" i="19" s="1"/>
  <c r="T35" i="19" a="1"/>
  <c r="T35" i="19" s="1"/>
  <c r="T82" i="19" a="1"/>
  <c r="T82" i="19" s="1"/>
  <c r="S17" i="19"/>
  <c r="F125" i="21"/>
  <c r="H50" i="16" s="1"/>
  <c r="I27" i="17"/>
  <c r="AA5" i="19"/>
  <c r="Q79" i="19" a="1"/>
  <c r="Q79" i="19" s="1"/>
  <c r="Q74" i="19" a="1"/>
  <c r="Q74" i="19" s="1"/>
  <c r="Q75" i="19" a="1"/>
  <c r="Q75" i="19" s="1"/>
  <c r="Q100" i="19" a="1"/>
  <c r="Q100" i="19" s="1"/>
  <c r="Q29" i="19" a="1"/>
  <c r="Q29" i="19" s="1"/>
  <c r="Q76" i="19" a="1"/>
  <c r="Q76" i="19" s="1"/>
  <c r="Q69" i="19" a="1"/>
  <c r="Q69" i="19" s="1"/>
  <c r="Q65" i="19" a="1"/>
  <c r="Q65" i="19" s="1"/>
  <c r="Q33" i="19" a="1"/>
  <c r="Q33" i="19" s="1"/>
  <c r="Q56" i="19" a="1"/>
  <c r="Q56" i="19" s="1"/>
  <c r="R17" i="19"/>
  <c r="Q83" i="19" a="1"/>
  <c r="Q83" i="19" s="1"/>
  <c r="Q20" i="19" a="1"/>
  <c r="Q20" i="19" s="1"/>
  <c r="Q67" i="19" a="1"/>
  <c r="Q67" i="19" s="1"/>
  <c r="Q63" i="19" a="1"/>
  <c r="Q63" i="19" s="1"/>
  <c r="Q73" i="19" a="1"/>
  <c r="Q73" i="19" s="1"/>
  <c r="Q44" i="19" a="1"/>
  <c r="Q44" i="19" s="1"/>
  <c r="Q94" i="19" a="1"/>
  <c r="Q94" i="19" s="1"/>
  <c r="Q129" i="19" a="1"/>
  <c r="Q129" i="19" s="1"/>
  <c r="Q134" i="19" a="1"/>
  <c r="Q134" i="19" s="1"/>
  <c r="Q47" i="19" a="1"/>
  <c r="Q47" i="19" s="1"/>
  <c r="Q37" i="19" a="1"/>
  <c r="Q37" i="19" s="1"/>
  <c r="Q26" i="19" a="1"/>
  <c r="Q26" i="19" s="1"/>
  <c r="Q66" i="19" a="1"/>
  <c r="Q66" i="19" s="1"/>
  <c r="Q62" i="19" a="1"/>
  <c r="Q62" i="19" s="1"/>
  <c r="Q131" i="19" a="1"/>
  <c r="Q131" i="19" s="1"/>
  <c r="Q99" i="19" a="1"/>
  <c r="Q99" i="19" s="1"/>
  <c r="Q28" i="19" a="1"/>
  <c r="Q28" i="19" s="1"/>
  <c r="Q35" i="19" a="1"/>
  <c r="Q35" i="19" s="1"/>
  <c r="Q105" i="19" a="1"/>
  <c r="Q105" i="19" s="1"/>
  <c r="Q53" i="19" a="1"/>
  <c r="Q53" i="19" s="1"/>
  <c r="Q64" i="19" a="1"/>
  <c r="Q64" i="19" s="1"/>
  <c r="Q34" i="19" a="1"/>
  <c r="Q34" i="19" s="1"/>
  <c r="Q88" i="19" a="1"/>
  <c r="Q88" i="19" s="1"/>
  <c r="Q23" i="19" a="1"/>
  <c r="Q23" i="19" s="1"/>
  <c r="Q19" i="19" a="1"/>
  <c r="Q19" i="19" s="1"/>
  <c r="Q102" i="19" a="1"/>
  <c r="Q102" i="19" s="1"/>
  <c r="Q98" i="19" a="1"/>
  <c r="Q98" i="19" s="1"/>
  <c r="Q106" i="19" a="1"/>
  <c r="Q106" i="19" s="1"/>
  <c r="Q93" i="19" a="1"/>
  <c r="Q93" i="19" s="1"/>
  <c r="Q128" i="19" a="1"/>
  <c r="Q128" i="19" s="1"/>
  <c r="Q82" i="19" a="1"/>
  <c r="Q82" i="19" s="1"/>
  <c r="Q48" i="19" a="1"/>
  <c r="Q48" i="19" s="1"/>
  <c r="AB5" i="19"/>
  <c r="Q38" i="19" a="1"/>
  <c r="Q38" i="19" s="1"/>
  <c r="Q97" i="19" a="1"/>
  <c r="Q97" i="19" s="1"/>
  <c r="Q55" i="19" a="1"/>
  <c r="Q55" i="19" s="1"/>
  <c r="Q101" i="19" a="1"/>
  <c r="Q101" i="19" s="1"/>
  <c r="Q103" i="19" a="1"/>
  <c r="Q103" i="19" s="1"/>
  <c r="Q87" i="19" a="1"/>
  <c r="Q87" i="19" s="1"/>
  <c r="Q132" i="19" a="1"/>
  <c r="Q132" i="19" s="1"/>
  <c r="Q86" i="19" a="1"/>
  <c r="Q86" i="19" s="1"/>
  <c r="Q61" i="19" a="1"/>
  <c r="Q61" i="19" s="1"/>
  <c r="Q85" i="19" a="1"/>
  <c r="Q85" i="19" s="1"/>
  <c r="Q21" i="19" a="1"/>
  <c r="Q21" i="19" s="1"/>
  <c r="Q68" i="19" a="1"/>
  <c r="Q68" i="19" s="1"/>
  <c r="Q133" i="19" a="1"/>
  <c r="Q133" i="19" s="1"/>
  <c r="Q58" i="19" a="1"/>
  <c r="Q58" i="19" s="1"/>
  <c r="Q45" i="19" a="1"/>
  <c r="Q45" i="19" s="1"/>
  <c r="P17" i="19"/>
  <c r="Q46" i="19" a="1"/>
  <c r="Q46" i="19" s="1"/>
  <c r="Q43" i="19" a="1"/>
  <c r="Q43" i="19" s="1"/>
  <c r="Q54" i="19" a="1"/>
  <c r="Q54" i="19" s="1"/>
  <c r="Q42" i="19" a="1"/>
  <c r="Q42" i="19" s="1"/>
  <c r="Q22" i="19" a="1"/>
  <c r="Q22" i="19" s="1"/>
  <c r="Q52" i="19" a="1"/>
  <c r="Q52" i="19" s="1"/>
  <c r="Q27" i="19" a="1"/>
  <c r="Q27" i="19" s="1"/>
  <c r="Q36" i="19" a="1"/>
  <c r="Q36" i="19" s="1"/>
  <c r="Q51" i="19" a="1"/>
  <c r="Q51" i="19" s="1"/>
  <c r="Q57" i="19" a="1"/>
  <c r="Q57" i="19" s="1"/>
  <c r="Q77" i="19" a="1"/>
  <c r="Q77" i="19" s="1"/>
  <c r="Q72" i="19" a="1"/>
  <c r="Q72" i="19" s="1"/>
  <c r="Q130" i="19" a="1"/>
  <c r="Q130" i="19" s="1"/>
  <c r="Q84" i="19" a="1"/>
  <c r="Q84" i="19" s="1"/>
  <c r="Q89" i="19" a="1"/>
  <c r="Q89" i="19" s="1"/>
  <c r="Q78" i="19" a="1"/>
  <c r="Q78" i="19" s="1"/>
  <c r="Q30" i="19" a="1"/>
  <c r="Q30" i="19" s="1"/>
  <c r="Q104" i="19" a="1"/>
  <c r="Q104" i="19" s="1"/>
  <c r="Q92" i="19" a="1"/>
  <c r="Q92" i="19" s="1"/>
  <c r="Q39" i="19" a="1"/>
  <c r="Q39" i="19" s="1"/>
  <c r="I117" i="24" a="1"/>
  <c r="I117" i="24" s="1"/>
  <c r="I76" i="25" a="1"/>
  <c r="I76" i="25" s="1"/>
  <c r="I42" i="25" a="1"/>
  <c r="I42" i="25" s="1"/>
  <c r="I65" i="24" a="1"/>
  <c r="I65" i="24" s="1"/>
  <c r="I68" i="21"/>
  <c r="F79" i="25" a="1"/>
  <c r="F79" i="25" s="1"/>
  <c r="J68" i="21"/>
  <c r="I72" i="24" a="1"/>
  <c r="I72" i="24" s="1"/>
  <c r="F26" i="25" a="1"/>
  <c r="F26" i="25" s="1"/>
  <c r="F93" i="25" a="1"/>
  <c r="F93" i="25" s="1"/>
  <c r="I21" i="24" a="1"/>
  <c r="I21" i="24" s="1"/>
  <c r="F36" i="25" a="1"/>
  <c r="F36" i="25" s="1"/>
  <c r="F112" i="25" a="1"/>
  <c r="F112" i="25" s="1"/>
  <c r="I56" i="25" a="1"/>
  <c r="I56" i="25" s="1"/>
  <c r="I39" i="24" a="1"/>
  <c r="I39" i="24" s="1"/>
  <c r="F103" i="25" a="1"/>
  <c r="F103" i="25" s="1"/>
  <c r="I77" i="24" a="1"/>
  <c r="I77" i="24" s="1"/>
  <c r="I39" i="25" a="1"/>
  <c r="I39" i="25" s="1"/>
  <c r="F66" i="25" a="1"/>
  <c r="F66" i="25" s="1"/>
  <c r="F88" i="25" a="1"/>
  <c r="F88" i="25" s="1"/>
  <c r="F46" i="25" a="1"/>
  <c r="F46" i="25" s="1"/>
  <c r="F113" i="25" a="1"/>
  <c r="F113" i="25" s="1"/>
  <c r="F132" i="25" a="1"/>
  <c r="F132" i="25" s="1"/>
  <c r="F125" i="25" a="1"/>
  <c r="F125" i="25" s="1"/>
  <c r="I58" i="24" a="1"/>
  <c r="I58" i="24" s="1"/>
  <c r="I116" i="25" a="1"/>
  <c r="I116" i="25" s="1"/>
  <c r="I133" i="25" a="1"/>
  <c r="I133" i="25" s="1"/>
  <c r="I120" i="19" a="1"/>
  <c r="I120" i="19" s="1"/>
  <c r="I57" i="24" a="1"/>
  <c r="I57" i="24" s="1"/>
  <c r="I83" i="24" a="1"/>
  <c r="I83" i="24" s="1"/>
  <c r="I112" i="24" a="1"/>
  <c r="I112" i="24" s="1"/>
  <c r="I118" i="25" a="1"/>
  <c r="I118" i="25" s="1"/>
  <c r="I33" i="25" a="1"/>
  <c r="I33" i="25" s="1"/>
  <c r="I86" i="25" a="1"/>
  <c r="I86" i="25" s="1"/>
  <c r="I133" i="24" a="1"/>
  <c r="I133" i="24" s="1"/>
  <c r="I53" i="24" a="1"/>
  <c r="I53" i="24" s="1"/>
  <c r="I128" i="24" a="1"/>
  <c r="I128" i="24" s="1"/>
  <c r="I119" i="25" a="1"/>
  <c r="I119" i="25" s="1"/>
  <c r="I84" i="25" a="1"/>
  <c r="I84" i="25" s="1"/>
  <c r="I47" i="24" a="1"/>
  <c r="I47" i="24" s="1"/>
  <c r="I36" i="24" a="1"/>
  <c r="I36" i="24" s="1"/>
  <c r="I54" i="24" a="1"/>
  <c r="I54" i="24" s="1"/>
  <c r="I30" i="25" a="1"/>
  <c r="I30" i="25" s="1"/>
  <c r="I157" i="24" a="1"/>
  <c r="I157" i="24" s="1"/>
  <c r="I89" i="24" a="1"/>
  <c r="I89" i="24" s="1"/>
  <c r="I66" i="24" a="1"/>
  <c r="I66" i="24" s="1"/>
  <c r="I125" i="25" a="1"/>
  <c r="I125" i="25" s="1"/>
  <c r="I98" i="25" a="1"/>
  <c r="I98" i="25" s="1"/>
  <c r="I93" i="24" a="1"/>
  <c r="I93" i="24" s="1"/>
  <c r="I56" i="24" a="1"/>
  <c r="I56" i="24" s="1"/>
  <c r="I124" i="24" a="1"/>
  <c r="I124" i="24" s="1"/>
  <c r="I124" i="25" a="1"/>
  <c r="I124" i="25" s="1"/>
  <c r="I105" i="24" a="1"/>
  <c r="I105" i="24" s="1"/>
  <c r="I63" i="24" a="1"/>
  <c r="I63" i="24" s="1"/>
  <c r="I20" i="25" a="1"/>
  <c r="I20" i="25" s="1"/>
  <c r="I46" i="25" a="1"/>
  <c r="I46" i="25" s="1"/>
  <c r="I64" i="24" a="1"/>
  <c r="I64" i="24" s="1"/>
  <c r="I118" i="24" a="1"/>
  <c r="I118" i="24" s="1"/>
  <c r="I121" i="25" a="1"/>
  <c r="I121" i="25" s="1"/>
  <c r="I122" i="25" a="1"/>
  <c r="I122" i="25" s="1"/>
  <c r="I122" i="24" a="1"/>
  <c r="I122" i="24" s="1"/>
  <c r="I78" i="24" a="1"/>
  <c r="I78" i="24" s="1"/>
  <c r="I130" i="24" a="1"/>
  <c r="I130" i="24" s="1"/>
  <c r="I85" i="25" a="1"/>
  <c r="I85" i="25" s="1"/>
  <c r="I22" i="25" a="1"/>
  <c r="I22" i="25" s="1"/>
  <c r="I57" i="25" a="1"/>
  <c r="I57" i="25" s="1"/>
  <c r="F53" i="22" a="1"/>
  <c r="F53" i="22" s="1"/>
  <c r="F62" i="22" a="1"/>
  <c r="F62" i="22" s="1"/>
  <c r="F51" i="22" a="1"/>
  <c r="F51" i="22" s="1"/>
  <c r="F104" i="22" a="1"/>
  <c r="F104" i="22" s="1"/>
  <c r="I131" i="24" a="1"/>
  <c r="I131" i="24" s="1"/>
  <c r="I27" i="24" a="1"/>
  <c r="I27" i="24" s="1"/>
  <c r="I125" i="24" a="1"/>
  <c r="I125" i="24" s="1"/>
  <c r="I72" i="25" a="1"/>
  <c r="I72" i="25" s="1"/>
  <c r="J17" i="25"/>
  <c r="F93" i="22" a="1"/>
  <c r="F93" i="22" s="1"/>
  <c r="F21" i="22" a="1"/>
  <c r="F21" i="22" s="1"/>
  <c r="F72" i="22" a="1"/>
  <c r="F72" i="22" s="1"/>
  <c r="F28" i="22" a="1"/>
  <c r="F28" i="22" s="1"/>
  <c r="F98" i="22" a="1"/>
  <c r="F98" i="22" s="1"/>
  <c r="F97" i="22" a="1"/>
  <c r="F97" i="22" s="1"/>
  <c r="F102" i="22" a="1"/>
  <c r="F102" i="22" s="1"/>
  <c r="F47" i="22" a="1"/>
  <c r="F47" i="22" s="1"/>
  <c r="F106" i="22" a="1"/>
  <c r="F106" i="22" s="1"/>
  <c r="F92" i="22" a="1"/>
  <c r="F92" i="22" s="1"/>
  <c r="F77" i="22" a="1"/>
  <c r="F77" i="22" s="1"/>
  <c r="I5" i="22"/>
  <c r="F122" i="22" a="1"/>
  <c r="F122" i="22" s="1"/>
  <c r="F129" i="22" a="1"/>
  <c r="F129" i="22" s="1"/>
  <c r="F33" i="22" a="1"/>
  <c r="F33" i="22" s="1"/>
  <c r="F46" i="22" a="1"/>
  <c r="F46" i="22" s="1"/>
  <c r="F39" i="22" a="1"/>
  <c r="F39" i="22" s="1"/>
  <c r="F83" i="22" a="1"/>
  <c r="F83" i="22" s="1"/>
  <c r="F22" i="22" a="1"/>
  <c r="F22" i="22" s="1"/>
  <c r="F36" i="22" a="1"/>
  <c r="F36" i="22" s="1"/>
  <c r="F86" i="22" a="1"/>
  <c r="F86" i="22" s="1"/>
  <c r="F79" i="22" a="1"/>
  <c r="F79" i="22" s="1"/>
  <c r="F26" i="22" a="1"/>
  <c r="F26" i="22" s="1"/>
  <c r="F66" i="22" a="1"/>
  <c r="F66" i="22" s="1"/>
  <c r="F44" i="22" a="1"/>
  <c r="F44" i="22" s="1"/>
  <c r="F52" i="22" a="1"/>
  <c r="F52" i="22" s="1"/>
  <c r="F29" i="22" a="1"/>
  <c r="F29" i="22" s="1"/>
  <c r="F132" i="22" a="1"/>
  <c r="F132" i="22" s="1"/>
  <c r="F75" i="22" a="1"/>
  <c r="F75" i="22" s="1"/>
  <c r="F128" i="22" a="1"/>
  <c r="F128" i="22" s="1"/>
  <c r="F30" i="22" a="1"/>
  <c r="F30" i="22" s="1"/>
  <c r="F61" i="22" a="1"/>
  <c r="F61" i="22" s="1"/>
  <c r="F131" i="22" a="1"/>
  <c r="F131" i="22" s="1"/>
  <c r="F87" i="22" a="1"/>
  <c r="F87" i="22" s="1"/>
  <c r="F82" i="22" a="1"/>
  <c r="F82" i="22" s="1"/>
  <c r="F34" i="22" a="1"/>
  <c r="F34" i="22" s="1"/>
  <c r="F105" i="22" a="1"/>
  <c r="F105" i="22" s="1"/>
  <c r="F65" i="22" a="1"/>
  <c r="F65" i="22" s="1"/>
  <c r="F130" i="22" a="1"/>
  <c r="F130" i="22" s="1"/>
  <c r="F19" i="22" a="1"/>
  <c r="F19" i="22" s="1"/>
  <c r="F113" i="22" a="1"/>
  <c r="F113" i="22" s="1"/>
  <c r="F54" i="22" a="1"/>
  <c r="F54" i="22" s="1"/>
  <c r="F56" i="22" a="1"/>
  <c r="F56" i="22" s="1"/>
  <c r="F73" i="22" a="1"/>
  <c r="F73" i="22" s="1"/>
  <c r="F103" i="22" a="1"/>
  <c r="F103" i="22" s="1"/>
  <c r="F68" i="22" a="1"/>
  <c r="F68" i="22" s="1"/>
  <c r="F84" i="22" a="1"/>
  <c r="F84" i="22" s="1"/>
  <c r="F99" i="22" a="1"/>
  <c r="F99" i="22" s="1"/>
  <c r="F58" i="22" a="1"/>
  <c r="F58" i="22" s="1"/>
  <c r="I28" i="24" a="1"/>
  <c r="I28" i="24" s="1"/>
  <c r="I37" i="24" a="1"/>
  <c r="I37" i="24" s="1"/>
  <c r="I46" i="24" a="1"/>
  <c r="I46" i="24" s="1"/>
  <c r="I55" i="25" a="1"/>
  <c r="I55" i="25" s="1"/>
  <c r="I117" i="25" a="1"/>
  <c r="I117" i="25" s="1"/>
  <c r="I63" i="25" a="1"/>
  <c r="I63" i="25" s="1"/>
  <c r="F120" i="22" a="1"/>
  <c r="F120" i="22" s="1"/>
  <c r="G17" i="22"/>
  <c r="F78" i="22" a="1"/>
  <c r="F78" i="22" s="1"/>
  <c r="F85" i="22" a="1"/>
  <c r="F85" i="22" s="1"/>
  <c r="F55" i="22" a="1"/>
  <c r="F55" i="22" s="1"/>
  <c r="F57" i="22" a="1"/>
  <c r="F57" i="22" s="1"/>
  <c r="F100" i="22" a="1"/>
  <c r="F100" i="22" s="1"/>
  <c r="F121" i="22" a="1"/>
  <c r="F121" i="22" s="1"/>
  <c r="F89" i="22" a="1"/>
  <c r="F89" i="22" s="1"/>
  <c r="F76" i="22" a="1"/>
  <c r="F76" i="22" s="1"/>
  <c r="J5" i="22"/>
  <c r="F43" i="22" a="1"/>
  <c r="F43" i="22" s="1"/>
  <c r="F94" i="22" a="1"/>
  <c r="F94" i="22" s="1"/>
  <c r="F124" i="22" a="1"/>
  <c r="F124" i="22" s="1"/>
  <c r="F64" i="22" a="1"/>
  <c r="F64" i="22" s="1"/>
  <c r="F69" i="22" a="1"/>
  <c r="F69" i="22" s="1"/>
  <c r="F117" i="22" a="1"/>
  <c r="F117" i="22" s="1"/>
  <c r="F63" i="22" a="1"/>
  <c r="F63" i="22" s="1"/>
  <c r="F134" i="22" a="1"/>
  <c r="F134" i="22" s="1"/>
  <c r="F38" i="22" a="1"/>
  <c r="F38" i="22" s="1"/>
  <c r="F133" i="22" a="1"/>
  <c r="F133" i="22" s="1"/>
  <c r="F101" i="22" a="1"/>
  <c r="F101" i="22" s="1"/>
  <c r="F45" i="22" a="1"/>
  <c r="F45" i="22" s="1"/>
  <c r="F67" i="22" a="1"/>
  <c r="F67" i="22" s="1"/>
  <c r="F37" i="22" a="1"/>
  <c r="F37" i="22" s="1"/>
  <c r="F112" i="22" a="1"/>
  <c r="F112" i="22" s="1"/>
  <c r="F20" i="22" a="1"/>
  <c r="F20" i="22" s="1"/>
  <c r="F74" i="22" a="1"/>
  <c r="F74" i="22" s="1"/>
  <c r="E17" i="22"/>
  <c r="F23" i="22" a="1"/>
  <c r="F23" i="22" s="1"/>
  <c r="F116" i="22" a="1"/>
  <c r="F116" i="22" s="1"/>
  <c r="F119" i="22" a="1"/>
  <c r="F119" i="22" s="1"/>
  <c r="F123" i="22" a="1"/>
  <c r="F123" i="22" s="1"/>
  <c r="F118" i="22" a="1"/>
  <c r="F118" i="22" s="1"/>
  <c r="F27" i="22" a="1"/>
  <c r="F27" i="22" s="1"/>
  <c r="F35" i="22" a="1"/>
  <c r="F35" i="22" s="1"/>
  <c r="F88" i="22" a="1"/>
  <c r="F88" i="22" s="1"/>
  <c r="F51" i="25" a="1"/>
  <c r="F51" i="25" s="1"/>
  <c r="F21" i="25" a="1"/>
  <c r="F21" i="25" s="1"/>
  <c r="F19" i="25" a="1"/>
  <c r="F19" i="25" s="1"/>
  <c r="J124" i="21"/>
  <c r="L49" i="16" s="1"/>
  <c r="K66" i="21"/>
  <c r="K69" i="21" s="1"/>
  <c r="V26" i="17" s="1"/>
  <c r="AR4" i="17" s="1"/>
  <c r="J5" i="25"/>
  <c r="F87" i="25" a="1"/>
  <c r="F87" i="25" s="1"/>
  <c r="E17" i="25"/>
  <c r="I69" i="21"/>
  <c r="Q26" i="17" s="1"/>
  <c r="AM4" i="17" s="1"/>
  <c r="F131" i="25" a="1"/>
  <c r="F131" i="25" s="1"/>
  <c r="F86" i="25" a="1"/>
  <c r="F86" i="25" s="1"/>
  <c r="F76" i="25" a="1"/>
  <c r="F76" i="25" s="1"/>
  <c r="F39" i="25" a="1"/>
  <c r="F39" i="25" s="1"/>
  <c r="F27" i="25" a="1"/>
  <c r="F27" i="25" s="1"/>
  <c r="I34" i="24" a="1"/>
  <c r="I34" i="24" s="1"/>
  <c r="I101" i="24" a="1"/>
  <c r="I101" i="24" s="1"/>
  <c r="I134" i="24" a="1"/>
  <c r="I134" i="24" s="1"/>
  <c r="I21" i="25" a="1"/>
  <c r="I21" i="25" s="1"/>
  <c r="I53" i="25" a="1"/>
  <c r="I53" i="25" s="1"/>
  <c r="I45" i="25" a="1"/>
  <c r="I45" i="25" s="1"/>
  <c r="F89" i="25" a="1"/>
  <c r="F89" i="25" s="1"/>
  <c r="F105" i="25" a="1"/>
  <c r="F105" i="25" s="1"/>
  <c r="F28" i="25" a="1"/>
  <c r="F28" i="25" s="1"/>
  <c r="F100" i="25" a="1"/>
  <c r="F100" i="25" s="1"/>
  <c r="F122" i="25" a="1"/>
  <c r="F122" i="25" s="1"/>
  <c r="F94" i="25" a="1"/>
  <c r="F94" i="25" s="1"/>
  <c r="F56" i="25" a="1"/>
  <c r="F56" i="25" s="1"/>
  <c r="F52" i="25" a="1"/>
  <c r="F52" i="25" s="1"/>
  <c r="F124" i="25" a="1"/>
  <c r="F124" i="25" s="1"/>
  <c r="F47" i="25" a="1"/>
  <c r="F47" i="25" s="1"/>
  <c r="F106" i="25" a="1"/>
  <c r="F106" i="25" s="1"/>
  <c r="F54" i="25" a="1"/>
  <c r="F54" i="25" s="1"/>
  <c r="F57" i="25" a="1"/>
  <c r="F57" i="25" s="1"/>
  <c r="F65" i="25" a="1"/>
  <c r="F65" i="25" s="1"/>
  <c r="F33" i="25" a="1"/>
  <c r="F33" i="25" s="1"/>
  <c r="F82" i="25" a="1"/>
  <c r="F82" i="25" s="1"/>
  <c r="F67" i="25" a="1"/>
  <c r="F67" i="25" s="1"/>
  <c r="F84" i="25" a="1"/>
  <c r="F84" i="25" s="1"/>
  <c r="I5" i="25"/>
  <c r="F73" i="25" a="1"/>
  <c r="F73" i="25" s="1"/>
  <c r="F99" i="25" a="1"/>
  <c r="F99" i="25" s="1"/>
  <c r="F78" i="25" a="1"/>
  <c r="F78" i="25" s="1"/>
  <c r="F118" i="25" a="1"/>
  <c r="F118" i="25" s="1"/>
  <c r="F104" i="25" a="1"/>
  <c r="F104" i="25" s="1"/>
  <c r="F55" i="25" a="1"/>
  <c r="F55" i="25" s="1"/>
  <c r="F130" i="25" a="1"/>
  <c r="F130" i="25" s="1"/>
  <c r="F92" i="25" a="1"/>
  <c r="F92" i="25" s="1"/>
  <c r="F83" i="25" a="1"/>
  <c r="F83" i="25" s="1"/>
  <c r="F48" i="25" a="1"/>
  <c r="F48" i="25" s="1"/>
  <c r="F120" i="25" a="1"/>
  <c r="F120" i="25" s="1"/>
  <c r="F119" i="25" a="1"/>
  <c r="F119" i="25" s="1"/>
  <c r="F157" i="25" a="1"/>
  <c r="F157" i="25" s="1"/>
  <c r="F101" i="25" a="1"/>
  <c r="F101" i="25" s="1"/>
  <c r="F129" i="25" a="1"/>
  <c r="F129" i="25" s="1"/>
  <c r="F43" i="25" a="1"/>
  <c r="F43" i="25" s="1"/>
  <c r="F69" i="25" a="1"/>
  <c r="F69" i="25" s="1"/>
  <c r="F30" i="25" a="1"/>
  <c r="F30" i="25" s="1"/>
  <c r="F74" i="25" a="1"/>
  <c r="F74" i="25" s="1"/>
  <c r="F35" i="25" a="1"/>
  <c r="F35" i="25" s="1"/>
  <c r="F58" i="25" a="1"/>
  <c r="F58" i="25" s="1"/>
  <c r="I26" i="24" a="1"/>
  <c r="I26" i="24" s="1"/>
  <c r="I132" i="24" a="1"/>
  <c r="I132" i="24" s="1"/>
  <c r="I68" i="24" a="1"/>
  <c r="I68" i="24" s="1"/>
  <c r="I97" i="24" a="1"/>
  <c r="I97" i="24" s="1"/>
  <c r="I26" i="25" a="1"/>
  <c r="I26" i="25" s="1"/>
  <c r="I43" i="25" a="1"/>
  <c r="I43" i="25" s="1"/>
  <c r="I93" i="25" a="1"/>
  <c r="I93" i="25" s="1"/>
  <c r="F37" i="25" a="1"/>
  <c r="F37" i="25" s="1"/>
  <c r="F121" i="25" a="1"/>
  <c r="F121" i="25" s="1"/>
  <c r="F29" i="25" a="1"/>
  <c r="F29" i="25" s="1"/>
  <c r="F133" i="25" a="1"/>
  <c r="F133" i="25" s="1"/>
  <c r="F98" i="25" a="1"/>
  <c r="F98" i="25" s="1"/>
  <c r="F45" i="25" a="1"/>
  <c r="F45" i="25" s="1"/>
  <c r="F123" i="25" a="1"/>
  <c r="F123" i="25" s="1"/>
  <c r="F53" i="25" a="1"/>
  <c r="F53" i="25" s="1"/>
  <c r="F63" i="25" a="1"/>
  <c r="F63" i="25" s="1"/>
  <c r="F75" i="25" a="1"/>
  <c r="F75" i="25" s="1"/>
  <c r="F62" i="25" a="1"/>
  <c r="F62" i="25" s="1"/>
  <c r="F134" i="25" a="1"/>
  <c r="F134" i="25" s="1"/>
  <c r="F128" i="25" a="1"/>
  <c r="F128" i="25" s="1"/>
  <c r="F116" i="25" a="1"/>
  <c r="F116" i="25" s="1"/>
  <c r="F68" i="25" a="1"/>
  <c r="F68" i="25" s="1"/>
  <c r="F64" i="25" a="1"/>
  <c r="F64" i="25" s="1"/>
  <c r="F85" i="25" a="1"/>
  <c r="F85" i="25" s="1"/>
  <c r="F61" i="25" a="1"/>
  <c r="F61" i="25" s="1"/>
  <c r="F102" i="25" a="1"/>
  <c r="F102" i="25" s="1"/>
  <c r="F38" i="25" a="1"/>
  <c r="F38" i="25" s="1"/>
  <c r="F22" i="25" a="1"/>
  <c r="F22" i="25" s="1"/>
  <c r="F44" i="25" a="1"/>
  <c r="F44" i="25" s="1"/>
  <c r="F42" i="25" a="1"/>
  <c r="F42" i="25" s="1"/>
  <c r="F23" i="25" a="1"/>
  <c r="F23" i="25" s="1"/>
  <c r="F20" i="25" a="1"/>
  <c r="F20" i="25" s="1"/>
  <c r="F77" i="25" a="1"/>
  <c r="F77" i="25" s="1"/>
  <c r="F117" i="25" a="1"/>
  <c r="F117" i="25" s="1"/>
  <c r="F97" i="25" a="1"/>
  <c r="F97" i="25" s="1"/>
  <c r="F72" i="25" a="1"/>
  <c r="F72" i="25" s="1"/>
  <c r="F34" i="25" a="1"/>
  <c r="F34" i="25" s="1"/>
  <c r="I53" i="19" a="1"/>
  <c r="I53" i="19" s="1"/>
  <c r="I38" i="25" a="1"/>
  <c r="I38" i="25" s="1"/>
  <c r="I48" i="25" a="1"/>
  <c r="I48" i="25" s="1"/>
  <c r="I52" i="25" a="1"/>
  <c r="I52" i="25" s="1"/>
  <c r="J6" i="25"/>
  <c r="I51" i="19" a="1"/>
  <c r="I51" i="19" s="1"/>
  <c r="I73" i="19" a="1"/>
  <c r="I73" i="19" s="1"/>
  <c r="I120" i="24" a="1"/>
  <c r="I120" i="24" s="1"/>
  <c r="I73" i="24" a="1"/>
  <c r="I73" i="24" s="1"/>
  <c r="I102" i="24" a="1"/>
  <c r="I102" i="24" s="1"/>
  <c r="I79" i="24" a="1"/>
  <c r="I79" i="24" s="1"/>
  <c r="I23" i="24" a="1"/>
  <c r="I23" i="24" s="1"/>
  <c r="I101" i="25" a="1"/>
  <c r="I101" i="25" s="1"/>
  <c r="I157" i="25" a="1"/>
  <c r="I157" i="25" s="1"/>
  <c r="I27" i="25" a="1"/>
  <c r="I27" i="25" s="1"/>
  <c r="I66" i="25" a="1"/>
  <c r="I66" i="25" s="1"/>
  <c r="I65" i="25" a="1"/>
  <c r="I65" i="25" s="1"/>
  <c r="I52" i="19" a="1"/>
  <c r="I52" i="19" s="1"/>
  <c r="I23" i="19" a="1"/>
  <c r="I23" i="19" s="1"/>
  <c r="I84" i="19" a="1"/>
  <c r="I84" i="19" s="1"/>
  <c r="I116" i="19" a="1"/>
  <c r="I116" i="19" s="1"/>
  <c r="I28" i="25" a="1"/>
  <c r="I28" i="25" s="1"/>
  <c r="I88" i="25" a="1"/>
  <c r="I88" i="25" s="1"/>
  <c r="I113" i="25" a="1"/>
  <c r="I113" i="25" s="1"/>
  <c r="I129" i="25" a="1"/>
  <c r="I129" i="25" s="1"/>
  <c r="I79" i="25" a="1"/>
  <c r="I79" i="25" s="1"/>
  <c r="I89" i="25" a="1"/>
  <c r="I89" i="25" s="1"/>
  <c r="I34" i="19" a="1"/>
  <c r="I34" i="19" s="1"/>
  <c r="F42" i="22" a="1"/>
  <c r="F42" i="22" s="1"/>
  <c r="F125" i="22" a="1"/>
  <c r="F125" i="22" s="1"/>
  <c r="F48" i="22" a="1"/>
  <c r="F48" i="22" s="1"/>
  <c r="I45" i="24" a="1"/>
  <c r="I45" i="24" s="1"/>
  <c r="I76" i="24" a="1"/>
  <c r="I76" i="24" s="1"/>
  <c r="I98" i="24" a="1"/>
  <c r="I98" i="24" s="1"/>
  <c r="J17" i="24"/>
  <c r="I84" i="24" a="1"/>
  <c r="I84" i="24" s="1"/>
  <c r="I19" i="25" a="1"/>
  <c r="I19" i="25" s="1"/>
  <c r="I123" i="25" a="1"/>
  <c r="I123" i="25" s="1"/>
  <c r="I132" i="25" a="1"/>
  <c r="I132" i="25" s="1"/>
  <c r="I34" i="25" a="1"/>
  <c r="I34" i="25" s="1"/>
  <c r="I54" i="25" a="1"/>
  <c r="I54" i="25" s="1"/>
  <c r="I88" i="19" a="1"/>
  <c r="I88" i="19" s="1"/>
  <c r="I55" i="24" a="1"/>
  <c r="I55" i="24" s="1"/>
  <c r="I51" i="24" a="1"/>
  <c r="I51" i="24" s="1"/>
  <c r="I52" i="24" a="1"/>
  <c r="I52" i="24" s="1"/>
  <c r="I104" i="24" a="1"/>
  <c r="I104" i="24" s="1"/>
  <c r="I43" i="24" a="1"/>
  <c r="I43" i="24" s="1"/>
  <c r="I82" i="25" a="1"/>
  <c r="I82" i="25" s="1"/>
  <c r="I87" i="24" a="1"/>
  <c r="I87" i="24" s="1"/>
  <c r="I75" i="25" a="1"/>
  <c r="I75" i="25" s="1"/>
  <c r="I36" i="25" a="1"/>
  <c r="I36" i="25" s="1"/>
  <c r="I104" i="25" a="1"/>
  <c r="I104" i="25" s="1"/>
  <c r="I132" i="19" a="1"/>
  <c r="I132" i="19" s="1"/>
  <c r="I124" i="19" a="1"/>
  <c r="I124" i="19" s="1"/>
  <c r="I67" i="24" a="1"/>
  <c r="I67" i="24" s="1"/>
  <c r="I20" i="24" a="1"/>
  <c r="I20" i="24" s="1"/>
  <c r="H17" i="24"/>
  <c r="I69" i="24" a="1"/>
  <c r="I69" i="24" s="1"/>
  <c r="I33" i="24" a="1"/>
  <c r="I33" i="24" s="1"/>
  <c r="I121" i="24" a="1"/>
  <c r="I121" i="24" s="1"/>
  <c r="I123" i="24" a="1"/>
  <c r="I123" i="24" s="1"/>
  <c r="I99" i="25" a="1"/>
  <c r="I99" i="25" s="1"/>
  <c r="I37" i="25" a="1"/>
  <c r="I37" i="25" s="1"/>
  <c r="I131" i="25" a="1"/>
  <c r="I131" i="25" s="1"/>
  <c r="I62" i="25" a="1"/>
  <c r="I62" i="25" s="1"/>
  <c r="I102" i="25" a="1"/>
  <c r="I102" i="25" s="1"/>
  <c r="I23" i="25" a="1"/>
  <c r="I23" i="25" s="1"/>
  <c r="H17" i="25"/>
  <c r="I130" i="25" a="1"/>
  <c r="I130" i="25" s="1"/>
  <c r="H70" i="21"/>
  <c r="I6" i="24"/>
  <c r="I64" i="25" a="1"/>
  <c r="I64" i="25" s="1"/>
  <c r="I134" i="25" a="1"/>
  <c r="I134" i="25" s="1"/>
  <c r="I128" i="25" a="1"/>
  <c r="I128" i="25" s="1"/>
  <c r="I83" i="25" a="1"/>
  <c r="I83" i="25" s="1"/>
  <c r="I97" i="25" a="1"/>
  <c r="I97" i="25" s="1"/>
  <c r="I35" i="24" a="1"/>
  <c r="I35" i="24" s="1"/>
  <c r="I119" i="24" a="1"/>
  <c r="I119" i="24" s="1"/>
  <c r="I100" i="25" a="1"/>
  <c r="I100" i="25" s="1"/>
  <c r="I47" i="25" a="1"/>
  <c r="I47" i="25" s="1"/>
  <c r="I35" i="25" a="1"/>
  <c r="I35" i="25" s="1"/>
  <c r="I44" i="25" a="1"/>
  <c r="I44" i="25" s="1"/>
  <c r="I61" i="25" a="1"/>
  <c r="I61" i="25" s="1"/>
  <c r="I51" i="25" a="1"/>
  <c r="I51" i="25" s="1"/>
  <c r="I113" i="24" a="1"/>
  <c r="I113" i="24" s="1"/>
  <c r="I48" i="24" a="1"/>
  <c r="I48" i="24" s="1"/>
  <c r="I82" i="24" a="1"/>
  <c r="I82" i="24" s="1"/>
  <c r="I99" i="24" a="1"/>
  <c r="I99" i="24" s="1"/>
  <c r="I75" i="24" a="1"/>
  <c r="I75" i="24" s="1"/>
  <c r="I19" i="24" a="1"/>
  <c r="I19" i="24" s="1"/>
  <c r="I105" i="25" a="1"/>
  <c r="I105" i="25" s="1"/>
  <c r="I67" i="25" a="1"/>
  <c r="I67" i="25" s="1"/>
  <c r="I87" i="25" a="1"/>
  <c r="I87" i="25" s="1"/>
  <c r="I68" i="25" a="1"/>
  <c r="I68" i="25" s="1"/>
  <c r="I112" i="25" a="1"/>
  <c r="I112" i="25" s="1"/>
  <c r="I58" i="25" a="1"/>
  <c r="I58" i="25" s="1"/>
  <c r="I69" i="25" a="1"/>
  <c r="I69" i="25" s="1"/>
  <c r="I103" i="25" a="1"/>
  <c r="I103" i="25" s="1"/>
  <c r="G211" i="25"/>
  <c r="M211" i="25" s="1"/>
  <c r="M104" i="16" s="1"/>
  <c r="E79" i="19"/>
  <c r="V12" i="17"/>
  <c r="I85" i="19" a="1"/>
  <c r="I85" i="19" s="1"/>
  <c r="I6" i="19"/>
  <c r="I76" i="19" a="1"/>
  <c r="I76" i="19" s="1"/>
  <c r="I130" i="19" a="1"/>
  <c r="I130" i="19" s="1"/>
  <c r="I47" i="19" a="1"/>
  <c r="I47" i="19" s="1"/>
  <c r="I131" i="19" a="1"/>
  <c r="I131" i="19" s="1"/>
  <c r="I19" i="19" a="1"/>
  <c r="I19" i="19" s="1"/>
  <c r="I78" i="19" a="1"/>
  <c r="I78" i="19" s="1"/>
  <c r="I44" i="24" a="1"/>
  <c r="I44" i="24" s="1"/>
  <c r="I100" i="24" a="1"/>
  <c r="I100" i="24" s="1"/>
  <c r="I22" i="24" a="1"/>
  <c r="I22" i="24" s="1"/>
  <c r="I61" i="24" a="1"/>
  <c r="I61" i="24" s="1"/>
  <c r="J6" i="24"/>
  <c r="I42" i="24" a="1"/>
  <c r="I42" i="24" s="1"/>
  <c r="I85" i="24" a="1"/>
  <c r="I85" i="24" s="1"/>
  <c r="I74" i="25" a="1"/>
  <c r="I74" i="25" s="1"/>
  <c r="I106" i="25" a="1"/>
  <c r="I106" i="25" s="1"/>
  <c r="I94" i="25" a="1"/>
  <c r="I94" i="25" s="1"/>
  <c r="I78" i="25" a="1"/>
  <c r="I78" i="25" s="1"/>
  <c r="I92" i="25" a="1"/>
  <c r="I92" i="25" s="1"/>
  <c r="I29" i="25" a="1"/>
  <c r="I29" i="25" s="1"/>
  <c r="I77" i="25" a="1"/>
  <c r="I77" i="25" s="1"/>
  <c r="I106" i="19" a="1"/>
  <c r="I106" i="19" s="1"/>
  <c r="I72" i="19" a="1"/>
  <c r="I72" i="19" s="1"/>
  <c r="I94" i="19" a="1"/>
  <c r="I94" i="19" s="1"/>
  <c r="I66" i="19" a="1"/>
  <c r="I66" i="19" s="1"/>
  <c r="I26" i="19" a="1"/>
  <c r="I26" i="19" s="1"/>
  <c r="I99" i="19" a="1"/>
  <c r="I99" i="19" s="1"/>
  <c r="I92" i="19" a="1"/>
  <c r="I92" i="19" s="1"/>
  <c r="I103" i="19" a="1"/>
  <c r="I103" i="19" s="1"/>
  <c r="I86" i="19" a="1"/>
  <c r="I86" i="19" s="1"/>
  <c r="I112" i="19" a="1"/>
  <c r="I112" i="19" s="1"/>
  <c r="I68" i="19" a="1"/>
  <c r="I68" i="19" s="1"/>
  <c r="I38" i="19" a="1"/>
  <c r="I38" i="19" s="1"/>
  <c r="I39" i="19" a="1"/>
  <c r="I39" i="19" s="1"/>
  <c r="I42" i="19" a="1"/>
  <c r="I42" i="19" s="1"/>
  <c r="H88" i="25"/>
  <c r="H85" i="25"/>
  <c r="H89" i="25"/>
  <c r="H83" i="25"/>
  <c r="H87" i="25"/>
  <c r="H157" i="25"/>
  <c r="H84" i="25"/>
  <c r="H82" i="25"/>
  <c r="H86" i="25"/>
  <c r="I43" i="19" a="1"/>
  <c r="I43" i="19" s="1"/>
  <c r="I100" i="19" a="1"/>
  <c r="I100" i="19" s="1"/>
  <c r="I46" i="19" a="1"/>
  <c r="I46" i="19" s="1"/>
  <c r="I37" i="19" a="1"/>
  <c r="I37" i="19" s="1"/>
  <c r="I61" i="19" a="1"/>
  <c r="I61" i="19" s="1"/>
  <c r="I33" i="19" a="1"/>
  <c r="I33" i="19" s="1"/>
  <c r="I133" i="19" a="1"/>
  <c r="I133" i="19" s="1"/>
  <c r="G211" i="22"/>
  <c r="M211" i="22" s="1"/>
  <c r="I104" i="16" s="1"/>
  <c r="I29" i="19" a="1"/>
  <c r="I29" i="19" s="1"/>
  <c r="I101" i="19" a="1"/>
  <c r="I101" i="19" s="1"/>
  <c r="I121" i="19" a="1"/>
  <c r="I121" i="19" s="1"/>
  <c r="I27" i="19" a="1"/>
  <c r="I27" i="19" s="1"/>
  <c r="I134" i="19" a="1"/>
  <c r="I134" i="19" s="1"/>
  <c r="I64" i="19" a="1"/>
  <c r="I64" i="19" s="1"/>
  <c r="I55" i="19" a="1"/>
  <c r="I55" i="19" s="1"/>
  <c r="I119" i="19" a="1"/>
  <c r="I119" i="19" s="1"/>
  <c r="I21" i="19" a="1"/>
  <c r="I21" i="19" s="1"/>
  <c r="I48" i="19" a="1"/>
  <c r="I48" i="19" s="1"/>
  <c r="I89" i="19" a="1"/>
  <c r="I89" i="19" s="1"/>
  <c r="I118" i="19" a="1"/>
  <c r="I118" i="19" s="1"/>
  <c r="I98" i="19" a="1"/>
  <c r="I98" i="19" s="1"/>
  <c r="I128" i="19" a="1"/>
  <c r="I128" i="19" s="1"/>
  <c r="I58" i="19" a="1"/>
  <c r="I58" i="19" s="1"/>
  <c r="J17" i="19"/>
  <c r="I62" i="19" a="1"/>
  <c r="I62" i="19" s="1"/>
  <c r="I75" i="19" a="1"/>
  <c r="I75" i="19" s="1"/>
  <c r="I105" i="19" a="1"/>
  <c r="I105" i="19" s="1"/>
  <c r="I129" i="19" a="1"/>
  <c r="I129" i="19" s="1"/>
  <c r="I117" i="19" a="1"/>
  <c r="I117" i="19" s="1"/>
  <c r="I103" i="24" a="1"/>
  <c r="I103" i="24" s="1"/>
  <c r="I86" i="24" a="1"/>
  <c r="I86" i="24" s="1"/>
  <c r="I29" i="24" a="1"/>
  <c r="I29" i="24" s="1"/>
  <c r="I116" i="24" a="1"/>
  <c r="I116" i="24" s="1"/>
  <c r="I129" i="24" a="1"/>
  <c r="I129" i="24" s="1"/>
  <c r="I74" i="24" a="1"/>
  <c r="I74" i="24" s="1"/>
  <c r="I92" i="24" a="1"/>
  <c r="I92" i="24" s="1"/>
  <c r="I30" i="24" a="1"/>
  <c r="I30" i="24" s="1"/>
  <c r="I113" i="19" a="1"/>
  <c r="I113" i="19" s="1"/>
  <c r="I123" i="19" a="1"/>
  <c r="I123" i="19" s="1"/>
  <c r="I125" i="19" a="1"/>
  <c r="I125" i="19" s="1"/>
  <c r="I122" i="19" a="1"/>
  <c r="I122" i="19" s="1"/>
  <c r="I65" i="19" a="1"/>
  <c r="I65" i="19" s="1"/>
  <c r="I104" i="19" a="1"/>
  <c r="I104" i="19" s="1"/>
  <c r="I67" i="19" a="1"/>
  <c r="I67" i="19" s="1"/>
  <c r="I57" i="19" a="1"/>
  <c r="I57" i="19" s="1"/>
  <c r="I97" i="19" a="1"/>
  <c r="I97" i="19" s="1"/>
  <c r="I22" i="19" a="1"/>
  <c r="I22" i="19" s="1"/>
  <c r="I157" i="19" a="1"/>
  <c r="I157" i="19" s="1"/>
  <c r="H17" i="19"/>
  <c r="I87" i="19" a="1"/>
  <c r="I87" i="19" s="1"/>
  <c r="I79" i="19" a="1"/>
  <c r="I79" i="19" s="1"/>
  <c r="J6" i="19"/>
  <c r="I102" i="19" a="1"/>
  <c r="I102" i="19" s="1"/>
  <c r="I56" i="19" a="1"/>
  <c r="I56" i="19" s="1"/>
  <c r="I93" i="19" a="1"/>
  <c r="I93" i="19" s="1"/>
  <c r="I77" i="19" a="1"/>
  <c r="I77" i="19" s="1"/>
  <c r="I74" i="19" a="1"/>
  <c r="I74" i="19" s="1"/>
  <c r="I36" i="19" a="1"/>
  <c r="I36" i="19" s="1"/>
  <c r="I69" i="19" a="1"/>
  <c r="I69" i="19" s="1"/>
  <c r="I63" i="19" a="1"/>
  <c r="I63" i="19" s="1"/>
  <c r="I83" i="19" a="1"/>
  <c r="I83" i="19" s="1"/>
  <c r="I30" i="19" a="1"/>
  <c r="I30" i="19" s="1"/>
  <c r="I35" i="19" a="1"/>
  <c r="I35" i="19" s="1"/>
  <c r="I44" i="19" a="1"/>
  <c r="I44" i="19" s="1"/>
  <c r="I54" i="19" a="1"/>
  <c r="I54" i="19" s="1"/>
  <c r="I20" i="19" a="1"/>
  <c r="I20" i="19" s="1"/>
  <c r="I45" i="19" a="1"/>
  <c r="I45" i="19" s="1"/>
  <c r="I28" i="19" a="1"/>
  <c r="I28" i="19" s="1"/>
  <c r="E196" i="19"/>
  <c r="G196" i="19" s="1"/>
  <c r="G211" i="19"/>
  <c r="M211" i="19" s="1"/>
  <c r="G19" i="17" s="1"/>
  <c r="E196" i="24"/>
  <c r="G196" i="24" s="1"/>
  <c r="E197" i="24"/>
  <c r="G197" i="24" s="1"/>
  <c r="E198" i="24"/>
  <c r="G198" i="24" s="1"/>
  <c r="E85" i="24"/>
  <c r="G85" i="24" s="1"/>
  <c r="F111" i="21"/>
  <c r="H43" i="16" s="1"/>
  <c r="F68" i="21"/>
  <c r="N250" i="21"/>
  <c r="M258" i="21"/>
  <c r="O261" i="21"/>
  <c r="P186" i="21"/>
  <c r="P194" i="21" s="1"/>
  <c r="P198" i="25"/>
  <c r="R198" i="25" s="1"/>
  <c r="S88" i="25"/>
  <c r="U88" i="25" s="1"/>
  <c r="S198" i="25"/>
  <c r="U198" i="25" s="1"/>
  <c r="S197" i="25"/>
  <c r="U197" i="25" s="1"/>
  <c r="S82" i="25"/>
  <c r="U82" i="25" s="1"/>
  <c r="P196" i="25"/>
  <c r="R196" i="25" s="1"/>
  <c r="S83" i="25"/>
  <c r="U83" i="25" s="1"/>
  <c r="E157" i="19"/>
  <c r="E128" i="19"/>
  <c r="E82" i="19"/>
  <c r="G82" i="19" s="1"/>
  <c r="E19" i="19"/>
  <c r="P87" i="25"/>
  <c r="R87" i="25" s="1"/>
  <c r="V87" i="25" s="1"/>
  <c r="X87" i="25" s="1"/>
  <c r="E72" i="19"/>
  <c r="P82" i="25"/>
  <c r="R82" i="25" s="1"/>
  <c r="P86" i="25"/>
  <c r="R86" i="25" s="1"/>
  <c r="P88" i="25"/>
  <c r="R88" i="25" s="1"/>
  <c r="P234" i="21"/>
  <c r="O242" i="21"/>
  <c r="O226" i="21"/>
  <c r="P218" i="21"/>
  <c r="P202" i="21"/>
  <c r="O210" i="21"/>
  <c r="P170" i="21"/>
  <c r="O178" i="21"/>
  <c r="V19" i="17"/>
  <c r="E197" i="19"/>
  <c r="G197" i="19" s="1"/>
  <c r="E198" i="19"/>
  <c r="G198" i="19" s="1"/>
  <c r="E88" i="19"/>
  <c r="G88" i="19" s="1"/>
  <c r="E85" i="19"/>
  <c r="G85" i="19" s="1"/>
  <c r="E86" i="19"/>
  <c r="G86" i="19" s="1"/>
  <c r="E84" i="19"/>
  <c r="G84" i="19" s="1"/>
  <c r="E83" i="19"/>
  <c r="G83" i="19" s="1"/>
  <c r="E87" i="19"/>
  <c r="G87" i="19" s="1"/>
  <c r="E89" i="19"/>
  <c r="G89" i="19" s="1"/>
  <c r="L42" i="16"/>
  <c r="J112" i="21"/>
  <c r="K95" i="21"/>
  <c r="V22" i="17"/>
  <c r="X22" i="17"/>
  <c r="J49" i="16"/>
  <c r="J42" i="16"/>
  <c r="H49" i="16"/>
  <c r="H42" i="16"/>
  <c r="E88" i="24" a="1"/>
  <c r="H197" i="22" a="1"/>
  <c r="E88" i="25" a="1"/>
  <c r="H88" i="24" a="1"/>
  <c r="P198" i="24" a="1"/>
  <c r="E82" i="25" a="1"/>
  <c r="H196" i="25" a="1"/>
  <c r="E82" i="22" a="1"/>
  <c r="S196" i="24" a="1"/>
  <c r="E197" i="25" a="1"/>
  <c r="P198" i="19" a="1"/>
  <c r="H85" i="24" a="1"/>
  <c r="E198" i="25" a="1"/>
  <c r="P83" i="24" a="1"/>
  <c r="S198" i="22" a="1"/>
  <c r="H84" i="19" a="1"/>
  <c r="P82" i="24" a="1"/>
  <c r="H89" i="19" a="1"/>
  <c r="P88" i="22" a="1"/>
  <c r="H196" i="22" a="1"/>
  <c r="H197" i="25" a="1"/>
  <c r="S87" i="22" a="1"/>
  <c r="S83" i="22" a="1"/>
  <c r="P87" i="19" a="1"/>
  <c r="P83" i="19" a="1"/>
  <c r="S196" i="19" a="1"/>
  <c r="E83" i="24" a="1"/>
  <c r="E84" i="25" a="1"/>
  <c r="S87" i="24" a="1"/>
  <c r="H198" i="22" a="1"/>
  <c r="S87" i="19" a="1"/>
  <c r="S196" i="22" a="1"/>
  <c r="H197" i="24" a="1"/>
  <c r="P88" i="19" a="1"/>
  <c r="P86" i="22" a="1"/>
  <c r="H84" i="24" a="1"/>
  <c r="H85" i="19" a="1"/>
  <c r="H157" i="24" a="1"/>
  <c r="P85" i="19" a="1"/>
  <c r="H84" i="22" a="1"/>
  <c r="E196" i="25" a="1"/>
  <c r="S198" i="19" a="1"/>
  <c r="H89" i="24" a="1"/>
  <c r="E157" i="25" a="1"/>
  <c r="E86" i="24" a="1"/>
  <c r="S85" i="25" a="1"/>
  <c r="E197" i="22" a="1"/>
  <c r="H89" i="22" a="1"/>
  <c r="E88" i="22" a="1"/>
  <c r="H86" i="19" a="1"/>
  <c r="H198" i="19" a="1"/>
  <c r="S197" i="24" a="1"/>
  <c r="E86" i="25" a="1"/>
  <c r="S82" i="24" a="1"/>
  <c r="H85" i="22" a="1"/>
  <c r="H196" i="19" a="1"/>
  <c r="P85" i="24" a="1"/>
  <c r="E89" i="24" a="1"/>
  <c r="S88" i="19" a="1"/>
  <c r="S198" i="24" a="1"/>
  <c r="E85" i="25" a="1"/>
  <c r="H157" i="22" a="1"/>
  <c r="S84" i="25" a="1"/>
  <c r="P82" i="22" a="1"/>
  <c r="S86" i="22" a="1"/>
  <c r="H87" i="22" a="1"/>
  <c r="P89" i="22" a="1"/>
  <c r="S82" i="22" a="1"/>
  <c r="P196" i="22" a="1"/>
  <c r="H157" i="19" a="1"/>
  <c r="P87" i="22" a="1"/>
  <c r="P197" i="22" a="1"/>
  <c r="P83" i="25" a="1"/>
  <c r="S83" i="24" a="1"/>
  <c r="S84" i="19" a="1"/>
  <c r="P85" i="22" a="1"/>
  <c r="P196" i="24" a="1"/>
  <c r="S83" i="19" a="1"/>
  <c r="S86" i="24" a="1"/>
  <c r="H86" i="22" a="1"/>
  <c r="S88" i="22" a="1"/>
  <c r="H198" i="25" a="1"/>
  <c r="E82" i="24" a="1"/>
  <c r="P84" i="19" a="1"/>
  <c r="E87" i="25" a="1"/>
  <c r="H83" i="22" a="1"/>
  <c r="S88" i="24" a="1"/>
  <c r="P86" i="19" a="1"/>
  <c r="P196" i="19" a="1"/>
  <c r="P83" i="22" a="1"/>
  <c r="P198" i="22" a="1"/>
  <c r="S89" i="24" a="1"/>
  <c r="S85" i="19" a="1"/>
  <c r="P197" i="19" a="1"/>
  <c r="E84" i="22" a="1"/>
  <c r="P84" i="22" a="1"/>
  <c r="P89" i="24" a="1"/>
  <c r="E83" i="25" a="1"/>
  <c r="S85" i="24" a="1"/>
  <c r="P197" i="24" a="1"/>
  <c r="E87" i="24" a="1"/>
  <c r="H88" i="22" a="1"/>
  <c r="P84" i="24" a="1"/>
  <c r="H82" i="24" a="1"/>
  <c r="E89" i="25" a="1"/>
  <c r="H87" i="19" a="1"/>
  <c r="P87" i="24" a="1"/>
  <c r="P89" i="19" a="1"/>
  <c r="S82" i="19" a="1"/>
  <c r="E89" i="22" a="1"/>
  <c r="S197" i="22" a="1"/>
  <c r="S89" i="19" a="1"/>
  <c r="H82" i="22" a="1"/>
  <c r="S84" i="24" a="1"/>
  <c r="S86" i="19" a="1"/>
  <c r="H87" i="24" a="1"/>
  <c r="E84" i="24" a="1"/>
  <c r="S85" i="22" a="1"/>
  <c r="S89" i="22" a="1"/>
  <c r="P88" i="24" a="1"/>
  <c r="S84" i="22" a="1"/>
  <c r="P86" i="24" a="1"/>
  <c r="H86" i="24" a="1"/>
  <c r="H83" i="24" a="1"/>
  <c r="P82" i="19" a="1"/>
  <c r="E157" i="24" a="1"/>
  <c r="E87" i="22" a="1"/>
  <c r="E157" i="22" a="1"/>
  <c r="H196" i="24" a="1"/>
  <c r="H198" i="24" a="1"/>
  <c r="S197" i="19" a="1"/>
  <c r="H197" i="19" a="1"/>
  <c r="E198" i="22" a="1"/>
  <c r="E86" i="24" l="1"/>
  <c r="G86" i="24" s="1"/>
  <c r="E83" i="24"/>
  <c r="G83" i="24" s="1"/>
  <c r="E88" i="24"/>
  <c r="G88" i="24" s="1"/>
  <c r="E87" i="24"/>
  <c r="G87" i="24" s="1"/>
  <c r="E82" i="24"/>
  <c r="G82" i="24" s="1"/>
  <c r="E84" i="24"/>
  <c r="G84" i="24" s="1"/>
  <c r="P83" i="25"/>
  <c r="R83" i="25" s="1"/>
  <c r="S84" i="25"/>
  <c r="U84" i="25" s="1"/>
  <c r="E89" i="24"/>
  <c r="G89" i="24" s="1"/>
  <c r="S85" i="25"/>
  <c r="U85" i="25" s="1"/>
  <c r="E157" i="24"/>
  <c r="G157" i="24" s="1"/>
  <c r="V197" i="25"/>
  <c r="X197" i="25" s="1"/>
  <c r="V85" i="25"/>
  <c r="X85" i="25" s="1"/>
  <c r="V89" i="25"/>
  <c r="X89" i="25" s="1"/>
  <c r="V84" i="25"/>
  <c r="X84" i="25" s="1"/>
  <c r="H197" i="22"/>
  <c r="J197" i="22" s="1"/>
  <c r="V196" i="25"/>
  <c r="X196" i="25" s="1"/>
  <c r="V86" i="25"/>
  <c r="X86" i="25" s="1"/>
  <c r="J126" i="21"/>
  <c r="L51" i="16" s="1"/>
  <c r="V83" i="25"/>
  <c r="X83" i="25" s="1"/>
  <c r="L111" i="21"/>
  <c r="N43" i="16" s="1"/>
  <c r="L125" i="21"/>
  <c r="N50" i="16" s="1"/>
  <c r="V198" i="25"/>
  <c r="X198" i="25" s="1"/>
  <c r="S28" i="17"/>
  <c r="H82" i="22"/>
  <c r="J82" i="22" s="1"/>
  <c r="H84" i="22"/>
  <c r="J84" i="22" s="1"/>
  <c r="H89" i="22"/>
  <c r="J89" i="22" s="1"/>
  <c r="H86" i="22"/>
  <c r="J86" i="22" s="1"/>
  <c r="H88" i="22"/>
  <c r="J88" i="22" s="1"/>
  <c r="H83" i="22"/>
  <c r="J83" i="22" s="1"/>
  <c r="H157" i="22"/>
  <c r="V88" i="25"/>
  <c r="X88" i="25" s="1"/>
  <c r="V82" i="25"/>
  <c r="X82" i="25" s="1"/>
  <c r="S198" i="22"/>
  <c r="U198" i="22" s="1"/>
  <c r="S197" i="22"/>
  <c r="U197" i="22" s="1"/>
  <c r="S196" i="22"/>
  <c r="U196" i="22" s="1"/>
  <c r="S83" i="22"/>
  <c r="U83" i="22" s="1"/>
  <c r="S87" i="22"/>
  <c r="U87" i="22" s="1"/>
  <c r="S84" i="22"/>
  <c r="U84" i="22" s="1"/>
  <c r="S82" i="22"/>
  <c r="U82" i="22" s="1"/>
  <c r="S86" i="22"/>
  <c r="U86" i="22" s="1"/>
  <c r="S89" i="22"/>
  <c r="U89" i="22" s="1"/>
  <c r="S85" i="22"/>
  <c r="U85" i="22" s="1"/>
  <c r="S88" i="22"/>
  <c r="U88" i="22" s="1"/>
  <c r="P89" i="24"/>
  <c r="R89" i="24" s="1"/>
  <c r="P88" i="24"/>
  <c r="R88" i="24" s="1"/>
  <c r="P87" i="24"/>
  <c r="R87" i="24" s="1"/>
  <c r="P85" i="24"/>
  <c r="R85" i="24" s="1"/>
  <c r="P86" i="24"/>
  <c r="R86" i="24" s="1"/>
  <c r="P82" i="24"/>
  <c r="R82" i="24" s="1"/>
  <c r="P84" i="24"/>
  <c r="R84" i="24" s="1"/>
  <c r="P83" i="24"/>
  <c r="R83" i="24" s="1"/>
  <c r="P196" i="24"/>
  <c r="R196" i="24" s="1"/>
  <c r="P198" i="24"/>
  <c r="R198" i="24" s="1"/>
  <c r="P197" i="24"/>
  <c r="R197" i="24" s="1"/>
  <c r="S83" i="24"/>
  <c r="U83" i="24" s="1"/>
  <c r="S88" i="24"/>
  <c r="U88" i="24" s="1"/>
  <c r="S87" i="24"/>
  <c r="U87" i="24" s="1"/>
  <c r="S84" i="24"/>
  <c r="U84" i="24" s="1"/>
  <c r="S86" i="24"/>
  <c r="U86" i="24" s="1"/>
  <c r="S85" i="24"/>
  <c r="U85" i="24" s="1"/>
  <c r="S82" i="24"/>
  <c r="U82" i="24" s="1"/>
  <c r="S89" i="24"/>
  <c r="U89" i="24" s="1"/>
  <c r="P86" i="22"/>
  <c r="R86" i="22" s="1"/>
  <c r="P89" i="22"/>
  <c r="R89" i="22" s="1"/>
  <c r="P85" i="22"/>
  <c r="R85" i="22" s="1"/>
  <c r="P83" i="22"/>
  <c r="R83" i="22" s="1"/>
  <c r="P82" i="22"/>
  <c r="R82" i="22" s="1"/>
  <c r="P88" i="22"/>
  <c r="R88" i="22" s="1"/>
  <c r="P87" i="22"/>
  <c r="R87" i="22" s="1"/>
  <c r="P84" i="22"/>
  <c r="R84" i="22" s="1"/>
  <c r="P197" i="22"/>
  <c r="R197" i="22" s="1"/>
  <c r="P198" i="22"/>
  <c r="R198" i="22" s="1"/>
  <c r="P196" i="22"/>
  <c r="R196" i="22" s="1"/>
  <c r="S198" i="24"/>
  <c r="U198" i="24" s="1"/>
  <c r="S196" i="24"/>
  <c r="U196" i="24" s="1"/>
  <c r="S197" i="24"/>
  <c r="U197" i="24" s="1"/>
  <c r="H125" i="21"/>
  <c r="N27" i="17"/>
  <c r="P197" i="19"/>
  <c r="R197" i="19" s="1"/>
  <c r="P198" i="19"/>
  <c r="R198" i="19" s="1"/>
  <c r="P196" i="19"/>
  <c r="R196" i="19" s="1"/>
  <c r="P83" i="19"/>
  <c r="R83" i="19" s="1"/>
  <c r="P85" i="19"/>
  <c r="R85" i="19" s="1"/>
  <c r="P82" i="19"/>
  <c r="R82" i="19" s="1"/>
  <c r="P84" i="19"/>
  <c r="R84" i="19" s="1"/>
  <c r="P87" i="19"/>
  <c r="R87" i="19" s="1"/>
  <c r="P86" i="19"/>
  <c r="R86" i="19" s="1"/>
  <c r="P89" i="19"/>
  <c r="R89" i="19" s="1"/>
  <c r="P88" i="19"/>
  <c r="R88" i="19" s="1"/>
  <c r="S196" i="19"/>
  <c r="U196" i="19" s="1"/>
  <c r="S198" i="19"/>
  <c r="U198" i="19" s="1"/>
  <c r="S197" i="19"/>
  <c r="U197" i="19" s="1"/>
  <c r="S85" i="19"/>
  <c r="U85" i="19" s="1"/>
  <c r="S82" i="19"/>
  <c r="U82" i="19" s="1"/>
  <c r="S83" i="19"/>
  <c r="U83" i="19" s="1"/>
  <c r="S84" i="19"/>
  <c r="U84" i="19" s="1"/>
  <c r="S87" i="19"/>
  <c r="U87" i="19" s="1"/>
  <c r="S89" i="19"/>
  <c r="U89" i="19" s="1"/>
  <c r="S88" i="19"/>
  <c r="U88" i="19" s="1"/>
  <c r="S86" i="19"/>
  <c r="U86" i="19" s="1"/>
  <c r="AE4" i="17"/>
  <c r="H4" i="17" s="1"/>
  <c r="I28" i="17"/>
  <c r="F112" i="21"/>
  <c r="F215" i="21" s="1"/>
  <c r="F263" i="21" s="1"/>
  <c r="F126" i="21"/>
  <c r="F134" i="21" s="1"/>
  <c r="H52" i="16" s="1"/>
  <c r="J86" i="25"/>
  <c r="J89" i="25"/>
  <c r="J84" i="25"/>
  <c r="L66" i="21"/>
  <c r="L69" i="21" s="1"/>
  <c r="L110" i="21" s="1"/>
  <c r="J85" i="25"/>
  <c r="K68" i="21"/>
  <c r="J87" i="25"/>
  <c r="E82" i="22"/>
  <c r="G82" i="22" s="1"/>
  <c r="E88" i="22"/>
  <c r="G88" i="22" s="1"/>
  <c r="E84" i="22"/>
  <c r="G84" i="22" s="1"/>
  <c r="E197" i="22"/>
  <c r="G197" i="22" s="1"/>
  <c r="E198" i="22"/>
  <c r="G198" i="22" s="1"/>
  <c r="J83" i="25"/>
  <c r="E198" i="25"/>
  <c r="G198" i="25" s="1"/>
  <c r="E196" i="25"/>
  <c r="G196" i="25" s="1"/>
  <c r="E197" i="25"/>
  <c r="G197" i="25" s="1"/>
  <c r="J82" i="25"/>
  <c r="E83" i="25"/>
  <c r="G83" i="25" s="1"/>
  <c r="E157" i="25"/>
  <c r="G157" i="25" s="1"/>
  <c r="E84" i="25"/>
  <c r="G84" i="25" s="1"/>
  <c r="E88" i="25"/>
  <c r="G88" i="25" s="1"/>
  <c r="E89" i="25"/>
  <c r="G89" i="25" s="1"/>
  <c r="J157" i="25"/>
  <c r="J88" i="25"/>
  <c r="H198" i="25"/>
  <c r="J198" i="25" s="1"/>
  <c r="H197" i="25"/>
  <c r="J197" i="25" s="1"/>
  <c r="H196" i="25"/>
  <c r="J196" i="25" s="1"/>
  <c r="H111" i="21"/>
  <c r="H87" i="24"/>
  <c r="J87" i="24" s="1"/>
  <c r="K87" i="24" s="1"/>
  <c r="M87" i="24" s="1"/>
  <c r="H88" i="24"/>
  <c r="J88" i="24" s="1"/>
  <c r="K88" i="24" s="1"/>
  <c r="M88" i="24" s="1"/>
  <c r="H89" i="24"/>
  <c r="J89" i="24" s="1"/>
  <c r="K89" i="24" s="1"/>
  <c r="M89" i="24" s="1"/>
  <c r="H85" i="24"/>
  <c r="J85" i="24" s="1"/>
  <c r="K85" i="24" s="1"/>
  <c r="M85" i="24" s="1"/>
  <c r="H86" i="24"/>
  <c r="J86" i="24" s="1"/>
  <c r="K86" i="24" s="1"/>
  <c r="M86" i="24" s="1"/>
  <c r="H157" i="24"/>
  <c r="J157" i="24" s="1"/>
  <c r="K157" i="24" s="1"/>
  <c r="H82" i="24"/>
  <c r="J82" i="24" s="1"/>
  <c r="K82" i="24" s="1"/>
  <c r="M82" i="24" s="1"/>
  <c r="H84" i="24"/>
  <c r="J84" i="24" s="1"/>
  <c r="K84" i="24" s="1"/>
  <c r="M84" i="24" s="1"/>
  <c r="H83" i="24"/>
  <c r="J83" i="24" s="1"/>
  <c r="K83" i="24" s="1"/>
  <c r="M83" i="24" s="1"/>
  <c r="H87" i="19"/>
  <c r="J87" i="19" s="1"/>
  <c r="K87" i="19" s="1"/>
  <c r="M87" i="19" s="1"/>
  <c r="H84" i="19"/>
  <c r="J84" i="19" s="1"/>
  <c r="K84" i="19" s="1"/>
  <c r="M84" i="19" s="1"/>
  <c r="H85" i="19"/>
  <c r="J85" i="19" s="1"/>
  <c r="K85" i="19" s="1"/>
  <c r="M85" i="19" s="1"/>
  <c r="H86" i="19"/>
  <c r="J86" i="19" s="1"/>
  <c r="K86" i="19" s="1"/>
  <c r="M86" i="19" s="1"/>
  <c r="H157" i="19"/>
  <c r="H89" i="19"/>
  <c r="J89" i="19" s="1"/>
  <c r="K89" i="19" s="1"/>
  <c r="M89" i="19" s="1"/>
  <c r="H198" i="24"/>
  <c r="J198" i="24" s="1"/>
  <c r="K198" i="24" s="1"/>
  <c r="M198" i="24" s="1"/>
  <c r="H196" i="24"/>
  <c r="J196" i="24" s="1"/>
  <c r="K196" i="24" s="1"/>
  <c r="M196" i="24" s="1"/>
  <c r="H197" i="24"/>
  <c r="J197" i="24" s="1"/>
  <c r="K197" i="24" s="1"/>
  <c r="M197" i="24" s="1"/>
  <c r="H196" i="19"/>
  <c r="J196" i="19" s="1"/>
  <c r="K196" i="19" s="1"/>
  <c r="M196" i="19" s="1"/>
  <c r="H197" i="19"/>
  <c r="J197" i="19" s="1"/>
  <c r="K197" i="19" s="1"/>
  <c r="M197" i="19" s="1"/>
  <c r="H198" i="19"/>
  <c r="J198" i="19" s="1"/>
  <c r="K198" i="19" s="1"/>
  <c r="M198" i="19" s="1"/>
  <c r="G104" i="16"/>
  <c r="N258" i="21"/>
  <c r="O250" i="21"/>
  <c r="H196" i="22"/>
  <c r="J196" i="22" s="1"/>
  <c r="E87" i="25"/>
  <c r="G87" i="25" s="1"/>
  <c r="H87" i="22"/>
  <c r="J87" i="22" s="1"/>
  <c r="E157" i="22"/>
  <c r="H198" i="22"/>
  <c r="J198" i="22" s="1"/>
  <c r="E87" i="22"/>
  <c r="G87" i="22" s="1"/>
  <c r="E89" i="22"/>
  <c r="G89" i="22" s="1"/>
  <c r="K89" i="22" s="1"/>
  <c r="M89" i="22" s="1"/>
  <c r="H85" i="22"/>
  <c r="J85" i="22" s="1"/>
  <c r="E82" i="25"/>
  <c r="G82" i="25" s="1"/>
  <c r="E86" i="25"/>
  <c r="G86" i="25" s="1"/>
  <c r="E85" i="25"/>
  <c r="G85" i="25" s="1"/>
  <c r="P261" i="21"/>
  <c r="Q186" i="21"/>
  <c r="Q194" i="21" s="1"/>
  <c r="Q234" i="21"/>
  <c r="P242" i="21"/>
  <c r="P226" i="21"/>
  <c r="Q218" i="21"/>
  <c r="Q202" i="21"/>
  <c r="P210" i="21"/>
  <c r="Q170" i="21"/>
  <c r="P178" i="21"/>
  <c r="J183" i="21"/>
  <c r="J262" i="21" s="1"/>
  <c r="J182" i="21"/>
  <c r="J199" i="21"/>
  <c r="J127" i="21" s="1"/>
  <c r="J198" i="21"/>
  <c r="J215" i="21"/>
  <c r="J263" i="21" s="1"/>
  <c r="J214" i="21"/>
  <c r="J231" i="21"/>
  <c r="J137" i="21" s="1"/>
  <c r="J230" i="21"/>
  <c r="J246" i="21"/>
  <c r="J247" i="21"/>
  <c r="J264" i="21" s="1"/>
  <c r="J166" i="21"/>
  <c r="J167" i="21"/>
  <c r="J113" i="21" s="1"/>
  <c r="V28" i="17"/>
  <c r="U4" i="17"/>
  <c r="J120" i="21"/>
  <c r="L45" i="16" s="1"/>
  <c r="J116" i="21"/>
  <c r="L46" i="16" s="1"/>
  <c r="L44" i="16"/>
  <c r="J118" i="21"/>
  <c r="N52" i="17"/>
  <c r="I35" i="17"/>
  <c r="E83" i="22" a="1"/>
  <c r="E85" i="22" a="1"/>
  <c r="E196" i="22" a="1"/>
  <c r="H83" i="19" a="1"/>
  <c r="H88" i="19" a="1"/>
  <c r="H82" i="19" a="1"/>
  <c r="E86" i="22" a="1"/>
  <c r="E196" i="22" l="1"/>
  <c r="G196" i="22" s="1"/>
  <c r="E85" i="22"/>
  <c r="G85" i="22" s="1"/>
  <c r="E83" i="22"/>
  <c r="G83" i="22" s="1"/>
  <c r="H82" i="19"/>
  <c r="J82" i="19" s="1"/>
  <c r="K82" i="19" s="1"/>
  <c r="M82" i="19" s="1"/>
  <c r="H88" i="19"/>
  <c r="J88" i="19" s="1"/>
  <c r="K88" i="19" s="1"/>
  <c r="M88" i="19" s="1"/>
  <c r="E86" i="22"/>
  <c r="G86" i="22" s="1"/>
  <c r="H83" i="19"/>
  <c r="J83" i="19" s="1"/>
  <c r="K83" i="19" s="1"/>
  <c r="M83" i="19" s="1"/>
  <c r="F182" i="21"/>
  <c r="V88" i="22"/>
  <c r="X88" i="22" s="1"/>
  <c r="K197" i="22"/>
  <c r="M197" i="22" s="1"/>
  <c r="V197" i="22"/>
  <c r="X197" i="22" s="1"/>
  <c r="X26" i="17"/>
  <c r="X28" i="17" s="1"/>
  <c r="K198" i="22"/>
  <c r="M198" i="22" s="1"/>
  <c r="V83" i="22"/>
  <c r="X83" i="22" s="1"/>
  <c r="H44" i="16"/>
  <c r="K86" i="22"/>
  <c r="M86" i="22" s="1"/>
  <c r="V89" i="24"/>
  <c r="X89" i="24" s="1"/>
  <c r="V82" i="22"/>
  <c r="X82" i="22" s="1"/>
  <c r="K88" i="22"/>
  <c r="M88" i="22" s="1"/>
  <c r="J134" i="21"/>
  <c r="L52" i="16" s="1"/>
  <c r="AC5" i="16" s="1"/>
  <c r="F214" i="21"/>
  <c r="J132" i="21"/>
  <c r="L54" i="16" s="1"/>
  <c r="J130" i="21"/>
  <c r="L53" i="16" s="1"/>
  <c r="AE10" i="16" s="1"/>
  <c r="V84" i="22"/>
  <c r="X84" i="22" s="1"/>
  <c r="K84" i="22"/>
  <c r="M84" i="22" s="1"/>
  <c r="V196" i="19"/>
  <c r="X196" i="19" s="1"/>
  <c r="V87" i="22"/>
  <c r="X87" i="22" s="1"/>
  <c r="F247" i="21"/>
  <c r="F264" i="21" s="1"/>
  <c r="K82" i="22"/>
  <c r="M82" i="22" s="1"/>
  <c r="K83" i="22"/>
  <c r="M83" i="22" s="1"/>
  <c r="V196" i="22"/>
  <c r="X196" i="22" s="1"/>
  <c r="F118" i="21"/>
  <c r="H47" i="16" s="1"/>
  <c r="H51" i="16"/>
  <c r="F231" i="21"/>
  <c r="F137" i="21" s="1"/>
  <c r="V85" i="22"/>
  <c r="X85" i="22" s="1"/>
  <c r="V198" i="24"/>
  <c r="X198" i="24" s="1"/>
  <c r="F130" i="21"/>
  <c r="H53" i="16" s="1"/>
  <c r="F230" i="21"/>
  <c r="V89" i="22"/>
  <c r="X89" i="22" s="1"/>
  <c r="V196" i="24"/>
  <c r="X196" i="24" s="1"/>
  <c r="F132" i="21"/>
  <c r="H54" i="16" s="1"/>
  <c r="F120" i="21"/>
  <c r="H45" i="16" s="1"/>
  <c r="AA5" i="16" s="1"/>
  <c r="V198" i="22"/>
  <c r="X198" i="22" s="1"/>
  <c r="V86" i="24"/>
  <c r="X86" i="24" s="1"/>
  <c r="V84" i="19"/>
  <c r="X84" i="19" s="1"/>
  <c r="V197" i="24"/>
  <c r="X197" i="24" s="1"/>
  <c r="V86" i="22"/>
  <c r="X86" i="22" s="1"/>
  <c r="V83" i="24"/>
  <c r="X83" i="24" s="1"/>
  <c r="V197" i="19"/>
  <c r="X197" i="19" s="1"/>
  <c r="V84" i="24"/>
  <c r="X84" i="24" s="1"/>
  <c r="V82" i="24"/>
  <c r="X82" i="24" s="1"/>
  <c r="V89" i="19"/>
  <c r="X89" i="19" s="1"/>
  <c r="V85" i="24"/>
  <c r="X85" i="24" s="1"/>
  <c r="V87" i="24"/>
  <c r="X87" i="24" s="1"/>
  <c r="V87" i="19"/>
  <c r="X87" i="19" s="1"/>
  <c r="V88" i="24"/>
  <c r="X88" i="24" s="1"/>
  <c r="F246" i="21"/>
  <c r="F183" i="21"/>
  <c r="F262" i="21" s="1"/>
  <c r="J43" i="16"/>
  <c r="H112" i="21"/>
  <c r="F116" i="21"/>
  <c r="H46" i="16" s="1"/>
  <c r="F199" i="21"/>
  <c r="F127" i="21" s="1"/>
  <c r="V86" i="19"/>
  <c r="X86" i="19" s="1"/>
  <c r="F198" i="21"/>
  <c r="F167" i="21"/>
  <c r="F113" i="21" s="1"/>
  <c r="F166" i="21"/>
  <c r="AJ4" i="17"/>
  <c r="M4" i="17" s="1"/>
  <c r="N28" i="17"/>
  <c r="J50" i="16"/>
  <c r="H126" i="21"/>
  <c r="V88" i="19"/>
  <c r="X88" i="19" s="1"/>
  <c r="V82" i="19"/>
  <c r="X82" i="19" s="1"/>
  <c r="V85" i="19"/>
  <c r="X85" i="19" s="1"/>
  <c r="V83" i="19"/>
  <c r="X83" i="19" s="1"/>
  <c r="V198" i="19"/>
  <c r="X198" i="19" s="1"/>
  <c r="K196" i="25"/>
  <c r="M196" i="25" s="1"/>
  <c r="K85" i="25"/>
  <c r="M85" i="25" s="1"/>
  <c r="K86" i="25"/>
  <c r="M86" i="25" s="1"/>
  <c r="K84" i="25"/>
  <c r="M84" i="25" s="1"/>
  <c r="L68" i="21"/>
  <c r="L124" i="21"/>
  <c r="N49" i="16" s="1"/>
  <c r="K87" i="25"/>
  <c r="M87" i="25" s="1"/>
  <c r="K89" i="25"/>
  <c r="M89" i="25" s="1"/>
  <c r="K197" i="25"/>
  <c r="M197" i="25" s="1"/>
  <c r="K83" i="25"/>
  <c r="M83" i="25" s="1"/>
  <c r="K82" i="25"/>
  <c r="M82" i="25" s="1"/>
  <c r="K85" i="22"/>
  <c r="M85" i="22" s="1"/>
  <c r="K198" i="25"/>
  <c r="M198" i="25" s="1"/>
  <c r="K157" i="25"/>
  <c r="K88" i="25"/>
  <c r="M88" i="25" s="1"/>
  <c r="P250" i="21"/>
  <c r="O258" i="21"/>
  <c r="K196" i="22"/>
  <c r="M196" i="22" s="1"/>
  <c r="K87" i="22"/>
  <c r="M87" i="22" s="1"/>
  <c r="R186" i="21"/>
  <c r="R194" i="21" s="1"/>
  <c r="Q261" i="21"/>
  <c r="R234" i="21"/>
  <c r="Q242" i="21"/>
  <c r="Q226" i="21"/>
  <c r="R218" i="21"/>
  <c r="R202" i="21"/>
  <c r="Q210" i="21"/>
  <c r="R170" i="21"/>
  <c r="Q178" i="21"/>
  <c r="J138" i="21"/>
  <c r="J193" i="21"/>
  <c r="S35" i="17"/>
  <c r="J225" i="21"/>
  <c r="J257" i="21"/>
  <c r="J209" i="21"/>
  <c r="J128" i="21"/>
  <c r="J150" i="21" s="1"/>
  <c r="J177" i="21"/>
  <c r="J114" i="21"/>
  <c r="J149" i="21" s="1"/>
  <c r="J241" i="21"/>
  <c r="V57" i="17"/>
  <c r="N42" i="16"/>
  <c r="L112" i="21"/>
  <c r="J122" i="21"/>
  <c r="J161" i="21" s="1"/>
  <c r="L113" i="16" s="1"/>
  <c r="L47" i="16"/>
  <c r="N34" i="17"/>
  <c r="N46" i="17"/>
  <c r="N44" i="17"/>
  <c r="N45" i="17"/>
  <c r="N35" i="17"/>
  <c r="N43" i="17"/>
  <c r="N33" i="17"/>
  <c r="N32" i="17"/>
  <c r="L45" i="17"/>
  <c r="L36" i="17"/>
  <c r="L43" i="17"/>
  <c r="L52" i="17"/>
  <c r="L37" i="17"/>
  <c r="I36" i="17"/>
  <c r="I34" i="17"/>
  <c r="I32" i="17"/>
  <c r="I37" i="17"/>
  <c r="I33" i="17"/>
  <c r="I46" i="17"/>
  <c r="I43" i="17"/>
  <c r="I52" i="17"/>
  <c r="I45" i="17"/>
  <c r="I44" i="17"/>
  <c r="I60" i="17"/>
  <c r="I62" i="17"/>
  <c r="I61" i="17"/>
  <c r="G43" i="17"/>
  <c r="G37" i="17"/>
  <c r="G45" i="17"/>
  <c r="G36" i="17"/>
  <c r="F225" i="21"/>
  <c r="I59" i="17"/>
  <c r="BS13" i="24" a="1"/>
  <c r="BS13" i="19" a="1"/>
  <c r="BS13" i="22" a="1"/>
  <c r="F122" i="21" l="1"/>
  <c r="F161" i="21" s="1"/>
  <c r="H113" i="16" s="1"/>
  <c r="AT4" i="17"/>
  <c r="W4" i="17" s="1"/>
  <c r="F177" i="21"/>
  <c r="F114" i="21" s="1"/>
  <c r="F149" i="21" s="1"/>
  <c r="AF10" i="16"/>
  <c r="F209" i="21"/>
  <c r="F128" i="21" s="1"/>
  <c r="F150" i="21" s="1"/>
  <c r="F257" i="21"/>
  <c r="F241" i="21"/>
  <c r="L126" i="21"/>
  <c r="N51" i="16" s="1"/>
  <c r="AB10" i="16"/>
  <c r="AA10" i="16"/>
  <c r="F193" i="21"/>
  <c r="H183" i="21"/>
  <c r="H246" i="21"/>
  <c r="J44" i="16"/>
  <c r="H182" i="21"/>
  <c r="H247" i="21"/>
  <c r="H198" i="21"/>
  <c r="H167" i="21"/>
  <c r="H231" i="21"/>
  <c r="H230" i="21"/>
  <c r="H199" i="21"/>
  <c r="H166" i="21"/>
  <c r="H116" i="21"/>
  <c r="J46" i="16" s="1"/>
  <c r="H118" i="21"/>
  <c r="H214" i="21"/>
  <c r="H120" i="21"/>
  <c r="J45" i="16" s="1"/>
  <c r="H215" i="21"/>
  <c r="H130" i="21"/>
  <c r="J53" i="16" s="1"/>
  <c r="H134" i="21"/>
  <c r="J52" i="16" s="1"/>
  <c r="J51" i="16"/>
  <c r="H132" i="21"/>
  <c r="J54" i="16" s="1"/>
  <c r="Q250" i="21"/>
  <c r="P258" i="21"/>
  <c r="S186" i="21"/>
  <c r="S194" i="21" s="1"/>
  <c r="R261" i="21"/>
  <c r="S234" i="21"/>
  <c r="R242" i="21"/>
  <c r="R226" i="21"/>
  <c r="S218" i="21"/>
  <c r="S202" i="21"/>
  <c r="R210" i="21"/>
  <c r="S170" i="21"/>
  <c r="R178" i="21"/>
  <c r="BS13" i="19"/>
  <c r="BS13" i="22"/>
  <c r="BS13" i="24"/>
  <c r="F138" i="21"/>
  <c r="F151" i="21" s="1"/>
  <c r="L183" i="21"/>
  <c r="L262" i="21" s="1"/>
  <c r="L182" i="21"/>
  <c r="L199" i="21"/>
  <c r="L127" i="21" s="1"/>
  <c r="L198" i="21"/>
  <c r="L215" i="21"/>
  <c r="L263" i="21" s="1"/>
  <c r="L214" i="21"/>
  <c r="L231" i="21"/>
  <c r="L137" i="21" s="1"/>
  <c r="L230" i="21"/>
  <c r="L246" i="21"/>
  <c r="L247" i="21"/>
  <c r="L264" i="21" s="1"/>
  <c r="L166" i="21"/>
  <c r="L167" i="21"/>
  <c r="L113" i="21" s="1"/>
  <c r="K110" i="21"/>
  <c r="K124" i="21"/>
  <c r="V38" i="17"/>
  <c r="I124" i="21"/>
  <c r="I110" i="21"/>
  <c r="G110" i="21"/>
  <c r="G124" i="21"/>
  <c r="E110" i="21"/>
  <c r="G42" i="16" s="1"/>
  <c r="E124" i="21"/>
  <c r="J158" i="21"/>
  <c r="L110" i="16" s="1"/>
  <c r="BL106" i="25"/>
  <c r="J151" i="21"/>
  <c r="J157" i="21"/>
  <c r="L109" i="16" s="1"/>
  <c r="AQ116" i="24"/>
  <c r="AQ116" i="25"/>
  <c r="AS106" i="24"/>
  <c r="AQ106" i="24"/>
  <c r="AQ101" i="24"/>
  <c r="AQ101" i="25"/>
  <c r="AW101" i="25" s="1"/>
  <c r="N44" i="16"/>
  <c r="L120" i="21"/>
  <c r="N45" i="16" s="1"/>
  <c r="L116" i="21"/>
  <c r="N46" i="16" s="1"/>
  <c r="L118" i="21"/>
  <c r="AS106" i="25"/>
  <c r="BL65" i="25"/>
  <c r="AT116" i="25"/>
  <c r="BL106" i="24"/>
  <c r="BL65" i="24"/>
  <c r="AT116" i="24"/>
  <c r="AS65" i="24"/>
  <c r="BJ45" i="25"/>
  <c r="BJ65" i="25"/>
  <c r="BI106" i="25"/>
  <c r="BJ106" i="24"/>
  <c r="BJ65" i="24"/>
  <c r="BJ45" i="24"/>
  <c r="N29" i="17"/>
  <c r="G29" i="17"/>
  <c r="L134" i="21" l="1"/>
  <c r="N52" i="16" s="1"/>
  <c r="AD5" i="16" s="1"/>
  <c r="F158" i="21"/>
  <c r="H110" i="16" s="1"/>
  <c r="L132" i="21"/>
  <c r="N54" i="16" s="1"/>
  <c r="L130" i="21"/>
  <c r="N53" i="16" s="1"/>
  <c r="AG10" i="16" s="1"/>
  <c r="AB5" i="16"/>
  <c r="J47" i="16"/>
  <c r="AD10" i="16" s="1"/>
  <c r="H122" i="21"/>
  <c r="H161" i="21" s="1"/>
  <c r="J113" i="16" s="1"/>
  <c r="H262" i="21"/>
  <c r="H193" i="21"/>
  <c r="AC10" i="16"/>
  <c r="H127" i="21"/>
  <c r="H209" i="21"/>
  <c r="H137" i="21"/>
  <c r="H138" i="21" s="1"/>
  <c r="H157" i="21" s="1"/>
  <c r="J109" i="16" s="1"/>
  <c r="H241" i="21"/>
  <c r="H113" i="21"/>
  <c r="H177" i="21"/>
  <c r="H264" i="21"/>
  <c r="H257" i="21"/>
  <c r="H263" i="21"/>
  <c r="H225" i="21"/>
  <c r="R250" i="21"/>
  <c r="Q258" i="21"/>
  <c r="T186" i="21"/>
  <c r="T261" i="21" s="1"/>
  <c r="S261" i="21"/>
  <c r="T234" i="21"/>
  <c r="T242" i="21" s="1"/>
  <c r="S242" i="21"/>
  <c r="S226" i="21"/>
  <c r="T218" i="21"/>
  <c r="T226" i="21" s="1"/>
  <c r="T202" i="21"/>
  <c r="T210" i="21" s="1"/>
  <c r="S210" i="21"/>
  <c r="T170" i="21"/>
  <c r="T178" i="21" s="1"/>
  <c r="S178" i="21"/>
  <c r="BS29" i="24"/>
  <c r="BS110" i="24"/>
  <c r="BS67" i="24"/>
  <c r="BS27" i="24"/>
  <c r="BS69" i="24"/>
  <c r="BS54" i="24"/>
  <c r="BS39" i="24"/>
  <c r="BS57" i="24"/>
  <c r="BS28" i="24"/>
  <c r="BS99" i="24"/>
  <c r="BS75" i="24"/>
  <c r="BS124" i="24"/>
  <c r="BS26" i="24"/>
  <c r="BS97" i="24"/>
  <c r="BS50" i="24"/>
  <c r="BS119" i="24"/>
  <c r="BS109" i="24"/>
  <c r="BS95" i="24"/>
  <c r="BS106" i="24"/>
  <c r="BS120" i="24"/>
  <c r="BS46" i="24"/>
  <c r="BS74" i="24"/>
  <c r="BS96" i="24"/>
  <c r="BS44" i="24"/>
  <c r="BS98" i="24"/>
  <c r="BS31" i="24"/>
  <c r="BS68" i="24"/>
  <c r="BS93" i="24"/>
  <c r="BS62" i="24"/>
  <c r="BS112" i="24"/>
  <c r="BS114" i="24"/>
  <c r="BS58" i="24"/>
  <c r="BS41" i="24"/>
  <c r="BS33" i="24"/>
  <c r="BS73" i="24"/>
  <c r="BS83" i="24"/>
  <c r="BS107" i="24"/>
  <c r="BS85" i="24"/>
  <c r="BS118" i="24"/>
  <c r="BS55" i="24"/>
  <c r="BS105" i="24"/>
  <c r="BS76" i="24"/>
  <c r="BS49" i="24"/>
  <c r="BS70" i="24"/>
  <c r="BS88" i="24"/>
  <c r="BS101" i="24"/>
  <c r="BS71" i="24"/>
  <c r="BS38" i="24"/>
  <c r="BS104" i="24"/>
  <c r="BS61" i="24"/>
  <c r="BS125" i="24"/>
  <c r="BS82" i="24"/>
  <c r="BS79" i="24"/>
  <c r="BS92" i="24"/>
  <c r="BS111" i="24"/>
  <c r="BS89" i="24"/>
  <c r="BS60" i="24"/>
  <c r="BS122" i="24"/>
  <c r="BS53" i="24"/>
  <c r="BS116" i="24"/>
  <c r="BS65" i="24"/>
  <c r="BS43" i="24"/>
  <c r="BS115" i="24"/>
  <c r="BS45" i="24"/>
  <c r="BS117" i="24"/>
  <c r="BS40" i="24"/>
  <c r="BS87" i="24"/>
  <c r="BS102" i="24"/>
  <c r="BS90" i="24"/>
  <c r="BS91" i="24"/>
  <c r="BS113" i="24"/>
  <c r="BS64" i="24"/>
  <c r="BS66" i="24"/>
  <c r="BS56" i="24"/>
  <c r="BS30" i="24"/>
  <c r="BS80" i="24"/>
  <c r="BS52" i="24"/>
  <c r="BS84" i="24"/>
  <c r="BS78" i="24"/>
  <c r="BS35" i="24"/>
  <c r="BS37" i="24"/>
  <c r="BS100" i="24"/>
  <c r="BS94" i="24"/>
  <c r="BS86" i="24"/>
  <c r="BS121" i="24"/>
  <c r="BS63" i="24"/>
  <c r="BS81" i="24"/>
  <c r="BS123" i="24"/>
  <c r="BS32" i="24"/>
  <c r="BS42" i="24"/>
  <c r="BS34" i="24"/>
  <c r="BS72" i="24"/>
  <c r="BS103" i="24"/>
  <c r="BS59" i="24"/>
  <c r="BS48" i="24"/>
  <c r="BS77" i="24"/>
  <c r="BS47" i="24"/>
  <c r="BS36" i="24"/>
  <c r="BS51" i="24"/>
  <c r="BS108" i="24"/>
  <c r="L138" i="21"/>
  <c r="F157" i="21"/>
  <c r="H109" i="16" s="1"/>
  <c r="M49" i="16"/>
  <c r="K126" i="21"/>
  <c r="M42" i="16"/>
  <c r="K112" i="21"/>
  <c r="V29" i="17"/>
  <c r="K42" i="16"/>
  <c r="I112" i="21"/>
  <c r="K49" i="16"/>
  <c r="I126" i="21"/>
  <c r="I49" i="16"/>
  <c r="G126" i="21"/>
  <c r="I42" i="16"/>
  <c r="G112" i="21"/>
  <c r="E126" i="21"/>
  <c r="G49" i="16"/>
  <c r="G43" i="16"/>
  <c r="E112" i="21"/>
  <c r="L193" i="21"/>
  <c r="L225" i="21"/>
  <c r="L241" i="21"/>
  <c r="L257" i="21"/>
  <c r="L177" i="21"/>
  <c r="L114" i="21"/>
  <c r="L149" i="21" s="1"/>
  <c r="L209" i="21"/>
  <c r="L128" i="21"/>
  <c r="L150" i="21" s="1"/>
  <c r="BL106" i="19"/>
  <c r="AS106" i="19"/>
  <c r="L122" i="21"/>
  <c r="L161" i="21" s="1"/>
  <c r="N113" i="16" s="1"/>
  <c r="N47" i="16"/>
  <c r="Q29" i="17"/>
  <c r="BI106" i="24"/>
  <c r="BP106" i="24" s="1"/>
  <c r="I29" i="17"/>
  <c r="BJ101" i="19"/>
  <c r="BP101" i="19" s="1"/>
  <c r="AQ116" i="19"/>
  <c r="AQ101" i="19"/>
  <c r="BJ45" i="19"/>
  <c r="BJ106" i="19"/>
  <c r="BJ65" i="19"/>
  <c r="AS65" i="19"/>
  <c r="BL65" i="19"/>
  <c r="AT116" i="19"/>
  <c r="AQ106" i="19"/>
  <c r="BS13" i="25" a="1"/>
  <c r="E183" i="21" l="1"/>
  <c r="E193" i="21" s="1"/>
  <c r="E114" i="21"/>
  <c r="AH10" i="16"/>
  <c r="H151" i="21"/>
  <c r="H114" i="21"/>
  <c r="H128" i="21"/>
  <c r="H150" i="21" s="1"/>
  <c r="R258" i="21"/>
  <c r="S250" i="21"/>
  <c r="T194" i="21"/>
  <c r="BS13" i="25"/>
  <c r="I183" i="21"/>
  <c r="I193" i="21" s="1"/>
  <c r="I182" i="21"/>
  <c r="G182" i="21"/>
  <c r="G183" i="21"/>
  <c r="G193" i="21" s="1"/>
  <c r="K183" i="21"/>
  <c r="K193" i="21" s="1"/>
  <c r="K182" i="21"/>
  <c r="I199" i="21"/>
  <c r="I209" i="21" s="1"/>
  <c r="I127" i="21" s="1"/>
  <c r="I198" i="21"/>
  <c r="G199" i="21"/>
  <c r="G209" i="21" s="1"/>
  <c r="G198" i="21"/>
  <c r="K199" i="21"/>
  <c r="K209" i="21" s="1"/>
  <c r="K198" i="21"/>
  <c r="E215" i="21"/>
  <c r="E225" i="21" s="1"/>
  <c r="E199" i="21"/>
  <c r="E209" i="21" s="1"/>
  <c r="E127" i="21" s="1"/>
  <c r="I214" i="21"/>
  <c r="I215" i="21"/>
  <c r="I225" i="21" s="1"/>
  <c r="G214" i="21"/>
  <c r="G215" i="21"/>
  <c r="G225" i="21" s="1"/>
  <c r="K215" i="21"/>
  <c r="K225" i="21" s="1"/>
  <c r="K214" i="21"/>
  <c r="I231" i="21"/>
  <c r="I230" i="21"/>
  <c r="G231" i="21"/>
  <c r="G230" i="21"/>
  <c r="K231" i="21"/>
  <c r="K230" i="21"/>
  <c r="E247" i="21"/>
  <c r="E257" i="21" s="1"/>
  <c r="E231" i="21"/>
  <c r="I246" i="21"/>
  <c r="I247" i="21"/>
  <c r="I257" i="21" s="1"/>
  <c r="G246" i="21"/>
  <c r="G247" i="21"/>
  <c r="G257" i="21" s="1"/>
  <c r="K246" i="21"/>
  <c r="K247" i="21"/>
  <c r="K257" i="21" s="1"/>
  <c r="E167" i="21"/>
  <c r="E177" i="21" s="1"/>
  <c r="E182" i="21"/>
  <c r="E214" i="21"/>
  <c r="E198" i="21"/>
  <c r="E246" i="21"/>
  <c r="E230" i="21"/>
  <c r="E166" i="21"/>
  <c r="I166" i="21"/>
  <c r="I167" i="21"/>
  <c r="I177" i="21" s="1"/>
  <c r="G166" i="21"/>
  <c r="G167" i="21"/>
  <c r="G177" i="21" s="1"/>
  <c r="G114" i="21" s="1"/>
  <c r="G149" i="21" s="1"/>
  <c r="K166" i="21"/>
  <c r="K167" i="21"/>
  <c r="K177" i="21" s="1"/>
  <c r="K116" i="21"/>
  <c r="M46" i="16" s="1"/>
  <c r="M44" i="16"/>
  <c r="K118" i="21"/>
  <c r="K120" i="21"/>
  <c r="M45" i="16" s="1"/>
  <c r="M51" i="16"/>
  <c r="K132" i="21"/>
  <c r="M54" i="16" s="1"/>
  <c r="K134" i="21"/>
  <c r="M52" i="16" s="1"/>
  <c r="K130" i="21"/>
  <c r="M53" i="16" s="1"/>
  <c r="I130" i="21"/>
  <c r="K53" i="16" s="1"/>
  <c r="I132" i="21"/>
  <c r="K54" i="16" s="1"/>
  <c r="I134" i="21"/>
  <c r="K52" i="16" s="1"/>
  <c r="K51" i="16"/>
  <c r="I120" i="21"/>
  <c r="K45" i="16" s="1"/>
  <c r="I116" i="21"/>
  <c r="K46" i="16" s="1"/>
  <c r="I118" i="21"/>
  <c r="K44" i="16"/>
  <c r="G120" i="21"/>
  <c r="I45" i="16" s="1"/>
  <c r="G116" i="21"/>
  <c r="I46" i="16" s="1"/>
  <c r="I44" i="16"/>
  <c r="G118" i="21"/>
  <c r="G134" i="21"/>
  <c r="I52" i="16" s="1"/>
  <c r="I51" i="16"/>
  <c r="G130" i="21"/>
  <c r="I53" i="16" s="1"/>
  <c r="G132" i="21"/>
  <c r="I54" i="16" s="1"/>
  <c r="E132" i="21"/>
  <c r="G54" i="16" s="1"/>
  <c r="E134" i="21"/>
  <c r="G52" i="16" s="1"/>
  <c r="E130" i="21"/>
  <c r="G53" i="16" s="1"/>
  <c r="G51" i="16"/>
  <c r="E118" i="21"/>
  <c r="E120" i="21"/>
  <c r="G45" i="16" s="1"/>
  <c r="E116" i="21"/>
  <c r="G46" i="16" s="1"/>
  <c r="G44" i="16"/>
  <c r="L158" i="21"/>
  <c r="N110" i="16" s="1"/>
  <c r="L151" i="21"/>
  <c r="L157" i="21"/>
  <c r="N109" i="16" s="1"/>
  <c r="BL65" i="22"/>
  <c r="AP116" i="25"/>
  <c r="AW116" i="25" s="1"/>
  <c r="AP98" i="25"/>
  <c r="AW98" i="25" s="1"/>
  <c r="BL106" i="22"/>
  <c r="AS65" i="22"/>
  <c r="AT116" i="22"/>
  <c r="AS106" i="22"/>
  <c r="AP106" i="25"/>
  <c r="AW106" i="25" s="1"/>
  <c r="BJ106" i="22"/>
  <c r="BJ101" i="22"/>
  <c r="BP101" i="22" s="1"/>
  <c r="AQ116" i="22"/>
  <c r="AQ106" i="22"/>
  <c r="AQ101" i="22"/>
  <c r="BI43" i="19"/>
  <c r="BP43" i="19" s="1"/>
  <c r="BI79" i="19"/>
  <c r="BP79" i="19" s="1"/>
  <c r="BI116" i="19"/>
  <c r="BP116" i="19" s="1"/>
  <c r="BI61" i="19"/>
  <c r="BP61" i="19" s="1"/>
  <c r="BI98" i="19"/>
  <c r="BP98" i="19" s="1"/>
  <c r="AZ13" i="22" a="1"/>
  <c r="AZ13" i="25" a="1"/>
  <c r="AZ13" i="19" a="1"/>
  <c r="AZ13" i="24" a="1"/>
  <c r="H158" i="21" l="1"/>
  <c r="J110" i="16" s="1"/>
  <c r="H149" i="21"/>
  <c r="S258" i="21"/>
  <c r="T250" i="21"/>
  <c r="T258" i="21" s="1"/>
  <c r="G127" i="21"/>
  <c r="G128" i="21" s="1"/>
  <c r="G150" i="21" s="1"/>
  <c r="AZ13" i="19"/>
  <c r="AZ13" i="25"/>
  <c r="AZ13" i="24"/>
  <c r="AZ13" i="22"/>
  <c r="BS26" i="25"/>
  <c r="BS56" i="25"/>
  <c r="BS29" i="25"/>
  <c r="BS122" i="25"/>
  <c r="BS95" i="25"/>
  <c r="BS82" i="25"/>
  <c r="BS110" i="25"/>
  <c r="BS119" i="25"/>
  <c r="BS121" i="25"/>
  <c r="BS69" i="25"/>
  <c r="BS124" i="25"/>
  <c r="BS62" i="25"/>
  <c r="BS66" i="25"/>
  <c r="BS78" i="25"/>
  <c r="BS79" i="25"/>
  <c r="BS72" i="25"/>
  <c r="BS45" i="25"/>
  <c r="BS35" i="25"/>
  <c r="BS111" i="25"/>
  <c r="BS33" i="25"/>
  <c r="BS51" i="25"/>
  <c r="BS36" i="25"/>
  <c r="BS38" i="25"/>
  <c r="BS96" i="25"/>
  <c r="BS102" i="25"/>
  <c r="BS64" i="25"/>
  <c r="BS63" i="25"/>
  <c r="BS98" i="25"/>
  <c r="BS88" i="25"/>
  <c r="BS61" i="25"/>
  <c r="BS83" i="25"/>
  <c r="BS28" i="25"/>
  <c r="BS49" i="25"/>
  <c r="BS32" i="25"/>
  <c r="BS52" i="25"/>
  <c r="BS54" i="25"/>
  <c r="BS68" i="25"/>
  <c r="BS70" i="25"/>
  <c r="BS27" i="25"/>
  <c r="BS115" i="25"/>
  <c r="BS60" i="25"/>
  <c r="BS101" i="25"/>
  <c r="BS86" i="25"/>
  <c r="BS43" i="25"/>
  <c r="BS109" i="25"/>
  <c r="BS76" i="25"/>
  <c r="BS114" i="25"/>
  <c r="BS59" i="25"/>
  <c r="BS125" i="25"/>
  <c r="BS112" i="25"/>
  <c r="BS116" i="25"/>
  <c r="BS75" i="25"/>
  <c r="BS85" i="25"/>
  <c r="BS42" i="25"/>
  <c r="BS30" i="25"/>
  <c r="BS41" i="25"/>
  <c r="BS91" i="25"/>
  <c r="BS58" i="25"/>
  <c r="BS46" i="25"/>
  <c r="BS57" i="25"/>
  <c r="BS123" i="25"/>
  <c r="BS90" i="25"/>
  <c r="BS87" i="25"/>
  <c r="BS89" i="25"/>
  <c r="BS106" i="25"/>
  <c r="BS103" i="25"/>
  <c r="BS105" i="25"/>
  <c r="BS104" i="25"/>
  <c r="BS77" i="25"/>
  <c r="BS99" i="25"/>
  <c r="BS44" i="25"/>
  <c r="BS65" i="25"/>
  <c r="BS80" i="25"/>
  <c r="BS93" i="25"/>
  <c r="BS81" i="25"/>
  <c r="BS84" i="25"/>
  <c r="BS48" i="25"/>
  <c r="BS97" i="25"/>
  <c r="BS37" i="25"/>
  <c r="BS92" i="25"/>
  <c r="BS118" i="25"/>
  <c r="BS108" i="25"/>
  <c r="BS117" i="25"/>
  <c r="BS31" i="25"/>
  <c r="BS55" i="25"/>
  <c r="BS107" i="25"/>
  <c r="BS74" i="25"/>
  <c r="BS47" i="25"/>
  <c r="BS67" i="25"/>
  <c r="BS73" i="25"/>
  <c r="BS40" i="25"/>
  <c r="BS94" i="25"/>
  <c r="BS120" i="25"/>
  <c r="BS100" i="25"/>
  <c r="BS113" i="25"/>
  <c r="BS39" i="25"/>
  <c r="BS34" i="25"/>
  <c r="BS71" i="25"/>
  <c r="BS53" i="25"/>
  <c r="BS50" i="25"/>
  <c r="E128" i="21"/>
  <c r="E150" i="21" s="1"/>
  <c r="K128" i="21"/>
  <c r="K150" i="21" s="1"/>
  <c r="I114" i="21"/>
  <c r="I149" i="21" s="1"/>
  <c r="K114" i="21"/>
  <c r="K149" i="21" s="1"/>
  <c r="I128" i="21"/>
  <c r="I150" i="21" s="1"/>
  <c r="I138" i="21"/>
  <c r="AD4" i="16"/>
  <c r="AE9" i="16"/>
  <c r="AC4" i="16"/>
  <c r="K122" i="21"/>
  <c r="K161" i="21" s="1"/>
  <c r="M113" i="16" s="1"/>
  <c r="M47" i="16"/>
  <c r="AH9" i="16" s="1"/>
  <c r="AS65" i="25"/>
  <c r="AG9" i="16"/>
  <c r="I122" i="21"/>
  <c r="K47" i="16"/>
  <c r="AF9" i="16" s="1"/>
  <c r="I47" i="16"/>
  <c r="AD9" i="16" s="1"/>
  <c r="G122" i="21"/>
  <c r="G161" i="21" s="1"/>
  <c r="I113" i="16" s="1"/>
  <c r="AC9" i="16"/>
  <c r="AB4" i="16"/>
  <c r="AA4" i="16"/>
  <c r="AA9" i="16"/>
  <c r="G47" i="16"/>
  <c r="AB9" i="16" s="1"/>
  <c r="E122" i="21"/>
  <c r="AP70" i="24"/>
  <c r="AW70" i="24" s="1"/>
  <c r="AP101" i="24"/>
  <c r="AW101" i="24" s="1"/>
  <c r="AP40" i="24"/>
  <c r="AW40" i="24" s="1"/>
  <c r="AP55" i="24"/>
  <c r="AP98" i="24"/>
  <c r="AW98" i="24" s="1"/>
  <c r="AP116" i="24"/>
  <c r="AW116" i="24" s="1"/>
  <c r="AP106" i="24"/>
  <c r="AW106" i="24" s="1"/>
  <c r="BI106" i="22"/>
  <c r="BP106" i="22" s="1"/>
  <c r="AP40" i="19"/>
  <c r="AW40" i="19" s="1"/>
  <c r="AP55" i="19"/>
  <c r="BI106" i="19"/>
  <c r="BP106" i="19" s="1"/>
  <c r="E161" i="21" l="1"/>
  <c r="G113" i="16" s="1"/>
  <c r="E149" i="21"/>
  <c r="I161" i="21"/>
  <c r="K113" i="16" s="1"/>
  <c r="I151" i="21"/>
  <c r="I157" i="21"/>
  <c r="K109" i="16" s="1"/>
  <c r="Q38" i="17"/>
  <c r="BA25" i="19" a="1"/>
  <c r="BA25" i="19" l="1"/>
  <c r="E138" i="21"/>
  <c r="AP98" i="22"/>
  <c r="AW98" i="22" s="1"/>
  <c r="AP40" i="22"/>
  <c r="AW40" i="22" s="1"/>
  <c r="AP101" i="22"/>
  <c r="AW101" i="22" s="1"/>
  <c r="AP70" i="22"/>
  <c r="AW70" i="22" s="1"/>
  <c r="AP116" i="22"/>
  <c r="AW116" i="22" s="1"/>
  <c r="AP55" i="22"/>
  <c r="AP106" i="22"/>
  <c r="AW106" i="22" s="1"/>
  <c r="S34" i="17" l="1"/>
  <c r="E151" i="21"/>
  <c r="E157" i="21"/>
  <c r="G109" i="16" s="1"/>
  <c r="AT125" i="19"/>
  <c r="AT105" i="19"/>
  <c r="AT65" i="19"/>
  <c r="AT45" i="19"/>
  <c r="AT45" i="24"/>
  <c r="AT125" i="24"/>
  <c r="AT65" i="24"/>
  <c r="AT45" i="22"/>
  <c r="AT65" i="22"/>
  <c r="AT105" i="22"/>
  <c r="AP115" i="25"/>
  <c r="AP43" i="25"/>
  <c r="AW43" i="25" s="1"/>
  <c r="AP97" i="25"/>
  <c r="AW97" i="25" s="1"/>
  <c r="AP61" i="25"/>
  <c r="AW61" i="25" s="1"/>
  <c r="AP79" i="25"/>
  <c r="AW79" i="25" s="1"/>
  <c r="AP98" i="19"/>
  <c r="AW98" i="19" s="1"/>
  <c r="AP116" i="19"/>
  <c r="AW116" i="19" s="1"/>
  <c r="AT125" i="22" l="1"/>
  <c r="AT45" i="25"/>
  <c r="AT65" i="25"/>
  <c r="AT105" i="25"/>
  <c r="AT125" i="25"/>
  <c r="X39" i="17" l="1"/>
  <c r="V48" i="17"/>
  <c r="Q48" i="17"/>
  <c r="AQ65" i="25"/>
  <c r="AQ45" i="25"/>
  <c r="AQ105" i="25"/>
  <c r="AT105" i="24"/>
  <c r="BJ50" i="24" l="1"/>
  <c r="BP50" i="24" s="1"/>
  <c r="BJ125" i="24"/>
  <c r="BJ100" i="24"/>
  <c r="BP100" i="24" s="1"/>
  <c r="BJ75" i="24"/>
  <c r="AS75" i="25"/>
  <c r="G241" i="21"/>
  <c r="G138" i="21"/>
  <c r="G151" i="21" s="1"/>
  <c r="AQ65" i="24"/>
  <c r="AQ45" i="24"/>
  <c r="AQ105" i="24"/>
  <c r="AQ75" i="25" l="1"/>
  <c r="AS75" i="24"/>
  <c r="AQ100" i="25"/>
  <c r="AW100" i="25" s="1"/>
  <c r="AQ50" i="25"/>
  <c r="AW50" i="25" s="1"/>
  <c r="G157" i="21"/>
  <c r="I109" i="16" s="1"/>
  <c r="AQ100" i="24"/>
  <c r="AW100" i="24" s="1"/>
  <c r="AQ50" i="24"/>
  <c r="AW50" i="24" s="1"/>
  <c r="AQ75" i="24"/>
  <c r="P4" i="17"/>
  <c r="Q28" i="17"/>
  <c r="X34" i="17" l="1"/>
  <c r="Q35" i="17"/>
  <c r="E241" i="21"/>
  <c r="BJ75" i="22"/>
  <c r="BJ50" i="22"/>
  <c r="BP50" i="22" s="1"/>
  <c r="BJ106" i="25"/>
  <c r="BP106" i="25" s="1"/>
  <c r="BJ100" i="25"/>
  <c r="BP100" i="25" s="1"/>
  <c r="BJ50" i="25"/>
  <c r="BP50" i="25" s="1"/>
  <c r="BJ75" i="25"/>
  <c r="BJ125" i="25"/>
  <c r="AS125" i="25" l="1"/>
  <c r="G59" i="17"/>
  <c r="G52" i="17" l="1"/>
  <c r="X58" i="17"/>
  <c r="Q58" i="17"/>
  <c r="AQ125" i="25"/>
  <c r="AS125" i="24"/>
  <c r="AP124" i="19"/>
  <c r="AW124" i="19" s="1"/>
  <c r="AP34" i="19"/>
  <c r="AW34" i="19" s="1"/>
  <c r="AP88" i="19"/>
  <c r="AW88" i="19" s="1"/>
  <c r="AP52" i="19"/>
  <c r="AW52" i="19" s="1"/>
  <c r="AP70" i="19"/>
  <c r="AW70" i="19" s="1"/>
  <c r="AP106" i="19"/>
  <c r="AW106" i="19" s="1"/>
  <c r="AP82" i="19"/>
  <c r="AW82" i="19" s="1"/>
  <c r="AP63" i="19"/>
  <c r="AW63" i="19" s="1"/>
  <c r="AP120" i="19"/>
  <c r="AW120" i="19" s="1"/>
  <c r="AP44" i="19"/>
  <c r="AW44" i="19" s="1"/>
  <c r="AP101" i="19"/>
  <c r="AW101" i="19" s="1"/>
  <c r="AP61" i="19"/>
  <c r="AW61" i="19" s="1"/>
  <c r="AP115" i="19"/>
  <c r="AP97" i="19"/>
  <c r="AW97" i="19" s="1"/>
  <c r="AP43" i="19"/>
  <c r="AW43" i="19" s="1"/>
  <c r="AP79" i="19"/>
  <c r="AW79" i="19" s="1"/>
  <c r="L29" i="17" l="1"/>
  <c r="AQ125" i="24"/>
  <c r="G72" i="19" l="1"/>
  <c r="G128" i="19"/>
  <c r="G19" i="19"/>
  <c r="G79" i="19"/>
  <c r="L39" i="17"/>
  <c r="AQ50" i="22"/>
  <c r="AW50" i="22" s="1"/>
  <c r="AQ75" i="22"/>
  <c r="AQ100" i="22"/>
  <c r="AW100" i="22" s="1"/>
  <c r="AP61" i="22"/>
  <c r="AW61" i="22" s="1"/>
  <c r="AP97" i="22"/>
  <c r="AW97" i="22" s="1"/>
  <c r="AP79" i="22"/>
  <c r="AW79" i="22" s="1"/>
  <c r="AP43" i="22"/>
  <c r="AW43" i="22" s="1"/>
  <c r="S39" i="17" l="1"/>
  <c r="V52" i="17"/>
  <c r="L33" i="17"/>
  <c r="AP115" i="22"/>
  <c r="BJ100" i="22"/>
  <c r="L48" i="17" l="1"/>
  <c r="G48" i="17"/>
  <c r="L38" i="17"/>
  <c r="X51" i="17"/>
  <c r="X50" i="17"/>
  <c r="X49" i="17"/>
  <c r="S50" i="17"/>
  <c r="X41" i="17"/>
  <c r="S51" i="17"/>
  <c r="S49" i="17"/>
  <c r="S41" i="17"/>
  <c r="N51" i="17"/>
  <c r="N50" i="17"/>
  <c r="N49" i="17"/>
  <c r="N41" i="17"/>
  <c r="G39" i="17"/>
  <c r="I51" i="17"/>
  <c r="I50" i="17"/>
  <c r="I49" i="17"/>
  <c r="I41" i="17"/>
  <c r="I31" i="17"/>
  <c r="I39" i="17"/>
  <c r="L31" i="17"/>
  <c r="J157" i="22" l="1"/>
  <c r="J157" i="19"/>
  <c r="G157" i="22"/>
  <c r="G157" i="19"/>
  <c r="Q52" i="17" l="1"/>
  <c r="Q57" i="17"/>
  <c r="L57" i="17"/>
  <c r="L34" i="17"/>
  <c r="G38" i="17"/>
  <c r="AQ45" i="22"/>
  <c r="AQ65" i="22"/>
  <c r="AQ105" i="22"/>
  <c r="AQ125" i="22"/>
  <c r="AQ100" i="19"/>
  <c r="AW100" i="19" s="1"/>
  <c r="AQ125" i="19"/>
  <c r="AQ75" i="19"/>
  <c r="AQ50" i="19"/>
  <c r="AW50" i="19" s="1"/>
  <c r="AS125" i="22"/>
  <c r="AS75" i="22"/>
  <c r="K157" i="22"/>
  <c r="K157" i="19"/>
  <c r="BJ55" i="25"/>
  <c r="BP55" i="25" s="1"/>
  <c r="BJ85" i="25"/>
  <c r="BJ115" i="25"/>
  <c r="BP115" i="25" s="1"/>
  <c r="AQ65" i="19"/>
  <c r="AQ105" i="19"/>
  <c r="K79" i="22" l="1"/>
  <c r="M79" i="22" s="1"/>
  <c r="K54" i="22"/>
  <c r="M54" i="22" s="1"/>
  <c r="V66" i="25"/>
  <c r="X66" i="25" s="1"/>
  <c r="V34" i="22"/>
  <c r="X34" i="22" s="1"/>
  <c r="V169" i="22"/>
  <c r="X169" i="22" s="1"/>
  <c r="V78" i="22"/>
  <c r="X78" i="22" s="1"/>
  <c r="K181" i="25"/>
  <c r="M181" i="25" s="1"/>
  <c r="K208" i="22"/>
  <c r="M208" i="22" s="1"/>
  <c r="G96" i="21" s="1"/>
  <c r="G97" i="21" s="1"/>
  <c r="G101" i="21" s="1"/>
  <c r="G102" i="21" s="1"/>
  <c r="G160" i="21" s="1"/>
  <c r="I112" i="16" s="1"/>
  <c r="V172" i="24"/>
  <c r="X172" i="24" s="1"/>
  <c r="K131" i="22"/>
  <c r="M131" i="22" s="1"/>
  <c r="L60" i="17" s="1"/>
  <c r="K36" i="22"/>
  <c r="M36" i="22" s="1"/>
  <c r="K35" i="24"/>
  <c r="M35" i="24" s="1"/>
  <c r="K180" i="25"/>
  <c r="M180" i="25" s="1"/>
  <c r="K103" i="25"/>
  <c r="M103" i="25" s="1"/>
  <c r="V44" i="17" s="1"/>
  <c r="K192" i="24"/>
  <c r="M192" i="24" s="1"/>
  <c r="K22" i="25"/>
  <c r="M22" i="25" s="1"/>
  <c r="K52" i="24"/>
  <c r="M52" i="24" s="1"/>
  <c r="V169" i="24"/>
  <c r="X169" i="24" s="1"/>
  <c r="V183" i="25"/>
  <c r="X183" i="25" s="1"/>
  <c r="V202" i="24"/>
  <c r="X202" i="24" s="1"/>
  <c r="K68" i="19"/>
  <c r="M68" i="19" s="1"/>
  <c r="K61" i="24"/>
  <c r="M61" i="24" s="1"/>
  <c r="Q32" i="17" s="1"/>
  <c r="V46" i="22"/>
  <c r="X46" i="22" s="1"/>
  <c r="K177" i="19"/>
  <c r="M177" i="19" s="1"/>
  <c r="V102" i="24"/>
  <c r="X102" i="24" s="1"/>
  <c r="K119" i="19"/>
  <c r="M119" i="19" s="1"/>
  <c r="G76" i="17" s="1"/>
  <c r="K124" i="19"/>
  <c r="M124" i="19" s="1"/>
  <c r="G81" i="17" s="1"/>
  <c r="K116" i="25"/>
  <c r="M116" i="25" s="1"/>
  <c r="V73" i="17" s="1"/>
  <c r="K172" i="25"/>
  <c r="M172" i="25" s="1"/>
  <c r="K34" i="19"/>
  <c r="M34" i="19" s="1"/>
  <c r="G35" i="17" s="1"/>
  <c r="V130" i="19"/>
  <c r="X130" i="19" s="1"/>
  <c r="V36" i="19"/>
  <c r="X36" i="19" s="1"/>
  <c r="V54" i="24"/>
  <c r="X54" i="24" s="1"/>
  <c r="V57" i="24"/>
  <c r="X57" i="24" s="1"/>
  <c r="V56" i="19"/>
  <c r="X56" i="19" s="1"/>
  <c r="V69" i="25"/>
  <c r="X69" i="25" s="1"/>
  <c r="V76" i="24"/>
  <c r="X76" i="24" s="1"/>
  <c r="V65" i="22"/>
  <c r="X65" i="22" s="1"/>
  <c r="V205" i="22"/>
  <c r="X205" i="22" s="1"/>
  <c r="V33" i="19"/>
  <c r="X33" i="19" s="1"/>
  <c r="K164" i="22"/>
  <c r="M164" i="22" s="1"/>
  <c r="V168" i="19"/>
  <c r="X168" i="19" s="1"/>
  <c r="K53" i="22"/>
  <c r="M53" i="22" s="1"/>
  <c r="V63" i="25"/>
  <c r="X63" i="25" s="1"/>
  <c r="V37" i="24"/>
  <c r="X37" i="24" s="1"/>
  <c r="V55" i="25"/>
  <c r="X55" i="25" s="1"/>
  <c r="K94" i="22"/>
  <c r="M94" i="22" s="1"/>
  <c r="V104" i="22"/>
  <c r="X104" i="22" s="1"/>
  <c r="V64" i="25"/>
  <c r="X64" i="25" s="1"/>
  <c r="K47" i="22"/>
  <c r="M47" i="22" s="1"/>
  <c r="V65" i="24"/>
  <c r="X65" i="24" s="1"/>
  <c r="S46" i="17" s="1"/>
  <c r="K53" i="24"/>
  <c r="M53" i="24" s="1"/>
  <c r="V21" i="24"/>
  <c r="X21" i="24" s="1"/>
  <c r="K72" i="22"/>
  <c r="M72" i="22" s="1"/>
  <c r="V62" i="24"/>
  <c r="X62" i="24" s="1"/>
  <c r="V92" i="19"/>
  <c r="X92" i="19" s="1"/>
  <c r="V186" i="25"/>
  <c r="X186" i="25" s="1"/>
  <c r="K27" i="25"/>
  <c r="M27" i="25" s="1"/>
  <c r="V103" i="24"/>
  <c r="X103" i="24" s="1"/>
  <c r="V54" i="25"/>
  <c r="X54" i="25" s="1"/>
  <c r="V74" i="22"/>
  <c r="X74" i="22" s="1"/>
  <c r="V36" i="22"/>
  <c r="X36" i="22" s="1"/>
  <c r="V36" i="25"/>
  <c r="X36" i="25" s="1"/>
  <c r="V163" i="25"/>
  <c r="X163" i="25" s="1"/>
  <c r="K105" i="19"/>
  <c r="M105" i="19" s="1"/>
  <c r="V62" i="22"/>
  <c r="X62" i="22" s="1"/>
  <c r="V43" i="25"/>
  <c r="X43" i="25" s="1"/>
  <c r="V19" i="22"/>
  <c r="X19" i="22" s="1"/>
  <c r="K67" i="22"/>
  <c r="M67" i="22" s="1"/>
  <c r="V97" i="25"/>
  <c r="X97" i="25" s="1"/>
  <c r="V164" i="24"/>
  <c r="X164" i="24" s="1"/>
  <c r="K104" i="25"/>
  <c r="M104" i="25" s="1"/>
  <c r="V45" i="17" s="1"/>
  <c r="V176" i="24"/>
  <c r="X176" i="24" s="1"/>
  <c r="V79" i="25"/>
  <c r="X79" i="25" s="1"/>
  <c r="K119" i="24"/>
  <c r="M119" i="24" s="1"/>
  <c r="Q76" i="17" s="1"/>
  <c r="V20" i="25"/>
  <c r="X20" i="25" s="1"/>
  <c r="K20" i="19"/>
  <c r="M20" i="19" s="1"/>
  <c r="V134" i="19"/>
  <c r="X134" i="19" s="1"/>
  <c r="K123" i="19"/>
  <c r="M123" i="19" s="1"/>
  <c r="G80" i="17" s="1"/>
  <c r="V98" i="25"/>
  <c r="X98" i="25" s="1"/>
  <c r="K57" i="24"/>
  <c r="M57" i="24" s="1"/>
  <c r="K39" i="22"/>
  <c r="M39" i="22" s="1"/>
  <c r="V167" i="25"/>
  <c r="X167" i="25" s="1"/>
  <c r="K134" i="22"/>
  <c r="M134" i="22" s="1"/>
  <c r="L63" i="17" s="1"/>
  <c r="V38" i="25"/>
  <c r="X38" i="25" s="1"/>
  <c r="V61" i="25"/>
  <c r="X61" i="25" s="1"/>
  <c r="V79" i="22"/>
  <c r="X79" i="22" s="1"/>
  <c r="V173" i="25"/>
  <c r="X173" i="25" s="1"/>
  <c r="V180" i="24"/>
  <c r="X180" i="24" s="1"/>
  <c r="V97" i="22"/>
  <c r="X97" i="22" s="1"/>
  <c r="V130" i="25"/>
  <c r="X130" i="25" s="1"/>
  <c r="K65" i="25"/>
  <c r="M65" i="25" s="1"/>
  <c r="V46" i="17" s="1"/>
  <c r="V45" i="24"/>
  <c r="X45" i="24" s="1"/>
  <c r="V27" i="22"/>
  <c r="X27" i="22" s="1"/>
  <c r="V64" i="19"/>
  <c r="X64" i="19" s="1"/>
  <c r="K132" i="22"/>
  <c r="M132" i="22" s="1"/>
  <c r="L61" i="17" s="1"/>
  <c r="V191" i="19"/>
  <c r="X191" i="19" s="1"/>
  <c r="V99" i="22"/>
  <c r="X99" i="22" s="1"/>
  <c r="V181" i="25"/>
  <c r="X181" i="25" s="1"/>
  <c r="V168" i="24"/>
  <c r="X168" i="24" s="1"/>
  <c r="V130" i="22"/>
  <c r="X130" i="22" s="1"/>
  <c r="V52" i="19"/>
  <c r="X52" i="19" s="1"/>
  <c r="V19" i="19"/>
  <c r="X19" i="19" s="1"/>
  <c r="V35" i="24"/>
  <c r="X35" i="24" s="1"/>
  <c r="V131" i="25"/>
  <c r="X131" i="25" s="1"/>
  <c r="V29" i="19"/>
  <c r="X29" i="19" s="1"/>
  <c r="V74" i="24"/>
  <c r="X74" i="24" s="1"/>
  <c r="V78" i="25"/>
  <c r="X78" i="25" s="1"/>
  <c r="V129" i="25"/>
  <c r="X129" i="25" s="1"/>
  <c r="V202" i="22"/>
  <c r="X202" i="22" s="1"/>
  <c r="V206" i="25"/>
  <c r="X206" i="25" s="1"/>
  <c r="V188" i="19"/>
  <c r="X188" i="19" s="1"/>
  <c r="V63" i="19"/>
  <c r="X63" i="19" s="1"/>
  <c r="V57" i="25"/>
  <c r="X57" i="25" s="1"/>
  <c r="V42" i="24"/>
  <c r="X42" i="24" s="1"/>
  <c r="V102" i="19"/>
  <c r="X102" i="19" s="1"/>
  <c r="V92" i="25"/>
  <c r="X92" i="25" s="1"/>
  <c r="V132" i="24"/>
  <c r="X132" i="24" s="1"/>
  <c r="V132" i="25"/>
  <c r="X132" i="25" s="1"/>
  <c r="V65" i="19"/>
  <c r="X65" i="19" s="1"/>
  <c r="V51" i="25"/>
  <c r="X51" i="25" s="1"/>
  <c r="V169" i="19"/>
  <c r="X169" i="19" s="1"/>
  <c r="V65" i="25"/>
  <c r="X65" i="25" s="1"/>
  <c r="V182" i="25"/>
  <c r="X182" i="25" s="1"/>
  <c r="V36" i="24"/>
  <c r="X36" i="24" s="1"/>
  <c r="V54" i="22"/>
  <c r="X54" i="22" s="1"/>
  <c r="V51" i="19"/>
  <c r="X51" i="19" s="1"/>
  <c r="V94" i="25"/>
  <c r="X94" i="25" s="1"/>
  <c r="V51" i="24"/>
  <c r="X51" i="24" s="1"/>
  <c r="V188" i="22"/>
  <c r="X188" i="22" s="1"/>
  <c r="V33" i="22"/>
  <c r="X33" i="22" s="1"/>
  <c r="V66" i="19"/>
  <c r="X66" i="19" s="1"/>
  <c r="V21" i="22"/>
  <c r="X21" i="22" s="1"/>
  <c r="V172" i="25"/>
  <c r="X172" i="25" s="1"/>
  <c r="V177" i="25"/>
  <c r="X177" i="25" s="1"/>
  <c r="V172" i="22"/>
  <c r="X172" i="22" s="1"/>
  <c r="K22" i="24"/>
  <c r="M22" i="24" s="1"/>
  <c r="V192" i="24"/>
  <c r="X192" i="24" s="1"/>
  <c r="V46" i="25"/>
  <c r="X46" i="25" s="1"/>
  <c r="V37" i="19"/>
  <c r="X37" i="19" s="1"/>
  <c r="V78" i="24"/>
  <c r="X78" i="24" s="1"/>
  <c r="K67" i="25"/>
  <c r="M67" i="25" s="1"/>
  <c r="V105" i="22"/>
  <c r="X105" i="22" s="1"/>
  <c r="V75" i="25"/>
  <c r="X75" i="25" s="1"/>
  <c r="V167" i="24"/>
  <c r="X167" i="24" s="1"/>
  <c r="V131" i="19"/>
  <c r="X131" i="19" s="1"/>
  <c r="V177" i="19"/>
  <c r="X177" i="19" s="1"/>
  <c r="V188" i="25"/>
  <c r="X188" i="25" s="1"/>
  <c r="V55" i="24"/>
  <c r="X55" i="24" s="1"/>
  <c r="V39" i="22"/>
  <c r="X39" i="22" s="1"/>
  <c r="V47" i="25"/>
  <c r="X47" i="25" s="1"/>
  <c r="V68" i="24"/>
  <c r="X68" i="24" s="1"/>
  <c r="K180" i="19"/>
  <c r="M180" i="19" s="1"/>
  <c r="V38" i="22"/>
  <c r="X38" i="22" s="1"/>
  <c r="V164" i="19"/>
  <c r="X164" i="19" s="1"/>
  <c r="V208" i="22"/>
  <c r="X208" i="22" s="1"/>
  <c r="H96" i="21" s="1"/>
  <c r="H97" i="21" s="1"/>
  <c r="H101" i="21" s="1"/>
  <c r="H102" i="21" s="1"/>
  <c r="V63" i="24"/>
  <c r="X63" i="24" s="1"/>
  <c r="V187" i="25"/>
  <c r="X187" i="25" s="1"/>
  <c r="V19" i="25"/>
  <c r="X19" i="25" s="1"/>
  <c r="V21" i="25"/>
  <c r="X21" i="25" s="1"/>
  <c r="V52" i="25"/>
  <c r="X52" i="25" s="1"/>
  <c r="V93" i="24"/>
  <c r="X93" i="24" s="1"/>
  <c r="V79" i="24"/>
  <c r="X79" i="24" s="1"/>
  <c r="V133" i="25"/>
  <c r="X133" i="25" s="1"/>
  <c r="V61" i="24"/>
  <c r="X61" i="24" s="1"/>
  <c r="S32" i="17" s="1"/>
  <c r="V128" i="22"/>
  <c r="X128" i="22" s="1"/>
  <c r="N57" i="17" s="1"/>
  <c r="V98" i="22"/>
  <c r="X98" i="22" s="1"/>
  <c r="V163" i="22"/>
  <c r="X163" i="22" s="1"/>
  <c r="V183" i="24"/>
  <c r="X183" i="24" s="1"/>
  <c r="V164" i="22"/>
  <c r="X164" i="22" s="1"/>
  <c r="V45" i="19"/>
  <c r="X45" i="19" s="1"/>
  <c r="V37" i="25"/>
  <c r="X37" i="25" s="1"/>
  <c r="V26" i="25"/>
  <c r="X26" i="25" s="1"/>
  <c r="V30" i="22"/>
  <c r="X30" i="22" s="1"/>
  <c r="V92" i="24"/>
  <c r="X92" i="24" s="1"/>
  <c r="V64" i="24"/>
  <c r="X64" i="24" s="1"/>
  <c r="V102" i="22"/>
  <c r="X102" i="22" s="1"/>
  <c r="V202" i="25"/>
  <c r="X202" i="25" s="1"/>
  <c r="V35" i="22"/>
  <c r="X35" i="22" s="1"/>
  <c r="V62" i="25"/>
  <c r="X62" i="25" s="1"/>
  <c r="V23" i="24"/>
  <c r="X23" i="24" s="1"/>
  <c r="V45" i="22"/>
  <c r="X45" i="22" s="1"/>
  <c r="V73" i="24"/>
  <c r="X73" i="24" s="1"/>
  <c r="V76" i="22"/>
  <c r="X76" i="22" s="1"/>
  <c r="V56" i="25"/>
  <c r="X56" i="25" s="1"/>
  <c r="V100" i="25"/>
  <c r="X100" i="25" s="1"/>
  <c r="V67" i="25"/>
  <c r="X67" i="25" s="1"/>
  <c r="V104" i="25"/>
  <c r="X104" i="25" s="1"/>
  <c r="V192" i="22"/>
  <c r="X192" i="22" s="1"/>
  <c r="V28" i="25"/>
  <c r="X28" i="25" s="1"/>
  <c r="V102" i="25"/>
  <c r="X102" i="25" s="1"/>
  <c r="V27" i="25"/>
  <c r="X27" i="25" s="1"/>
  <c r="V48" i="25"/>
  <c r="X48" i="25" s="1"/>
  <c r="V23" i="25"/>
  <c r="X23" i="25" s="1"/>
  <c r="V29" i="25"/>
  <c r="X29" i="25" s="1"/>
  <c r="V99" i="25"/>
  <c r="X99" i="25" s="1"/>
  <c r="V105" i="25"/>
  <c r="X105" i="25" s="1"/>
  <c r="V134" i="24"/>
  <c r="X134" i="24" s="1"/>
  <c r="S63" i="17" s="1"/>
  <c r="V33" i="25"/>
  <c r="X33" i="25" s="1"/>
  <c r="V77" i="25"/>
  <c r="X77" i="25" s="1"/>
  <c r="V34" i="25"/>
  <c r="X34" i="25" s="1"/>
  <c r="X35" i="17" s="1"/>
  <c r="V27" i="24"/>
  <c r="X27" i="24" s="1"/>
  <c r="V103" i="25"/>
  <c r="X103" i="25" s="1"/>
  <c r="V76" i="25"/>
  <c r="X76" i="25" s="1"/>
  <c r="V193" i="25"/>
  <c r="X193" i="25" s="1"/>
  <c r="V205" i="25"/>
  <c r="X205" i="25" s="1"/>
  <c r="V93" i="25"/>
  <c r="X93" i="25" s="1"/>
  <c r="V73" i="25"/>
  <c r="X73" i="25" s="1"/>
  <c r="V201" i="25"/>
  <c r="X201" i="25" s="1"/>
  <c r="V45" i="25"/>
  <c r="X45" i="25" s="1"/>
  <c r="V176" i="25"/>
  <c r="X176" i="25" s="1"/>
  <c r="V42" i="25"/>
  <c r="X42" i="25" s="1"/>
  <c r="V168" i="25"/>
  <c r="X168" i="25" s="1"/>
  <c r="V58" i="25"/>
  <c r="X58" i="25" s="1"/>
  <c r="V106" i="25"/>
  <c r="X106" i="25" s="1"/>
  <c r="V207" i="25"/>
  <c r="X207" i="25" s="1"/>
  <c r="V208" i="25"/>
  <c r="X208" i="25" s="1"/>
  <c r="L96" i="21" s="1"/>
  <c r="L97" i="21" s="1"/>
  <c r="V29" i="22"/>
  <c r="X29" i="22" s="1"/>
  <c r="V128" i="25"/>
  <c r="X128" i="25" s="1"/>
  <c r="V169" i="25"/>
  <c r="X169" i="25" s="1"/>
  <c r="V192" i="25"/>
  <c r="X192" i="25" s="1"/>
  <c r="V30" i="25"/>
  <c r="X30" i="25" s="1"/>
  <c r="V133" i="24"/>
  <c r="X133" i="24" s="1"/>
  <c r="V182" i="24"/>
  <c r="X182" i="24" s="1"/>
  <c r="V48" i="24"/>
  <c r="X48" i="24" s="1"/>
  <c r="V44" i="25"/>
  <c r="X44" i="25" s="1"/>
  <c r="V53" i="25"/>
  <c r="X53" i="25" s="1"/>
  <c r="V74" i="25"/>
  <c r="X74" i="25" s="1"/>
  <c r="V39" i="25"/>
  <c r="X39" i="25" s="1"/>
  <c r="V131" i="24"/>
  <c r="X131" i="24" s="1"/>
  <c r="V44" i="24"/>
  <c r="X44" i="24" s="1"/>
  <c r="V28" i="24"/>
  <c r="X28" i="24" s="1"/>
  <c r="V38" i="24"/>
  <c r="X38" i="24" s="1"/>
  <c r="V66" i="24"/>
  <c r="X66" i="24" s="1"/>
  <c r="V20" i="24"/>
  <c r="X20" i="24" s="1"/>
  <c r="V163" i="24"/>
  <c r="X163" i="24" s="1"/>
  <c r="V47" i="24"/>
  <c r="X47" i="24" s="1"/>
  <c r="V191" i="24"/>
  <c r="X191" i="24" s="1"/>
  <c r="V43" i="24"/>
  <c r="X43" i="24" s="1"/>
  <c r="V103" i="19"/>
  <c r="X103" i="19" s="1"/>
  <c r="V26" i="24"/>
  <c r="X26" i="24" s="1"/>
  <c r="V28" i="22"/>
  <c r="X28" i="22" s="1"/>
  <c r="V75" i="24"/>
  <c r="X75" i="24" s="1"/>
  <c r="V188" i="24"/>
  <c r="X188" i="24" s="1"/>
  <c r="V100" i="24"/>
  <c r="X100" i="24" s="1"/>
  <c r="V77" i="24"/>
  <c r="X77" i="24" s="1"/>
  <c r="V207" i="24"/>
  <c r="X207" i="24" s="1"/>
  <c r="V206" i="24"/>
  <c r="X206" i="24" s="1"/>
  <c r="V27" i="19"/>
  <c r="X27" i="19" s="1"/>
  <c r="V106" i="24"/>
  <c r="X106" i="24" s="1"/>
  <c r="V98" i="24"/>
  <c r="X98" i="24" s="1"/>
  <c r="V67" i="24"/>
  <c r="X67" i="24" s="1"/>
  <c r="V177" i="24"/>
  <c r="X177" i="24" s="1"/>
  <c r="V69" i="24"/>
  <c r="X69" i="24" s="1"/>
  <c r="V33" i="24"/>
  <c r="X33" i="24" s="1"/>
  <c r="V52" i="24"/>
  <c r="X52" i="24" s="1"/>
  <c r="V56" i="24"/>
  <c r="X56" i="24" s="1"/>
  <c r="V205" i="24"/>
  <c r="X205" i="24" s="1"/>
  <c r="V29" i="24"/>
  <c r="X29" i="24" s="1"/>
  <c r="V208" i="24"/>
  <c r="X208" i="24" s="1"/>
  <c r="J96" i="21" s="1"/>
  <c r="J97" i="21" s="1"/>
  <c r="V97" i="24"/>
  <c r="X97" i="24" s="1"/>
  <c r="V22" i="24"/>
  <c r="X22" i="24" s="1"/>
  <c r="V173" i="24"/>
  <c r="X173" i="24" s="1"/>
  <c r="V186" i="24"/>
  <c r="X186" i="24" s="1"/>
  <c r="V128" i="24"/>
  <c r="X128" i="24" s="1"/>
  <c r="V30" i="24"/>
  <c r="X30" i="24" s="1"/>
  <c r="V34" i="24"/>
  <c r="X34" i="24" s="1"/>
  <c r="V101" i="24"/>
  <c r="X101" i="24" s="1"/>
  <c r="V181" i="24"/>
  <c r="X181" i="24" s="1"/>
  <c r="V53" i="24"/>
  <c r="X53" i="24" s="1"/>
  <c r="V105" i="24"/>
  <c r="X105" i="24" s="1"/>
  <c r="V104" i="24"/>
  <c r="X104" i="24" s="1"/>
  <c r="V193" i="24"/>
  <c r="X193" i="24" s="1"/>
  <c r="V58" i="24"/>
  <c r="X58" i="24" s="1"/>
  <c r="V72" i="24"/>
  <c r="X72" i="24" s="1"/>
  <c r="S31" i="17" s="1"/>
  <c r="V61" i="22"/>
  <c r="X61" i="22" s="1"/>
  <c r="V94" i="24"/>
  <c r="X94" i="24" s="1"/>
  <c r="V46" i="24"/>
  <c r="X46" i="24" s="1"/>
  <c r="V129" i="24"/>
  <c r="X129" i="24" s="1"/>
  <c r="S58" i="17" s="1"/>
  <c r="V39" i="24"/>
  <c r="X39" i="24" s="1"/>
  <c r="V201" i="24"/>
  <c r="X201" i="24" s="1"/>
  <c r="V130" i="24"/>
  <c r="X130" i="24" s="1"/>
  <c r="V193" i="22"/>
  <c r="X193" i="22" s="1"/>
  <c r="V101" i="22"/>
  <c r="X101" i="22" s="1"/>
  <c r="V37" i="22"/>
  <c r="X37" i="22" s="1"/>
  <c r="V69" i="22"/>
  <c r="X69" i="22" s="1"/>
  <c r="V131" i="22"/>
  <c r="X131" i="22" s="1"/>
  <c r="V58" i="22"/>
  <c r="X58" i="22" s="1"/>
  <c r="V181" i="22"/>
  <c r="X181" i="22" s="1"/>
  <c r="V186" i="22"/>
  <c r="X186" i="22" s="1"/>
  <c r="V103" i="22"/>
  <c r="X103" i="22" s="1"/>
  <c r="V180" i="22"/>
  <c r="X180" i="22" s="1"/>
  <c r="V20" i="22"/>
  <c r="X20" i="22" s="1"/>
  <c r="V67" i="22"/>
  <c r="X67" i="22" s="1"/>
  <c r="V55" i="22"/>
  <c r="X55" i="22" s="1"/>
  <c r="V187" i="22"/>
  <c r="X187" i="22" s="1"/>
  <c r="V57" i="22"/>
  <c r="X57" i="22" s="1"/>
  <c r="V167" i="22"/>
  <c r="X167" i="22" s="1"/>
  <c r="V201" i="22"/>
  <c r="X201" i="22" s="1"/>
  <c r="V76" i="19"/>
  <c r="X76" i="19" s="1"/>
  <c r="V54" i="19"/>
  <c r="X54" i="19" s="1"/>
  <c r="V105" i="19"/>
  <c r="X105" i="19" s="1"/>
  <c r="V47" i="22"/>
  <c r="X47" i="22" s="1"/>
  <c r="V68" i="19"/>
  <c r="X68" i="19" s="1"/>
  <c r="V173" i="22"/>
  <c r="X173" i="22" s="1"/>
  <c r="V176" i="22"/>
  <c r="X176" i="22" s="1"/>
  <c r="V183" i="22"/>
  <c r="X183" i="22" s="1"/>
  <c r="V182" i="22"/>
  <c r="X182" i="22" s="1"/>
  <c r="V73" i="19"/>
  <c r="X73" i="19" s="1"/>
  <c r="V132" i="22"/>
  <c r="X132" i="22" s="1"/>
  <c r="V46" i="19"/>
  <c r="X46" i="19" s="1"/>
  <c r="V26" i="22"/>
  <c r="X26" i="22" s="1"/>
  <c r="V73" i="22"/>
  <c r="X73" i="22" s="1"/>
  <c r="V42" i="22"/>
  <c r="X42" i="22" s="1"/>
  <c r="N36" i="17" s="1"/>
  <c r="V53" i="22"/>
  <c r="X53" i="22" s="1"/>
  <c r="V207" i="22"/>
  <c r="X207" i="22" s="1"/>
  <c r="V52" i="22"/>
  <c r="X52" i="22" s="1"/>
  <c r="V191" i="22"/>
  <c r="X191" i="22" s="1"/>
  <c r="K78" i="19"/>
  <c r="M78" i="19" s="1"/>
  <c r="V133" i="22"/>
  <c r="X133" i="22" s="1"/>
  <c r="V63" i="22"/>
  <c r="X63" i="22" s="1"/>
  <c r="V22" i="22"/>
  <c r="X22" i="22" s="1"/>
  <c r="V106" i="22"/>
  <c r="X106" i="22" s="1"/>
  <c r="V177" i="22"/>
  <c r="X177" i="22" s="1"/>
  <c r="V206" i="22"/>
  <c r="X206" i="22" s="1"/>
  <c r="V48" i="22"/>
  <c r="X48" i="22" s="1"/>
  <c r="N39" i="17"/>
  <c r="V93" i="22"/>
  <c r="X93" i="22" s="1"/>
  <c r="V72" i="22"/>
  <c r="X72" i="22" s="1"/>
  <c r="N31" i="17" s="1"/>
  <c r="V168" i="22"/>
  <c r="X168" i="22" s="1"/>
  <c r="V56" i="22"/>
  <c r="X56" i="22" s="1"/>
  <c r="V43" i="22"/>
  <c r="X43" i="22" s="1"/>
  <c r="N37" i="17" s="1"/>
  <c r="V100" i="22"/>
  <c r="X100" i="22" s="1"/>
  <c r="V51" i="22"/>
  <c r="X51" i="22" s="1"/>
  <c r="V23" i="22"/>
  <c r="X23" i="22" s="1"/>
  <c r="V44" i="22"/>
  <c r="X44" i="22" s="1"/>
  <c r="V94" i="22"/>
  <c r="X94" i="22" s="1"/>
  <c r="V64" i="22"/>
  <c r="X64" i="22" s="1"/>
  <c r="V78" i="19"/>
  <c r="X78" i="19" s="1"/>
  <c r="V202" i="19"/>
  <c r="X202" i="19" s="1"/>
  <c r="V98" i="19"/>
  <c r="X98" i="19" s="1"/>
  <c r="V67" i="19"/>
  <c r="X67" i="19" s="1"/>
  <c r="V106" i="19"/>
  <c r="X106" i="19" s="1"/>
  <c r="V62" i="19"/>
  <c r="X62" i="19" s="1"/>
  <c r="V20" i="19"/>
  <c r="X20" i="19" s="1"/>
  <c r="V201" i="19"/>
  <c r="X201" i="19" s="1"/>
  <c r="V79" i="19"/>
  <c r="X79" i="19" s="1"/>
  <c r="V77" i="19"/>
  <c r="X77" i="19" s="1"/>
  <c r="V28" i="19"/>
  <c r="X28" i="19" s="1"/>
  <c r="V47" i="19"/>
  <c r="X47" i="19" s="1"/>
  <c r="V72" i="19"/>
  <c r="X72" i="19" s="1"/>
  <c r="V208" i="19"/>
  <c r="X208" i="19" s="1"/>
  <c r="F96" i="21" s="1"/>
  <c r="F97" i="21" s="1"/>
  <c r="V186" i="19"/>
  <c r="X186" i="19" s="1"/>
  <c r="V167" i="19"/>
  <c r="X167" i="19" s="1"/>
  <c r="V44" i="19"/>
  <c r="X44" i="19" s="1"/>
  <c r="V183" i="19"/>
  <c r="X183" i="19" s="1"/>
  <c r="V100" i="19"/>
  <c r="X100" i="19" s="1"/>
  <c r="V173" i="19"/>
  <c r="X173" i="19" s="1"/>
  <c r="V207" i="19"/>
  <c r="X207" i="19" s="1"/>
  <c r="V97" i="19"/>
  <c r="X97" i="19" s="1"/>
  <c r="V163" i="19"/>
  <c r="X163" i="19" s="1"/>
  <c r="V93" i="19"/>
  <c r="X93" i="19" s="1"/>
  <c r="V181" i="19"/>
  <c r="X181" i="19" s="1"/>
  <c r="V30" i="19"/>
  <c r="X30" i="19" s="1"/>
  <c r="V61" i="19"/>
  <c r="X61" i="19" s="1"/>
  <c r="V132" i="19"/>
  <c r="X132" i="19" s="1"/>
  <c r="V21" i="19"/>
  <c r="X21" i="19" s="1"/>
  <c r="V22" i="19"/>
  <c r="X22" i="19" s="1"/>
  <c r="V23" i="19"/>
  <c r="X23" i="19" s="1"/>
  <c r="V58" i="19"/>
  <c r="X58" i="19" s="1"/>
  <c r="V206" i="19"/>
  <c r="X206" i="19" s="1"/>
  <c r="V74" i="19"/>
  <c r="X74" i="19" s="1"/>
  <c r="V43" i="19"/>
  <c r="X43" i="19" s="1"/>
  <c r="V129" i="19"/>
  <c r="X129" i="19" s="1"/>
  <c r="I58" i="17" s="1"/>
  <c r="V192" i="19"/>
  <c r="X192" i="19" s="1"/>
  <c r="V38" i="19"/>
  <c r="X38" i="19" s="1"/>
  <c r="V176" i="19"/>
  <c r="X176" i="19" s="1"/>
  <c r="V34" i="19"/>
  <c r="X34" i="19" s="1"/>
  <c r="V104" i="19"/>
  <c r="X104" i="19" s="1"/>
  <c r="V172" i="19"/>
  <c r="X172" i="19" s="1"/>
  <c r="V133" i="19"/>
  <c r="X133" i="19" s="1"/>
  <c r="V53" i="19"/>
  <c r="X53" i="19" s="1"/>
  <c r="V57" i="19"/>
  <c r="X57" i="19" s="1"/>
  <c r="V39" i="19"/>
  <c r="X39" i="19" s="1"/>
  <c r="V42" i="19"/>
  <c r="X42" i="19" s="1"/>
  <c r="V101" i="19"/>
  <c r="X101" i="19" s="1"/>
  <c r="V180" i="19"/>
  <c r="X180" i="19" s="1"/>
  <c r="V94" i="19"/>
  <c r="X94" i="19" s="1"/>
  <c r="V69" i="19"/>
  <c r="X69" i="19" s="1"/>
  <c r="V48" i="19"/>
  <c r="X48" i="19" s="1"/>
  <c r="V35" i="19"/>
  <c r="X35" i="19" s="1"/>
  <c r="V55" i="19"/>
  <c r="X55" i="19" s="1"/>
  <c r="V128" i="19"/>
  <c r="X128" i="19" s="1"/>
  <c r="K39" i="24"/>
  <c r="M39" i="24" s="1"/>
  <c r="K48" i="22"/>
  <c r="M48" i="22" s="1"/>
  <c r="K112" i="25"/>
  <c r="M112" i="25" s="1"/>
  <c r="V71" i="17" s="1"/>
  <c r="K105" i="22"/>
  <c r="M105" i="22" s="1"/>
  <c r="K57" i="19"/>
  <c r="M57" i="19" s="1"/>
  <c r="K173" i="25"/>
  <c r="M173" i="25" s="1"/>
  <c r="K27" i="19"/>
  <c r="M27" i="19" s="1"/>
  <c r="K79" i="24"/>
  <c r="M79" i="24" s="1"/>
  <c r="K65" i="22"/>
  <c r="M65" i="22" s="1"/>
  <c r="L46" i="17" s="1"/>
  <c r="K55" i="22"/>
  <c r="M55" i="22" s="1"/>
  <c r="K131" i="24"/>
  <c r="M131" i="24" s="1"/>
  <c r="Q60" i="17" s="1"/>
  <c r="K92" i="19"/>
  <c r="M92" i="19" s="1"/>
  <c r="K120" i="25"/>
  <c r="M120" i="25" s="1"/>
  <c r="AF29" i="25" s="1"/>
  <c r="M82" i="16" s="1"/>
  <c r="K113" i="19"/>
  <c r="M113" i="19" s="1"/>
  <c r="G72" i="17" s="1"/>
  <c r="K48" i="19"/>
  <c r="M48" i="19" s="1"/>
  <c r="K134" i="19"/>
  <c r="M134" i="19" s="1"/>
  <c r="G63" i="17" s="1"/>
  <c r="K51" i="24"/>
  <c r="M51" i="24" s="1"/>
  <c r="Q33" i="17" s="1"/>
  <c r="K58" i="22"/>
  <c r="M58" i="22" s="1"/>
  <c r="K120" i="24"/>
  <c r="M120" i="24" s="1"/>
  <c r="Q77" i="17" s="1"/>
  <c r="K192" i="25"/>
  <c r="M192" i="25" s="1"/>
  <c r="K33" i="22"/>
  <c r="M33" i="22" s="1"/>
  <c r="K173" i="19"/>
  <c r="M173" i="19" s="1"/>
  <c r="K118" i="25"/>
  <c r="M118" i="25" s="1"/>
  <c r="V75" i="17" s="1"/>
  <c r="K21" i="22"/>
  <c r="M21" i="22" s="1"/>
  <c r="K66" i="24"/>
  <c r="M66" i="24" s="1"/>
  <c r="K52" i="25"/>
  <c r="M52" i="25" s="1"/>
  <c r="K131" i="19"/>
  <c r="M131" i="19" s="1"/>
  <c r="G60" i="17" s="1"/>
  <c r="K46" i="25"/>
  <c r="M46" i="25" s="1"/>
  <c r="K101" i="24"/>
  <c r="M101" i="24" s="1"/>
  <c r="K37" i="24"/>
  <c r="M37" i="24" s="1"/>
  <c r="K38" i="22"/>
  <c r="M38" i="22" s="1"/>
  <c r="K117" i="22"/>
  <c r="M117" i="22" s="1"/>
  <c r="L74" i="17" s="1"/>
  <c r="K69" i="19"/>
  <c r="M69" i="19" s="1"/>
  <c r="K56" i="19"/>
  <c r="M56" i="19" s="1"/>
  <c r="K134" i="24"/>
  <c r="M134" i="24" s="1"/>
  <c r="Q63" i="17" s="1"/>
  <c r="K112" i="22"/>
  <c r="M112" i="22" s="1"/>
  <c r="L71" i="17" s="1"/>
  <c r="K45" i="25"/>
  <c r="M45" i="25" s="1"/>
  <c r="K193" i="24"/>
  <c r="M193" i="24" s="1"/>
  <c r="K72" i="24"/>
  <c r="M72" i="24" s="1"/>
  <c r="Q31" i="17" s="1"/>
  <c r="K168" i="25"/>
  <c r="M168" i="25" s="1"/>
  <c r="K123" i="24"/>
  <c r="M123" i="24" s="1"/>
  <c r="Q80" i="17" s="1"/>
  <c r="K102" i="22"/>
  <c r="M102" i="22" s="1"/>
  <c r="K176" i="22"/>
  <c r="M176" i="22" s="1"/>
  <c r="K121" i="25"/>
  <c r="M121" i="25" s="1"/>
  <c r="V78" i="17" s="1"/>
  <c r="K98" i="22"/>
  <c r="M98" i="22" s="1"/>
  <c r="K206" i="22"/>
  <c r="M206" i="22" s="1"/>
  <c r="K104" i="19"/>
  <c r="M104" i="19" s="1"/>
  <c r="K69" i="22"/>
  <c r="M69" i="22" s="1"/>
  <c r="K35" i="19"/>
  <c r="M35" i="19" s="1"/>
  <c r="K101" i="25"/>
  <c r="M101" i="25" s="1"/>
  <c r="K117" i="25"/>
  <c r="M117" i="25" s="1"/>
  <c r="V74" i="17" s="1"/>
  <c r="K46" i="19"/>
  <c r="M46" i="19" s="1"/>
  <c r="K66" i="19"/>
  <c r="M66" i="19" s="1"/>
  <c r="K183" i="25"/>
  <c r="M183" i="25" s="1"/>
  <c r="K193" i="19"/>
  <c r="M193" i="19" s="1"/>
  <c r="K181" i="24"/>
  <c r="M181" i="24" s="1"/>
  <c r="K73" i="24"/>
  <c r="M73" i="24" s="1"/>
  <c r="K173" i="22"/>
  <c r="M173" i="22" s="1"/>
  <c r="K128" i="22"/>
  <c r="M128" i="22" s="1"/>
  <c r="K125" i="24"/>
  <c r="M125" i="24" s="1"/>
  <c r="Q82" i="17" s="1"/>
  <c r="K66" i="25"/>
  <c r="M66" i="25" s="1"/>
  <c r="K187" i="22"/>
  <c r="M187" i="22" s="1"/>
  <c r="K29" i="19"/>
  <c r="M29" i="19" s="1"/>
  <c r="K97" i="19"/>
  <c r="M97" i="19" s="1"/>
  <c r="K47" i="24"/>
  <c r="M47" i="24" s="1"/>
  <c r="K55" i="25"/>
  <c r="M55" i="25" s="1"/>
  <c r="K116" i="24"/>
  <c r="M116" i="24" s="1"/>
  <c r="Q73" i="17" s="1"/>
  <c r="K124" i="22"/>
  <c r="M124" i="22" s="1"/>
  <c r="L81" i="17" s="1"/>
  <c r="K62" i="19"/>
  <c r="M62" i="19" s="1"/>
  <c r="K68" i="24"/>
  <c r="M68" i="24" s="1"/>
  <c r="K54" i="19"/>
  <c r="M54" i="19" s="1"/>
  <c r="K132" i="24"/>
  <c r="M132" i="24" s="1"/>
  <c r="Q61" i="17" s="1"/>
  <c r="K61" i="19"/>
  <c r="M61" i="19" s="1"/>
  <c r="G32" i="17" s="1"/>
  <c r="K26" i="19"/>
  <c r="M26" i="19" s="1"/>
  <c r="K54" i="25"/>
  <c r="M54" i="25" s="1"/>
  <c r="K122" i="19"/>
  <c r="M122" i="19" s="1"/>
  <c r="G79" i="17" s="1"/>
  <c r="K99" i="22"/>
  <c r="M99" i="22" s="1"/>
  <c r="K42" i="19"/>
  <c r="M42" i="19" s="1"/>
  <c r="K21" i="25"/>
  <c r="M21" i="25" s="1"/>
  <c r="K191" i="19"/>
  <c r="M191" i="19" s="1"/>
  <c r="K129" i="22"/>
  <c r="M129" i="22" s="1"/>
  <c r="L58" i="17" s="1"/>
  <c r="K181" i="22"/>
  <c r="M181" i="22" s="1"/>
  <c r="K54" i="24"/>
  <c r="M54" i="24" s="1"/>
  <c r="K180" i="22"/>
  <c r="M180" i="22" s="1"/>
  <c r="K58" i="19"/>
  <c r="M58" i="19" s="1"/>
  <c r="K113" i="25"/>
  <c r="M113" i="25" s="1"/>
  <c r="V72" i="17" s="1"/>
  <c r="K100" i="24"/>
  <c r="M100" i="24" s="1"/>
  <c r="K124" i="25"/>
  <c r="M124" i="25" s="1"/>
  <c r="V81" i="17" s="1"/>
  <c r="K27" i="24"/>
  <c r="M27" i="24" s="1"/>
  <c r="K132" i="25"/>
  <c r="M132" i="25" s="1"/>
  <c r="V61" i="17" s="1"/>
  <c r="K56" i="22"/>
  <c r="M56" i="22" s="1"/>
  <c r="K167" i="24"/>
  <c r="M167" i="24" s="1"/>
  <c r="K102" i="25"/>
  <c r="M102" i="25" s="1"/>
  <c r="K133" i="22"/>
  <c r="M133" i="22" s="1"/>
  <c r="L62" i="17" s="1"/>
  <c r="K100" i="22"/>
  <c r="M100" i="22" s="1"/>
  <c r="K121" i="24"/>
  <c r="M121" i="24" s="1"/>
  <c r="Q78" i="17" s="1"/>
  <c r="K68" i="22"/>
  <c r="M68" i="22" s="1"/>
  <c r="K101" i="22"/>
  <c r="M101" i="22" s="1"/>
  <c r="K183" i="24"/>
  <c r="M183" i="24" s="1"/>
  <c r="K208" i="19"/>
  <c r="M208" i="19" s="1"/>
  <c r="E96" i="21" s="1"/>
  <c r="E97" i="21" s="1"/>
  <c r="E99" i="21" s="1"/>
  <c r="E100" i="21" s="1"/>
  <c r="E152" i="21" s="1"/>
  <c r="K98" i="25"/>
  <c r="M98" i="25" s="1"/>
  <c r="K191" i="24"/>
  <c r="M191" i="24" s="1"/>
  <c r="K133" i="25"/>
  <c r="M133" i="25" s="1"/>
  <c r="V62" i="17" s="1"/>
  <c r="K182" i="24"/>
  <c r="M182" i="24" s="1"/>
  <c r="K182" i="19"/>
  <c r="M182" i="19" s="1"/>
  <c r="K77" i="19"/>
  <c r="M77" i="19" s="1"/>
  <c r="K92" i="25"/>
  <c r="M92" i="25" s="1"/>
  <c r="K92" i="22"/>
  <c r="M92" i="22" s="1"/>
  <c r="K132" i="19"/>
  <c r="M132" i="19" s="1"/>
  <c r="G61" i="17" s="1"/>
  <c r="K201" i="24"/>
  <c r="M201" i="24" s="1"/>
  <c r="K182" i="22"/>
  <c r="M182" i="22" s="1"/>
  <c r="K208" i="24"/>
  <c r="M208" i="24" s="1"/>
  <c r="I96" i="21" s="1"/>
  <c r="I97" i="21" s="1"/>
  <c r="I101" i="21" s="1"/>
  <c r="I102" i="21" s="1"/>
  <c r="I160" i="21" s="1"/>
  <c r="K112" i="16" s="1"/>
  <c r="K128" i="25"/>
  <c r="M128" i="25" s="1"/>
  <c r="K73" i="19"/>
  <c r="M73" i="19" s="1"/>
  <c r="K192" i="19"/>
  <c r="M192" i="19" s="1"/>
  <c r="K205" i="22"/>
  <c r="M205" i="22" s="1"/>
  <c r="K113" i="24"/>
  <c r="M113" i="24" s="1"/>
  <c r="Q72" i="17" s="1"/>
  <c r="K38" i="24"/>
  <c r="M38" i="24" s="1"/>
  <c r="K44" i="22"/>
  <c r="M44" i="22" s="1"/>
  <c r="K76" i="25"/>
  <c r="M76" i="25" s="1"/>
  <c r="K62" i="25"/>
  <c r="M62" i="25" s="1"/>
  <c r="K75" i="22"/>
  <c r="M75" i="22" s="1"/>
  <c r="K206" i="25"/>
  <c r="M206" i="25" s="1"/>
  <c r="K192" i="22"/>
  <c r="M192" i="22" s="1"/>
  <c r="K105" i="25"/>
  <c r="M105" i="25" s="1"/>
  <c r="K78" i="22"/>
  <c r="M78" i="22" s="1"/>
  <c r="K177" i="22"/>
  <c r="M177" i="22" s="1"/>
  <c r="K118" i="22"/>
  <c r="M118" i="22" s="1"/>
  <c r="L75" i="17" s="1"/>
  <c r="K120" i="19"/>
  <c r="M120" i="19" s="1"/>
  <c r="G77" i="17" s="1"/>
  <c r="K33" i="24"/>
  <c r="M33" i="24" s="1"/>
  <c r="Q34" i="17" s="1"/>
  <c r="K163" i="24"/>
  <c r="M163" i="24" s="1"/>
  <c r="K164" i="24"/>
  <c r="M164" i="24" s="1"/>
  <c r="K33" i="25"/>
  <c r="M33" i="25" s="1"/>
  <c r="V34" i="17" s="1"/>
  <c r="K19" i="25"/>
  <c r="M19" i="25" s="1"/>
  <c r="V39" i="17" s="1"/>
  <c r="K186" i="25"/>
  <c r="M186" i="25" s="1"/>
  <c r="K23" i="25"/>
  <c r="M23" i="25" s="1"/>
  <c r="K106" i="24"/>
  <c r="M106" i="24" s="1"/>
  <c r="K103" i="22"/>
  <c r="M103" i="22" s="1"/>
  <c r="L44" i="17" s="1"/>
  <c r="K98" i="24"/>
  <c r="M98" i="24" s="1"/>
  <c r="K102" i="19"/>
  <c r="M102" i="19" s="1"/>
  <c r="K20" i="24"/>
  <c r="M20" i="24" s="1"/>
  <c r="K164" i="19"/>
  <c r="M164" i="19" s="1"/>
  <c r="K206" i="19"/>
  <c r="M206" i="19" s="1"/>
  <c r="K128" i="24"/>
  <c r="M128" i="24" s="1"/>
  <c r="K120" i="22"/>
  <c r="M120" i="22" s="1"/>
  <c r="L77" i="17" s="1"/>
  <c r="K93" i="25"/>
  <c r="M93" i="25" s="1"/>
  <c r="K177" i="24"/>
  <c r="M177" i="24" s="1"/>
  <c r="K42" i="25"/>
  <c r="M42" i="25" s="1"/>
  <c r="K130" i="22"/>
  <c r="M130" i="22" s="1"/>
  <c r="L59" i="17" s="1"/>
  <c r="K169" i="25"/>
  <c r="M169" i="25" s="1"/>
  <c r="K105" i="24"/>
  <c r="M105" i="24" s="1"/>
  <c r="K77" i="22"/>
  <c r="M77" i="22" s="1"/>
  <c r="K112" i="24"/>
  <c r="M112" i="24" s="1"/>
  <c r="Q71" i="17" s="1"/>
  <c r="K125" i="25"/>
  <c r="M125" i="25" s="1"/>
  <c r="V82" i="17" s="1"/>
  <c r="K78" i="24"/>
  <c r="M78" i="24" s="1"/>
  <c r="K51" i="25"/>
  <c r="M51" i="25" s="1"/>
  <c r="V33" i="17" s="1"/>
  <c r="K63" i="24"/>
  <c r="M63" i="24" s="1"/>
  <c r="K193" i="22"/>
  <c r="M193" i="22" s="1"/>
  <c r="K43" i="25"/>
  <c r="M43" i="25" s="1"/>
  <c r="K97" i="22"/>
  <c r="M97" i="22" s="1"/>
  <c r="K28" i="25"/>
  <c r="M28" i="25" s="1"/>
  <c r="K76" i="19"/>
  <c r="M76" i="19" s="1"/>
  <c r="K45" i="24"/>
  <c r="M45" i="24" s="1"/>
  <c r="K118" i="19"/>
  <c r="M118" i="19" s="1"/>
  <c r="G75" i="17" s="1"/>
  <c r="K55" i="24"/>
  <c r="M55" i="24" s="1"/>
  <c r="K74" i="24"/>
  <c r="M74" i="24" s="1"/>
  <c r="K119" i="25"/>
  <c r="M119" i="25" s="1"/>
  <c r="V76" i="17" s="1"/>
  <c r="K44" i="25"/>
  <c r="M44" i="25" s="1"/>
  <c r="K69" i="24"/>
  <c r="M69" i="24" s="1"/>
  <c r="K55" i="19"/>
  <c r="M55" i="19" s="1"/>
  <c r="K125" i="19"/>
  <c r="M125" i="19" s="1"/>
  <c r="G82" i="17" s="1"/>
  <c r="K99" i="24"/>
  <c r="M99" i="24" s="1"/>
  <c r="K53" i="19"/>
  <c r="M53" i="19" s="1"/>
  <c r="K37" i="22"/>
  <c r="M37" i="22" s="1"/>
  <c r="K168" i="19"/>
  <c r="M168" i="19" s="1"/>
  <c r="K130" i="24"/>
  <c r="M130" i="24" s="1"/>
  <c r="Q59" i="17" s="1"/>
  <c r="K118" i="24"/>
  <c r="M118" i="24" s="1"/>
  <c r="Q75" i="17" s="1"/>
  <c r="K121" i="19"/>
  <c r="M121" i="19" s="1"/>
  <c r="G78" i="17" s="1"/>
  <c r="K205" i="24"/>
  <c r="M205" i="24" s="1"/>
  <c r="K74" i="22"/>
  <c r="M74" i="22" s="1"/>
  <c r="K129" i="25"/>
  <c r="M129" i="25" s="1"/>
  <c r="V58" i="17" s="1"/>
  <c r="K106" i="19"/>
  <c r="M106" i="19" s="1"/>
  <c r="K206" i="24"/>
  <c r="M206" i="24" s="1"/>
  <c r="K117" i="24"/>
  <c r="M117" i="24" s="1"/>
  <c r="Q74" i="17" s="1"/>
  <c r="K33" i="19"/>
  <c r="M33" i="19" s="1"/>
  <c r="G34" i="17" s="1"/>
  <c r="K123" i="25"/>
  <c r="M123" i="25" s="1"/>
  <c r="V80" i="17" s="1"/>
  <c r="K168" i="24"/>
  <c r="M168" i="24" s="1"/>
  <c r="K27" i="22"/>
  <c r="M27" i="22" s="1"/>
  <c r="K26" i="25"/>
  <c r="M26" i="25" s="1"/>
  <c r="K29" i="22"/>
  <c r="M29" i="22" s="1"/>
  <c r="K125" i="22"/>
  <c r="M125" i="22" s="1"/>
  <c r="L82" i="17" s="1"/>
  <c r="K35" i="25"/>
  <c r="M35" i="25" s="1"/>
  <c r="K76" i="22"/>
  <c r="M76" i="22" s="1"/>
  <c r="K103" i="19"/>
  <c r="M103" i="19" s="1"/>
  <c r="G44" i="17" s="1"/>
  <c r="K163" i="19"/>
  <c r="M163" i="19" s="1"/>
  <c r="K177" i="25"/>
  <c r="M177" i="25" s="1"/>
  <c r="K101" i="19"/>
  <c r="M101" i="19" s="1"/>
  <c r="K207" i="24"/>
  <c r="M207" i="24" s="1"/>
  <c r="K202" i="24"/>
  <c r="M202" i="24" s="1"/>
  <c r="K124" i="24"/>
  <c r="M124" i="24" s="1"/>
  <c r="Q81" i="17" s="1"/>
  <c r="K61" i="22"/>
  <c r="M61" i="22" s="1"/>
  <c r="L32" i="17" s="1"/>
  <c r="K169" i="24"/>
  <c r="M169" i="24" s="1"/>
  <c r="K207" i="25"/>
  <c r="M207" i="25" s="1"/>
  <c r="K116" i="22"/>
  <c r="M116" i="22" s="1"/>
  <c r="L73" i="17" s="1"/>
  <c r="K163" i="22"/>
  <c r="M163" i="22" s="1"/>
  <c r="K193" i="25"/>
  <c r="M193" i="25" s="1"/>
  <c r="K122" i="25"/>
  <c r="M122" i="25" s="1"/>
  <c r="V79" i="17" s="1"/>
  <c r="K63" i="19"/>
  <c r="M63" i="19" s="1"/>
  <c r="K22" i="22"/>
  <c r="M22" i="22" s="1"/>
  <c r="K188" i="19"/>
  <c r="M188" i="19" s="1"/>
  <c r="K23" i="22"/>
  <c r="M23" i="22" s="1"/>
  <c r="K172" i="22"/>
  <c r="M172" i="22" s="1"/>
  <c r="K97" i="24"/>
  <c r="M97" i="24" s="1"/>
  <c r="K63" i="22"/>
  <c r="M63" i="22" s="1"/>
  <c r="K93" i="24"/>
  <c r="M93" i="24" s="1"/>
  <c r="Q43" i="17" s="1"/>
  <c r="K167" i="22"/>
  <c r="M167" i="22" s="1"/>
  <c r="K104" i="22"/>
  <c r="M104" i="22" s="1"/>
  <c r="K201" i="22"/>
  <c r="M201" i="22" s="1"/>
  <c r="K201" i="25"/>
  <c r="M201" i="25" s="1"/>
  <c r="K47" i="25"/>
  <c r="M47" i="25" s="1"/>
  <c r="K205" i="25"/>
  <c r="M205" i="25" s="1"/>
  <c r="K134" i="25"/>
  <c r="M134" i="25" s="1"/>
  <c r="V63" i="17" s="1"/>
  <c r="K100" i="25"/>
  <c r="M100" i="25" s="1"/>
  <c r="K122" i="24"/>
  <c r="M122" i="24" s="1"/>
  <c r="Q79" i="17" s="1"/>
  <c r="K23" i="19"/>
  <c r="M23" i="19" s="1"/>
  <c r="K34" i="25"/>
  <c r="M34" i="25" s="1"/>
  <c r="V35" i="17" s="1"/>
  <c r="K98" i="19"/>
  <c r="M98" i="19" s="1"/>
  <c r="K77" i="24"/>
  <c r="M77" i="24" s="1"/>
  <c r="K106" i="22"/>
  <c r="M106" i="22" s="1"/>
  <c r="K43" i="19"/>
  <c r="M43" i="19" s="1"/>
  <c r="K100" i="19"/>
  <c r="M100" i="19" s="1"/>
  <c r="K66" i="22"/>
  <c r="M66" i="22" s="1"/>
  <c r="K42" i="24"/>
  <c r="M42" i="24" s="1"/>
  <c r="Q36" i="17" s="1"/>
  <c r="K37" i="19"/>
  <c r="M37" i="19" s="1"/>
  <c r="K113" i="22"/>
  <c r="M113" i="22" s="1"/>
  <c r="L72" i="17" s="1"/>
  <c r="K62" i="22"/>
  <c r="M62" i="22" s="1"/>
  <c r="K186" i="22"/>
  <c r="M186" i="22" s="1"/>
  <c r="K42" i="22"/>
  <c r="M42" i="22" s="1"/>
  <c r="K172" i="24"/>
  <c r="M172" i="24" s="1"/>
  <c r="K39" i="19"/>
  <c r="M39" i="19" s="1"/>
  <c r="K78" i="25"/>
  <c r="M78" i="25" s="1"/>
  <c r="K182" i="25"/>
  <c r="M182" i="25" s="1"/>
  <c r="K187" i="24"/>
  <c r="M187" i="24" s="1"/>
  <c r="K63" i="25"/>
  <c r="M63" i="25" s="1"/>
  <c r="K186" i="19"/>
  <c r="M186" i="19" s="1"/>
  <c r="K28" i="24"/>
  <c r="M28" i="24" s="1"/>
  <c r="K58" i="24"/>
  <c r="M58" i="24" s="1"/>
  <c r="K94" i="24"/>
  <c r="M94" i="24" s="1"/>
  <c r="K43" i="22"/>
  <c r="M43" i="22" s="1"/>
  <c r="K29" i="25"/>
  <c r="M29" i="25" s="1"/>
  <c r="K94" i="25"/>
  <c r="M94" i="25" s="1"/>
  <c r="K64" i="24"/>
  <c r="M64" i="24" s="1"/>
  <c r="K64" i="19"/>
  <c r="M64" i="19" s="1"/>
  <c r="K97" i="25"/>
  <c r="M97" i="25" s="1"/>
  <c r="K202" i="19"/>
  <c r="M202" i="19" s="1"/>
  <c r="K180" i="24"/>
  <c r="M180" i="24" s="1"/>
  <c r="K208" i="25"/>
  <c r="M208" i="25" s="1"/>
  <c r="K96" i="21" s="1"/>
  <c r="K97" i="21" s="1"/>
  <c r="K101" i="21" s="1"/>
  <c r="K102" i="21" s="1"/>
  <c r="K160" i="21" s="1"/>
  <c r="M112" i="16" s="1"/>
  <c r="K44" i="24"/>
  <c r="M44" i="24" s="1"/>
  <c r="K106" i="25"/>
  <c r="M106" i="25" s="1"/>
  <c r="K26" i="22"/>
  <c r="M26" i="22" s="1"/>
  <c r="K104" i="24"/>
  <c r="M104" i="24" s="1"/>
  <c r="Q45" i="17" s="1"/>
  <c r="K22" i="19"/>
  <c r="M22" i="19" s="1"/>
  <c r="K181" i="19"/>
  <c r="M181" i="19" s="1"/>
  <c r="K75" i="24"/>
  <c r="M75" i="24" s="1"/>
  <c r="K46" i="22"/>
  <c r="M46" i="22" s="1"/>
  <c r="K122" i="22"/>
  <c r="M122" i="22" s="1"/>
  <c r="L79" i="17" s="1"/>
  <c r="K62" i="24"/>
  <c r="M62" i="24" s="1"/>
  <c r="K53" i="25"/>
  <c r="M53" i="25" s="1"/>
  <c r="K36" i="25"/>
  <c r="M36" i="25" s="1"/>
  <c r="K202" i="22"/>
  <c r="M202" i="22" s="1"/>
  <c r="K64" i="22"/>
  <c r="M64" i="22" s="1"/>
  <c r="K44" i="19"/>
  <c r="M44" i="19" s="1"/>
  <c r="K176" i="19"/>
  <c r="M176" i="19" s="1"/>
  <c r="K99" i="19"/>
  <c r="M99" i="19" s="1"/>
  <c r="K103" i="24"/>
  <c r="M103" i="24" s="1"/>
  <c r="Q44" i="17" s="1"/>
  <c r="K133" i="24"/>
  <c r="M133" i="24" s="1"/>
  <c r="Q62" i="17" s="1"/>
  <c r="K201" i="19"/>
  <c r="M201" i="19" s="1"/>
  <c r="K21" i="19"/>
  <c r="M21" i="19" s="1"/>
  <c r="K61" i="25"/>
  <c r="M61" i="25" s="1"/>
  <c r="V32" i="17" s="1"/>
  <c r="K56" i="24"/>
  <c r="M56" i="24" s="1"/>
  <c r="K77" i="25"/>
  <c r="M77" i="25" s="1"/>
  <c r="K205" i="19"/>
  <c r="M205" i="19" s="1"/>
  <c r="K34" i="22"/>
  <c r="M34" i="22" s="1"/>
  <c r="L35" i="17" s="1"/>
  <c r="K93" i="22"/>
  <c r="M93" i="22" s="1"/>
  <c r="K23" i="24"/>
  <c r="M23" i="24" s="1"/>
  <c r="K207" i="19"/>
  <c r="M207" i="19" s="1"/>
  <c r="K28" i="22"/>
  <c r="M28" i="22" s="1"/>
  <c r="K167" i="19"/>
  <c r="M167" i="19" s="1"/>
  <c r="K65" i="24"/>
  <c r="M65" i="24" s="1"/>
  <c r="Q46" i="17" s="1"/>
  <c r="K64" i="25"/>
  <c r="M64" i="25" s="1"/>
  <c r="K46" i="24"/>
  <c r="M46" i="24" s="1"/>
  <c r="K20" i="22"/>
  <c r="M20" i="22" s="1"/>
  <c r="K39" i="25"/>
  <c r="M39" i="25" s="1"/>
  <c r="K167" i="25"/>
  <c r="M167" i="25" s="1"/>
  <c r="K34" i="24"/>
  <c r="M34" i="24" s="1"/>
  <c r="K58" i="25"/>
  <c r="M58" i="25" s="1"/>
  <c r="K48" i="24"/>
  <c r="M48" i="24" s="1"/>
  <c r="K176" i="25"/>
  <c r="M176" i="25" s="1"/>
  <c r="K43" i="24"/>
  <c r="M43" i="24" s="1"/>
  <c r="Q37" i="17" s="1"/>
  <c r="K68" i="25"/>
  <c r="M68" i="25" s="1"/>
  <c r="K72" i="25"/>
  <c r="M72" i="25" s="1"/>
  <c r="V31" i="17" s="1"/>
  <c r="K183" i="19"/>
  <c r="M183" i="19" s="1"/>
  <c r="K67" i="19"/>
  <c r="M67" i="19" s="1"/>
  <c r="K51" i="22"/>
  <c r="M51" i="22" s="1"/>
  <c r="K45" i="19"/>
  <c r="M45" i="19" s="1"/>
  <c r="K30" i="19"/>
  <c r="M30" i="19" s="1"/>
  <c r="K65" i="19"/>
  <c r="M65" i="19" s="1"/>
  <c r="G46" i="17" s="1"/>
  <c r="K30" i="24"/>
  <c r="M30" i="24" s="1"/>
  <c r="K38" i="19"/>
  <c r="M38" i="19" s="1"/>
  <c r="K57" i="25"/>
  <c r="M57" i="25" s="1"/>
  <c r="K163" i="25"/>
  <c r="M163" i="25" s="1"/>
  <c r="K123" i="22"/>
  <c r="M123" i="22" s="1"/>
  <c r="L80" i="17" s="1"/>
  <c r="K94" i="19"/>
  <c r="M94" i="19" s="1"/>
  <c r="K67" i="24"/>
  <c r="M67" i="24" s="1"/>
  <c r="K19" i="22"/>
  <c r="M19" i="22" s="1"/>
  <c r="K21" i="24"/>
  <c r="M21" i="24" s="1"/>
  <c r="K35" i="22"/>
  <c r="M35" i="22" s="1"/>
  <c r="K186" i="24"/>
  <c r="M186" i="24" s="1"/>
  <c r="K29" i="24"/>
  <c r="M29" i="24" s="1"/>
  <c r="K20" i="25"/>
  <c r="M20" i="25" s="1"/>
  <c r="K52" i="22"/>
  <c r="M52" i="22" s="1"/>
  <c r="K129" i="24"/>
  <c r="M129" i="24" s="1"/>
  <c r="K69" i="25"/>
  <c r="M69" i="25" s="1"/>
  <c r="K73" i="22"/>
  <c r="M73" i="22" s="1"/>
  <c r="K36" i="24"/>
  <c r="M36" i="24" s="1"/>
  <c r="K207" i="22"/>
  <c r="M207" i="22" s="1"/>
  <c r="K57" i="22"/>
  <c r="M57" i="22" s="1"/>
  <c r="K45" i="22"/>
  <c r="M45" i="22" s="1"/>
  <c r="K130" i="25"/>
  <c r="M130" i="25" s="1"/>
  <c r="V59" i="17" s="1"/>
  <c r="K19" i="24"/>
  <c r="M19" i="24" s="1"/>
  <c r="Q39" i="17" s="1"/>
  <c r="K117" i="19"/>
  <c r="M117" i="19" s="1"/>
  <c r="G74" i="17" s="1"/>
  <c r="K74" i="19"/>
  <c r="M74" i="19" s="1"/>
  <c r="K187" i="19"/>
  <c r="M187" i="19" s="1"/>
  <c r="K119" i="22"/>
  <c r="M119" i="22" s="1"/>
  <c r="L76" i="17" s="1"/>
  <c r="K30" i="22"/>
  <c r="M30" i="22" s="1"/>
  <c r="K172" i="19"/>
  <c r="M172" i="19" s="1"/>
  <c r="K26" i="24"/>
  <c r="M26" i="24" s="1"/>
  <c r="K169" i="22"/>
  <c r="M169" i="22" s="1"/>
  <c r="K28" i="19"/>
  <c r="M28" i="19" s="1"/>
  <c r="K188" i="22"/>
  <c r="M188" i="22" s="1"/>
  <c r="K183" i="22"/>
  <c r="M183" i="22" s="1"/>
  <c r="K191" i="22"/>
  <c r="M191" i="22" s="1"/>
  <c r="K133" i="19"/>
  <c r="M133" i="19" s="1"/>
  <c r="G62" i="17" s="1"/>
  <c r="K176" i="24"/>
  <c r="M176" i="24" s="1"/>
  <c r="K191" i="25"/>
  <c r="M191" i="25" s="1"/>
  <c r="K188" i="25"/>
  <c r="M188" i="25" s="1"/>
  <c r="K173" i="24"/>
  <c r="M173" i="24" s="1"/>
  <c r="K188" i="24"/>
  <c r="M188" i="24" s="1"/>
  <c r="K99" i="25"/>
  <c r="M99" i="25" s="1"/>
  <c r="BJ115" i="22"/>
  <c r="BJ105" i="22"/>
  <c r="BJ65" i="22"/>
  <c r="BJ45" i="22"/>
  <c r="BJ125" i="22"/>
  <c r="BI70" i="22"/>
  <c r="BP70" i="22" s="1"/>
  <c r="BI40" i="22"/>
  <c r="BP40" i="22" s="1"/>
  <c r="BI100" i="22"/>
  <c r="BP100" i="22" s="1"/>
  <c r="BI115" i="22"/>
  <c r="BI55" i="22"/>
  <c r="BJ75" i="19"/>
  <c r="BJ125" i="19"/>
  <c r="BJ50" i="19"/>
  <c r="BP50" i="19" s="1"/>
  <c r="BJ100" i="19"/>
  <c r="BP100" i="19" s="1"/>
  <c r="AS125" i="19"/>
  <c r="AS75" i="19"/>
  <c r="BJ55" i="22"/>
  <c r="BJ85" i="22"/>
  <c r="BJ55" i="24"/>
  <c r="BP55" i="24" s="1"/>
  <c r="BJ85" i="24"/>
  <c r="BJ115" i="24"/>
  <c r="BP115" i="24" s="1"/>
  <c r="BJ115" i="19"/>
  <c r="BP115" i="19" s="1"/>
  <c r="BJ55" i="19"/>
  <c r="BP55" i="19" s="1"/>
  <c r="BJ85" i="19"/>
  <c r="S22" i="19" a="1"/>
  <c r="H73" i="24" a="1"/>
  <c r="E113" i="24" a="1"/>
  <c r="S102" i="22" a="1"/>
  <c r="S208" i="22" a="1"/>
  <c r="S207" i="22" a="1"/>
  <c r="H116" i="25" a="1"/>
  <c r="S30" i="22" a="1"/>
  <c r="S48" i="19" a="1"/>
  <c r="S65" i="24" a="1"/>
  <c r="S55" i="25" a="1"/>
  <c r="H76" i="24" a="1"/>
  <c r="H19" i="25" a="1"/>
  <c r="S94" i="24" a="1"/>
  <c r="H133" i="24" a="1"/>
  <c r="S76" i="19" a="1"/>
  <c r="E121" i="22" a="1"/>
  <c r="H129" i="25" a="1"/>
  <c r="E73" i="22" a="1"/>
  <c r="BV13" i="19" a="1"/>
  <c r="H117" i="19" a="1"/>
  <c r="P36" i="24" a="1"/>
  <c r="BU25" i="19" a="1"/>
  <c r="H205" i="19" a="1"/>
  <c r="H112" i="24" a="1"/>
  <c r="E125" i="25" a="1"/>
  <c r="E77" i="24" a="1"/>
  <c r="E63" i="24" a="1"/>
  <c r="H201" i="19" a="1"/>
  <c r="H104" i="24" a="1"/>
  <c r="P64" i="24" a="1"/>
  <c r="S180" i="24" a="1"/>
  <c r="E181" i="25" a="1"/>
  <c r="P102" i="22" a="1"/>
  <c r="H183" i="22" a="1"/>
  <c r="P202" i="25" a="1"/>
  <c r="S182" i="25" a="1"/>
  <c r="H207" i="22" a="1"/>
  <c r="P45" i="22" a="1"/>
  <c r="P56" i="25" a="1"/>
  <c r="BC13" i="22" a="1"/>
  <c r="H27" i="24" a="1"/>
  <c r="H34" i="19" a="1"/>
  <c r="H74" i="24" a="1"/>
  <c r="P51" i="19" a="1"/>
  <c r="H78" i="19" a="1"/>
  <c r="E193" i="19" a="1"/>
  <c r="H129" i="24" a="1"/>
  <c r="H76" i="22" a="1"/>
  <c r="H133" i="22" a="1"/>
  <c r="S92" i="19" a="1"/>
  <c r="H172" i="19" a="1"/>
  <c r="S39" i="24" a="1"/>
  <c r="S106" i="25" a="1"/>
  <c r="H67" i="19" a="1"/>
  <c r="P106" i="19" a="1"/>
  <c r="H123" i="22" a="1"/>
  <c r="S97" i="25" a="1"/>
  <c r="H75" i="25" a="1"/>
  <c r="H131" i="19" a="1"/>
  <c r="S75" i="24" a="1"/>
  <c r="E172" i="19" a="1"/>
  <c r="S103" i="25" a="1"/>
  <c r="S182" i="22" a="1"/>
  <c r="S42" i="19" a="1"/>
  <c r="BT13" i="19" a="1"/>
  <c r="P172" i="25" a="1"/>
  <c r="P99" i="22" a="1"/>
  <c r="S62" i="19" a="1"/>
  <c r="H131" i="25" a="1"/>
  <c r="E116" i="19" a="1"/>
  <c r="E123" i="22" a="1"/>
  <c r="H56" i="25" a="1"/>
  <c r="E104" i="19" a="1"/>
  <c r="H42" i="19" a="1"/>
  <c r="E102" i="24" a="1"/>
  <c r="P173" i="19" a="1"/>
  <c r="P33" i="25" a="1"/>
  <c r="E78" i="22" a="1"/>
  <c r="S26" i="22" a="1"/>
  <c r="BB13" i="22" a="1"/>
  <c r="BU25" i="22" a="1"/>
  <c r="S208" i="19" a="1"/>
  <c r="P77" i="24" a="1"/>
  <c r="S67" i="24" a="1"/>
  <c r="E181" i="24" a="1"/>
  <c r="P182" i="19" a="1"/>
  <c r="H167" i="19" a="1"/>
  <c r="S192" i="22" a="1"/>
  <c r="E129" i="25" a="1"/>
  <c r="P163" i="25" a="1"/>
  <c r="E163" i="24" a="1"/>
  <c r="H47" i="22" a="1"/>
  <c r="S167" i="19" a="1"/>
  <c r="P23" i="19" a="1"/>
  <c r="E183" i="25" a="1"/>
  <c r="P19" i="24" a="1"/>
  <c r="P75" i="22" a="1"/>
  <c r="P56" i="22" a="1"/>
  <c r="P42" i="19" a="1"/>
  <c r="S163" i="25" a="1"/>
  <c r="P35" i="19" a="1"/>
  <c r="H27" i="22" a="1"/>
  <c r="H134" i="22" a="1"/>
  <c r="BB13" i="25" a="1"/>
  <c r="E54" i="19" a="1"/>
  <c r="E35" i="24" a="1"/>
  <c r="S46" i="24" a="1"/>
  <c r="H51" i="24" a="1"/>
  <c r="E58" i="24" a="1"/>
  <c r="E182" i="24" a="1"/>
  <c r="E65" i="25" a="1"/>
  <c r="H33" i="19" a="1"/>
  <c r="E177" i="25" a="1"/>
  <c r="H177" i="19" a="1"/>
  <c r="H22" i="24" a="1"/>
  <c r="H131" i="22" a="1"/>
  <c r="S39" i="22" a="1"/>
  <c r="H124" i="24" a="1"/>
  <c r="P34" i="25" a="1"/>
  <c r="S172" i="24" a="1"/>
  <c r="S28" i="25" a="1"/>
  <c r="E131" i="25" a="1"/>
  <c r="H103" i="24" a="1"/>
  <c r="E34" i="25" a="1"/>
  <c r="E206" i="22" a="1"/>
  <c r="H53" i="22" a="1"/>
  <c r="P62" i="22" a="1"/>
  <c r="S55" i="22" a="1"/>
  <c r="H92" i="25" a="1"/>
  <c r="P19" i="22" a="1"/>
  <c r="P93" i="22" a="1"/>
  <c r="E79" i="25" a="1"/>
  <c r="P72" i="22" a="1"/>
  <c r="S173" i="22" a="1"/>
  <c r="E53" i="25" a="1"/>
  <c r="P164" i="22" a="1"/>
  <c r="E92" i="24" a="1"/>
  <c r="P101" i="24" a="1"/>
  <c r="E99" i="19" a="1"/>
  <c r="S97" i="24" a="1"/>
  <c r="H26" i="22" a="1"/>
  <c r="H173" i="22" a="1"/>
  <c r="H100" i="25" a="1"/>
  <c r="H205" i="25" a="1"/>
  <c r="H134" i="19" a="1"/>
  <c r="H177" i="24" a="1"/>
  <c r="E23" i="19" a="1"/>
  <c r="E68" i="25" a="1"/>
  <c r="E51" i="19" a="1"/>
  <c r="E172" i="24" a="1"/>
  <c r="BU25" i="25" a="1"/>
  <c r="S61" i="22" a="1"/>
  <c r="H99" i="24" a="1"/>
  <c r="S55" i="19" a="1"/>
  <c r="E42" i="22" a="1"/>
  <c r="P176" i="24" a="1"/>
  <c r="E45" i="24" a="1"/>
  <c r="S105" i="19" a="1"/>
  <c r="P57" i="25" a="1"/>
  <c r="S47" i="22" a="1"/>
  <c r="H34" i="24" a="1"/>
  <c r="P35" i="22" a="1"/>
  <c r="P78" i="22" a="1"/>
  <c r="H116" i="24" a="1"/>
  <c r="E205" i="19" a="1"/>
  <c r="H94" i="25" a="1"/>
  <c r="S104" i="19" a="1"/>
  <c r="P66" i="24" a="1"/>
  <c r="P54" i="22" a="1"/>
  <c r="E52" i="24" a="1"/>
  <c r="E125" i="22" a="1"/>
  <c r="BC13" i="19" a="1"/>
  <c r="H207" i="19" a="1"/>
  <c r="S207" i="24" a="1"/>
  <c r="E103" i="19" a="1"/>
  <c r="P51" i="24" a="1"/>
  <c r="S103" i="24" a="1"/>
  <c r="E37" i="19" a="1"/>
  <c r="H97" i="25" a="1"/>
  <c r="E93" i="22" a="1"/>
  <c r="H51" i="22" a="1"/>
  <c r="P62" i="19" a="1"/>
  <c r="H94" i="19" a="1"/>
  <c r="P61" i="25" a="1"/>
  <c r="H28" i="19" a="1"/>
  <c r="H74" i="25" a="1"/>
  <c r="E207" i="24" a="1"/>
  <c r="H201" i="25" a="1"/>
  <c r="P103" i="24" a="1"/>
  <c r="H132" i="25" a="1"/>
  <c r="H188" i="22" a="1"/>
  <c r="H205" i="24" a="1"/>
  <c r="E113" i="22" a="1"/>
  <c r="E79" i="24" a="1"/>
  <c r="H26" i="24" a="1"/>
  <c r="S100" i="19" a="1"/>
  <c r="S133" i="25" a="1"/>
  <c r="H206" i="22" a="1"/>
  <c r="P100" i="19" a="1"/>
  <c r="P97" i="22" a="1"/>
  <c r="P92" i="22" a="1"/>
  <c r="H94" i="22" a="1"/>
  <c r="H65" i="25" a="1"/>
  <c r="E208" i="22" a="1"/>
  <c r="E182" i="25" a="1"/>
  <c r="S26" i="24" a="1"/>
  <c r="E39" i="24" a="1"/>
  <c r="E52" i="19" a="1"/>
  <c r="S92" i="25" a="1"/>
  <c r="S68" i="19" a="1"/>
  <c r="S62" i="22" a="1"/>
  <c r="P30" i="19" a="1"/>
  <c r="P77" i="22" a="1"/>
  <c r="BV25" i="22" a="1"/>
  <c r="S53" i="19" a="1"/>
  <c r="P19" i="25" a="1"/>
  <c r="S207" i="25" a="1"/>
  <c r="H43" i="22" a="1"/>
  <c r="E176" i="19" a="1"/>
  <c r="P19" i="19" a="1"/>
  <c r="S23" i="24" a="1"/>
  <c r="E29" i="19" a="1"/>
  <c r="S45" i="24" a="1"/>
  <c r="S75" i="22" a="1"/>
  <c r="H103" i="22" a="1"/>
  <c r="E54" i="24" a="1"/>
  <c r="P21" i="19" a="1"/>
  <c r="P104" i="24" a="1"/>
  <c r="E119" i="24" a="1"/>
  <c r="S169" i="22" a="1"/>
  <c r="S164" i="22" a="1"/>
  <c r="S168" i="22" a="1"/>
  <c r="S98" i="25" a="1"/>
  <c r="E105" i="22" a="1"/>
  <c r="P48" i="22" a="1"/>
  <c r="E73" i="24" a="1"/>
  <c r="S98" i="19" a="1"/>
  <c r="E68" i="19" a="1"/>
  <c r="H48" i="19" a="1"/>
  <c r="H180" i="24" a="1"/>
  <c r="P163" i="22" a="1"/>
  <c r="E42" i="19" a="1"/>
  <c r="H121" i="24" a="1"/>
  <c r="P208" i="25" a="1"/>
  <c r="E187" i="25" a="1"/>
  <c r="E61" i="24" a="1"/>
  <c r="H187" i="22" a="1"/>
  <c r="H23" i="25" a="1"/>
  <c r="P180" i="25" a="1"/>
  <c r="S46" i="19" a="1"/>
  <c r="S193" i="22" a="1"/>
  <c r="E120" i="22" a="1"/>
  <c r="E36" i="25" a="1"/>
  <c r="H121" i="22" a="1"/>
  <c r="S192" i="24" a="1"/>
  <c r="S193" i="24" a="1"/>
  <c r="P51" i="22" a="1"/>
  <c r="BV25" i="19" a="1"/>
  <c r="S63" i="22" a="1"/>
  <c r="S53" i="22" a="1"/>
  <c r="S65" i="25" a="1"/>
  <c r="S208" i="24" a="1"/>
  <c r="S163" i="24" a="1"/>
  <c r="E43" i="25" a="1"/>
  <c r="S206" i="22" a="1"/>
  <c r="E64" i="25" a="1"/>
  <c r="E19" i="22" a="1"/>
  <c r="E112" i="22" a="1"/>
  <c r="P205" i="22" a="1"/>
  <c r="E72" i="24" a="1"/>
  <c r="S43" i="19" a="1"/>
  <c r="E163" i="25" a="1"/>
  <c r="S19" i="19" a="1"/>
  <c r="E124" i="22" a="1"/>
  <c r="BV25" i="25" a="1"/>
  <c r="S169" i="19" a="1"/>
  <c r="P167" i="25" a="1"/>
  <c r="P39" i="22" a="1"/>
  <c r="E183" i="19" a="1"/>
  <c r="P65" i="19" a="1"/>
  <c r="BB13" i="24" a="1"/>
  <c r="E35" i="25" a="1"/>
  <c r="E102" i="25" a="1"/>
  <c r="E192" i="22" a="1"/>
  <c r="H177" i="22" a="1"/>
  <c r="P56" i="19" a="1"/>
  <c r="H169" i="22" a="1"/>
  <c r="H62" i="22" a="1"/>
  <c r="S206" i="25" a="1"/>
  <c r="S94" i="22" a="1"/>
  <c r="P20" i="19" a="1"/>
  <c r="E35" i="22" a="1"/>
  <c r="E129" i="24" a="1"/>
  <c r="E94" i="19" a="1"/>
  <c r="P33" i="22" a="1"/>
  <c r="E46" i="25" a="1"/>
  <c r="H34" i="22" a="1"/>
  <c r="S202" i="19" a="1"/>
  <c r="H57" i="22" a="1"/>
  <c r="P74" i="22" a="1"/>
  <c r="H128" i="22" a="1"/>
  <c r="H113" i="19" a="1"/>
  <c r="H58" i="25" a="1"/>
  <c r="E98" i="22" a="1"/>
  <c r="E92" i="19" a="1"/>
  <c r="E76" i="24" a="1"/>
  <c r="E69" i="25" a="1"/>
  <c r="E205" i="25" a="1"/>
  <c r="H120" i="22" a="1"/>
  <c r="E167" i="24" a="1"/>
  <c r="P176" i="22" a="1"/>
  <c r="P182" i="22" a="1"/>
  <c r="H19" i="24" a="1"/>
  <c r="P172" i="22" a="1"/>
  <c r="P51" i="25" a="1"/>
  <c r="P134" i="22" a="1"/>
  <c r="S206" i="19" a="1"/>
  <c r="H207" i="24" a="1"/>
  <c r="S75" i="25" a="1"/>
  <c r="E176" i="22" a="1"/>
  <c r="H28" i="22" a="1"/>
  <c r="S207" i="19" a="1"/>
  <c r="E134" i="25" a="1"/>
  <c r="S54" i="22" a="1"/>
  <c r="E202" i="22" a="1"/>
  <c r="H64" i="25" a="1"/>
  <c r="S177" i="25" a="1"/>
  <c r="S202" i="25" a="1"/>
  <c r="H121" i="19" a="1"/>
  <c r="H75" i="19" a="1"/>
  <c r="P20" i="25" a="1"/>
  <c r="E20" i="19" a="1"/>
  <c r="P53" i="19" a="1"/>
  <c r="E46" i="22" a="1"/>
  <c r="H106" i="24" a="1"/>
  <c r="H35" i="24" a="1"/>
  <c r="E182" i="19" a="1"/>
  <c r="S26" i="19" a="1"/>
  <c r="S177" i="19" a="1"/>
  <c r="P93" i="24" a="1"/>
  <c r="H118" i="22" a="1"/>
  <c r="H128" i="25" a="1"/>
  <c r="E201" i="24" a="1"/>
  <c r="E37" i="22" a="1"/>
  <c r="BT25" i="22" a="1"/>
  <c r="H188" i="24" a="1"/>
  <c r="S74" i="22" a="1"/>
  <c r="H22" i="22" a="1"/>
  <c r="P130" i="22" a="1"/>
  <c r="H116" i="19" a="1"/>
  <c r="P202" i="24" a="1"/>
  <c r="P186" i="25" a="1"/>
  <c r="S97" i="22" a="1"/>
  <c r="P106" i="25" a="1"/>
  <c r="E27" i="19" a="1"/>
  <c r="H191" i="25" a="1"/>
  <c r="S76" i="24" a="1"/>
  <c r="H66" i="19" a="1"/>
  <c r="P74" i="19" a="1"/>
  <c r="S205" i="19" a="1"/>
  <c r="E188" i="25" a="1"/>
  <c r="P192" i="24" a="1"/>
  <c r="P134" i="19" a="1"/>
  <c r="E181" i="22" a="1"/>
  <c r="E76" i="25" a="1"/>
  <c r="S202" i="22" a="1"/>
  <c r="H67" i="24" a="1"/>
  <c r="P186" i="24" a="1"/>
  <c r="H79" i="25" a="1"/>
  <c r="P168" i="22" a="1"/>
  <c r="S66" i="25" a="1"/>
  <c r="S34" i="22" a="1"/>
  <c r="P133" i="19" a="1"/>
  <c r="S177" i="22" a="1"/>
  <c r="E201" i="25" a="1"/>
  <c r="P65" i="22" a="1"/>
  <c r="H163" i="22" a="1"/>
  <c r="E177" i="19" a="1"/>
  <c r="E38" i="24" a="1"/>
  <c r="H43" i="19" a="1"/>
  <c r="E122" i="24" a="1"/>
  <c r="H39" i="22" a="1"/>
  <c r="H123" i="25" a="1"/>
  <c r="E169" i="25" a="1"/>
  <c r="S58" i="24" a="1"/>
  <c r="E118" i="25" a="1"/>
  <c r="E44" i="22" a="1"/>
  <c r="H63" i="25" a="1"/>
  <c r="S33" i="22" a="1"/>
  <c r="H177" i="25" a="1"/>
  <c r="E68" i="24" a="1"/>
  <c r="E44" i="24" a="1"/>
  <c r="S78" i="19" a="1"/>
  <c r="E56" i="19" a="1"/>
  <c r="H97" i="19" a="1"/>
  <c r="E30" i="22" a="1"/>
  <c r="P62" i="25" a="1"/>
  <c r="P33" i="19" a="1"/>
  <c r="E74" i="19" a="1"/>
  <c r="H132" i="24" a="1"/>
  <c r="E106" i="19" a="1"/>
  <c r="E131" i="19" a="1"/>
  <c r="S130" i="22" a="1"/>
  <c r="H43" i="24" a="1"/>
  <c r="E100" i="19" a="1"/>
  <c r="E22" i="19" a="1"/>
  <c r="S186" i="24" a="1"/>
  <c r="E112" i="19" a="1"/>
  <c r="E23" i="24" a="1"/>
  <c r="H163" i="19" a="1"/>
  <c r="S201" i="22" a="1"/>
  <c r="H119" i="25" a="1"/>
  <c r="BT25" i="24" a="1"/>
  <c r="E44" i="25" a="1"/>
  <c r="P68" i="24" a="1"/>
  <c r="H45" i="19" a="1"/>
  <c r="H182" i="22" a="1"/>
  <c r="S99" i="25" a="1"/>
  <c r="P42" i="24" a="1"/>
  <c r="P103" i="22" a="1"/>
  <c r="P64" i="25" a="1"/>
  <c r="P66" i="19" a="1"/>
  <c r="E207" i="22" a="1"/>
  <c r="S38" i="24" a="1"/>
  <c r="H61" i="22" a="1"/>
  <c r="P28" i="19" a="1"/>
  <c r="H37" i="22" a="1"/>
  <c r="E120" i="19" a="1"/>
  <c r="E191" i="25" a="1"/>
  <c r="S173" i="24" a="1"/>
  <c r="P181" i="25" a="1"/>
  <c r="S72" i="19" a="1"/>
  <c r="S168" i="25" a="1"/>
  <c r="P76" i="19" a="1"/>
  <c r="P105" i="25" a="1"/>
  <c r="E180" i="19" a="1"/>
  <c r="P188" i="24" a="1"/>
  <c r="S102" i="24" a="1"/>
  <c r="E62" i="25" a="1"/>
  <c r="P45" i="24" a="1"/>
  <c r="S105" i="25" a="1"/>
  <c r="P93" i="19" a="1"/>
  <c r="S105" i="24" a="1"/>
  <c r="P168" i="24" a="1"/>
  <c r="S57" i="24" a="1"/>
  <c r="S73" i="24" a="1"/>
  <c r="P73" i="22" a="1"/>
  <c r="P104" i="22" a="1"/>
  <c r="H28" i="24" a="1"/>
  <c r="P93" i="25" a="1"/>
  <c r="H120" i="19" a="1"/>
  <c r="E202" i="19" a="1"/>
  <c r="E177" i="24" a="1"/>
  <c r="E77" i="25" a="1"/>
  <c r="E22" i="22" a="1"/>
  <c r="E128" i="22" a="1"/>
  <c r="H105" i="19" a="1"/>
  <c r="E33" i="25" a="1"/>
  <c r="H98" i="19" a="1"/>
  <c r="H100" i="24" a="1"/>
  <c r="P64" i="19" a="1"/>
  <c r="E48" i="24" a="1"/>
  <c r="H93" i="19" a="1"/>
  <c r="H123" i="24" a="1"/>
  <c r="H65" i="24" a="1"/>
  <c r="P207" i="24" a="1"/>
  <c r="H36" i="24" a="1"/>
  <c r="H99" i="25" a="1"/>
  <c r="E55" i="25" a="1"/>
  <c r="P58" i="24" a="1"/>
  <c r="H28" i="25" a="1"/>
  <c r="S206" i="24" a="1"/>
  <c r="E94" i="22" a="1"/>
  <c r="H33" i="24" a="1"/>
  <c r="P52" i="25" a="1"/>
  <c r="H93" i="24" a="1"/>
  <c r="H37" i="24" a="1"/>
  <c r="P169" i="22" a="1"/>
  <c r="S19" i="24" a="1"/>
  <c r="P53" i="25" a="1"/>
  <c r="E116" i="24" a="1"/>
  <c r="S39" i="25" a="1"/>
  <c r="E74" i="25" a="1"/>
  <c r="S100" i="25" a="1"/>
  <c r="S36" i="24" a="1"/>
  <c r="S37" i="24" a="1"/>
  <c r="S52" i="19" a="1"/>
  <c r="E183" i="24" a="1"/>
  <c r="E43" i="24" a="1"/>
  <c r="H44" i="22" a="1"/>
  <c r="S183" i="22" a="1"/>
  <c r="H118" i="25" a="1"/>
  <c r="S79" i="22" a="1"/>
  <c r="H66" i="24" a="1"/>
  <c r="P104" i="19" a="1"/>
  <c r="E205" i="24" a="1"/>
  <c r="E186" i="25" a="1"/>
  <c r="S23" i="22" a="1"/>
  <c r="P65" i="25" a="1"/>
  <c r="S23" i="19" a="1"/>
  <c r="H99" i="19" a="1"/>
  <c r="H48" i="24" a="1"/>
  <c r="BA25" i="25" a="1"/>
  <c r="P23" i="22" a="1"/>
  <c r="H193" i="25" a="1"/>
  <c r="E62" i="22" a="1"/>
  <c r="E124" i="19" a="1"/>
  <c r="E125" i="19" a="1"/>
  <c r="S65" i="19" a="1"/>
  <c r="E28" i="19" a="1"/>
  <c r="S69" i="24" a="1"/>
  <c r="P55" i="25" a="1"/>
  <c r="P193" i="22" a="1"/>
  <c r="E66" i="22" a="1"/>
  <c r="P69" i="22" a="1"/>
  <c r="E132" i="25" a="1"/>
  <c r="H167" i="22" a="1"/>
  <c r="S48" i="22" a="1"/>
  <c r="H46" i="22" a="1"/>
  <c r="S191" i="24" a="1"/>
  <c r="S26" i="25" a="1"/>
  <c r="H129" i="22" a="1"/>
  <c r="S67" i="19" a="1"/>
  <c r="E168" i="25" a="1"/>
  <c r="E65" i="19" a="1"/>
  <c r="E67" i="24" a="1"/>
  <c r="H20" i="25" a="1"/>
  <c r="H69" i="24" a="1"/>
  <c r="E124" i="24" a="1"/>
  <c r="S102" i="25" a="1"/>
  <c r="E47" i="25" a="1"/>
  <c r="S131" i="24" a="1"/>
  <c r="H98" i="24" a="1"/>
  <c r="S30" i="19" a="1"/>
  <c r="S205" i="25" a="1"/>
  <c r="H64" i="22" a="1"/>
  <c r="P54" i="19" a="1"/>
  <c r="P130" i="25" a="1"/>
  <c r="S92" i="22" a="1"/>
  <c r="E105" i="19" a="1"/>
  <c r="P27" i="24" a="1"/>
  <c r="E28" i="24" a="1"/>
  <c r="H181" i="22" a="1"/>
  <c r="E62" i="19" a="1"/>
  <c r="H112" i="22" a="1"/>
  <c r="E53" i="22" a="1"/>
  <c r="S43" i="22" a="1"/>
  <c r="S27" i="25" a="1"/>
  <c r="H180" i="22" a="1"/>
  <c r="S29" i="24" a="1"/>
  <c r="H187" i="24" a="1"/>
  <c r="H182" i="24" a="1"/>
  <c r="H44" i="19" a="1"/>
  <c r="H169" i="19" a="1"/>
  <c r="P202" i="19" a="1"/>
  <c r="S51" i="24" a="1"/>
  <c r="S132" i="24" a="1"/>
  <c r="H38" i="25" a="1"/>
  <c r="P27" i="25" a="1"/>
  <c r="H35" i="25" a="1"/>
  <c r="S79" i="24" a="1"/>
  <c r="BT25" i="25" a="1"/>
  <c r="P74" i="25" a="1"/>
  <c r="H208" i="22" a="1"/>
  <c r="S101" i="24" a="1"/>
  <c r="E183" i="22" a="1"/>
  <c r="E46" i="24" a="1"/>
  <c r="S131" i="22" a="1"/>
  <c r="S48" i="24" a="1"/>
  <c r="P30" i="24" a="1"/>
  <c r="E75" i="19" a="1"/>
  <c r="S33" i="25" a="1"/>
  <c r="P172" i="19" a="1"/>
  <c r="E34" i="24" a="1"/>
  <c r="P182" i="25" a="1"/>
  <c r="H208" i="25" a="1"/>
  <c r="P61" i="22" a="1"/>
  <c r="E26" i="19" a="1"/>
  <c r="S186" i="19" a="1"/>
  <c r="E28" i="22" a="1"/>
  <c r="S20" i="19" a="1"/>
  <c r="S169" i="25" a="1"/>
  <c r="E55" i="24" a="1"/>
  <c r="H97" i="22" a="1"/>
  <c r="P48" i="24" a="1"/>
  <c r="BB13" i="19" a="1"/>
  <c r="S21" i="25" a="1"/>
  <c r="H100" i="19" a="1"/>
  <c r="S27" i="19" a="1"/>
  <c r="P73" i="24" a="1"/>
  <c r="S36" i="19" a="1"/>
  <c r="E191" i="19" a="1"/>
  <c r="S77" i="19" a="1"/>
  <c r="E131" i="22" a="1"/>
  <c r="S58" i="19" a="1"/>
  <c r="S56" i="22" a="1"/>
  <c r="E64" i="24" a="1"/>
  <c r="E121" i="24" a="1"/>
  <c r="H113" i="22" a="1"/>
  <c r="E186" i="22" a="1"/>
  <c r="E207" i="19" a="1"/>
  <c r="H78" i="22" a="1"/>
  <c r="E191" i="22" a="1"/>
  <c r="E39" i="19" a="1"/>
  <c r="P129" i="22" a="1"/>
  <c r="H206" i="25" a="1"/>
  <c r="E201" i="22" a="1"/>
  <c r="P21" i="22" a="1"/>
  <c r="P57" i="22" a="1"/>
  <c r="S188" i="22" a="1"/>
  <c r="S94" i="25" a="1"/>
  <c r="E129" i="19" a="1"/>
  <c r="P35" i="25" a="1"/>
  <c r="H23" i="19" a="1"/>
  <c r="E133" i="25" a="1"/>
  <c r="BC25" i="22" a="1"/>
  <c r="E79" i="22" a="1"/>
  <c r="E29" i="22" a="1"/>
  <c r="H105" i="22" a="1"/>
  <c r="BB25" i="19" a="1"/>
  <c r="H93" i="22" a="1"/>
  <c r="H208" i="19" a="1"/>
  <c r="E57" i="22" a="1"/>
  <c r="P46" i="22" a="1"/>
  <c r="H21" i="19" a="1"/>
  <c r="H183" i="24" a="1"/>
  <c r="E103" i="22" a="1"/>
  <c r="H53" i="19" a="1"/>
  <c r="E104" i="22" a="1"/>
  <c r="E76" i="22" a="1"/>
  <c r="E168" i="24" a="1"/>
  <c r="P55" i="19" a="1"/>
  <c r="E208" i="24" a="1"/>
  <c r="BB25" i="22" a="1"/>
  <c r="S130" i="19" a="1"/>
  <c r="E187" i="19" a="1"/>
  <c r="P43" i="25" a="1"/>
  <c r="S181" i="24" a="1"/>
  <c r="H61" i="25" a="1"/>
  <c r="H187" i="25" a="1"/>
  <c r="H192" i="19" a="1"/>
  <c r="S36" i="22" a="1"/>
  <c r="S129" i="19" a="1"/>
  <c r="S100" i="22" a="1"/>
  <c r="P29" i="22" a="1"/>
  <c r="BU13" i="24" a="1"/>
  <c r="S172" i="19" a="1"/>
  <c r="S38" i="19" a="1"/>
  <c r="E104" i="25" a="1"/>
  <c r="E187" i="22" a="1"/>
  <c r="H51" i="19" a="1"/>
  <c r="P78" i="19" a="1"/>
  <c r="BT13" i="24" a="1"/>
  <c r="P26" i="25" a="1"/>
  <c r="P39" i="24" a="1"/>
  <c r="P201" i="24" a="1"/>
  <c r="H134" i="24" a="1"/>
  <c r="S52" i="25" a="1"/>
  <c r="S72" i="22" a="1"/>
  <c r="S191" i="22" a="1"/>
  <c r="E61" i="19" a="1"/>
  <c r="E113" i="25" a="1"/>
  <c r="P58" i="22" a="1"/>
  <c r="H102" i="22" a="1"/>
  <c r="S45" i="25" a="1"/>
  <c r="E163" i="22" a="1"/>
  <c r="H64" i="19" a="1"/>
  <c r="P163" i="24" a="1"/>
  <c r="S187" i="24" a="1"/>
  <c r="BV25" i="24" a="1"/>
  <c r="S35" i="19" a="1"/>
  <c r="P186" i="22" a="1"/>
  <c r="H19" i="22" a="1"/>
  <c r="E26" i="24" a="1"/>
  <c r="E48" i="25" a="1"/>
  <c r="H131" i="24" a="1"/>
  <c r="P67" i="22" a="1"/>
  <c r="P92" i="25" a="1"/>
  <c r="S98" i="22" a="1"/>
  <c r="S164" i="25" a="1"/>
  <c r="S128" i="25" a="1"/>
  <c r="E130" i="25" a="1"/>
  <c r="S72" i="24" a="1"/>
  <c r="S172" i="22" a="1"/>
  <c r="S163" i="22" a="1"/>
  <c r="E131" i="24" a="1"/>
  <c r="E36" i="19" a="1"/>
  <c r="E54" i="22" a="1"/>
  <c r="H74" i="19" a="1"/>
  <c r="S73" i="25" a="1"/>
  <c r="H56" i="22" a="1"/>
  <c r="E64" i="22" a="1"/>
  <c r="P63" i="24" a="1"/>
  <c r="P187" i="25" a="1"/>
  <c r="S77" i="22" a="1"/>
  <c r="H21" i="25" a="1"/>
  <c r="H94" i="24" a="1"/>
  <c r="P205" i="19" a="1"/>
  <c r="S63" i="19" a="1"/>
  <c r="E181" i="19" a="1"/>
  <c r="P79" i="19" a="1"/>
  <c r="S134" i="19" a="1"/>
  <c r="S20" i="25" a="1"/>
  <c r="H68" i="24" a="1"/>
  <c r="S55" i="24" a="1"/>
  <c r="S61" i="25" a="1"/>
  <c r="H46" i="19" a="1"/>
  <c r="H176" i="25" a="1"/>
  <c r="E134" i="19" a="1"/>
  <c r="S99" i="22" a="1"/>
  <c r="S186" i="25" a="1"/>
  <c r="S38" i="25" a="1"/>
  <c r="S168" i="19" a="1"/>
  <c r="P191" i="22" a="1"/>
  <c r="S19" i="22" a="1"/>
  <c r="E74" i="22" a="1"/>
  <c r="S180" i="25" a="1"/>
  <c r="S168" i="24" a="1"/>
  <c r="BC13" i="24" a="1"/>
  <c r="S33" i="19" a="1"/>
  <c r="S188" i="25" a="1"/>
  <c r="H68" i="19" a="1"/>
  <c r="S106" i="24" a="1"/>
  <c r="H58" i="22" a="1"/>
  <c r="P28" i="22" a="1"/>
  <c r="S65" i="22" a="1"/>
  <c r="P206" i="22" a="1"/>
  <c r="S191" i="19" a="1"/>
  <c r="E192" i="25" a="1"/>
  <c r="P67" i="24" a="1"/>
  <c r="E43" i="22" a="1"/>
  <c r="H36" i="19" a="1"/>
  <c r="S74" i="19" a="1"/>
  <c r="S27" i="24" a="1"/>
  <c r="P27" i="19" a="1"/>
  <c r="E73" i="19" a="1"/>
  <c r="P129" i="25" a="1"/>
  <c r="P63" i="22" a="1"/>
  <c r="E29" i="25" a="1"/>
  <c r="E122" i="25" a="1"/>
  <c r="E45" i="22" a="1"/>
  <c r="E92" i="22" a="1"/>
  <c r="S75" i="19" a="1"/>
  <c r="S73" i="19" a="1"/>
  <c r="E22" i="24" a="1"/>
  <c r="H163" i="24" a="1"/>
  <c r="BA25" i="22" a="1"/>
  <c r="H45" i="25" a="1"/>
  <c r="P77" i="25" a="1"/>
  <c r="E169" i="22" a="1"/>
  <c r="E36" i="22" a="1"/>
  <c r="S64" i="24" a="1"/>
  <c r="E99" i="25" a="1"/>
  <c r="H79" i="19" a="1"/>
  <c r="E206" i="25" a="1"/>
  <c r="P205" i="24" a="1"/>
  <c r="E191" i="24" a="1"/>
  <c r="E22" i="25" a="1"/>
  <c r="S97" i="19" a="1"/>
  <c r="H52" i="25" a="1"/>
  <c r="S182" i="19" a="1"/>
  <c r="H20" i="19" a="1"/>
  <c r="E92" i="25" a="1"/>
  <c r="BC25" i="24" a="1"/>
  <c r="S99" i="24" a="1"/>
  <c r="E56" i="25" a="1"/>
  <c r="P29" i="25" a="1"/>
  <c r="H192" i="25" a="1"/>
  <c r="P20" i="22" a="1"/>
  <c r="H103" i="19" a="1"/>
  <c r="P128" i="22" a="1"/>
  <c r="P106" i="22" a="1"/>
  <c r="P206" i="24" a="1"/>
  <c r="S128" i="24" a="1"/>
  <c r="H77" i="24" a="1"/>
  <c r="E132" i="22" a="1"/>
  <c r="P29" i="24" a="1"/>
  <c r="S28" i="19" a="1"/>
  <c r="H29" i="25" a="1"/>
  <c r="S37" i="25" a="1"/>
  <c r="P34" i="19" a="1"/>
  <c r="E173" i="22" a="1"/>
  <c r="S27" i="22" a="1"/>
  <c r="E48" i="22" a="1"/>
  <c r="H201" i="22" a="1"/>
  <c r="E45" i="19" a="1"/>
  <c r="H67" i="25" a="1"/>
  <c r="H113" i="24" a="1"/>
  <c r="H134" i="25" a="1"/>
  <c r="P97" i="25" a="1"/>
  <c r="H39" i="19" a="1"/>
  <c r="E208" i="25" a="1"/>
  <c r="P46" i="24" a="1"/>
  <c r="S132" i="19" a="1"/>
  <c r="S78" i="24" a="1"/>
  <c r="E63" i="22" a="1"/>
  <c r="E28" i="25" a="1"/>
  <c r="E134" i="24" a="1"/>
  <c r="E180" i="22" a="1"/>
  <c r="E123" i="19" a="1"/>
  <c r="P131" i="19" a="1"/>
  <c r="E188" i="22" a="1"/>
  <c r="P131" i="24" a="1"/>
  <c r="H45" i="22" a="1"/>
  <c r="E56" i="22" a="1"/>
  <c r="E78" i="19" a="1"/>
  <c r="S103" i="22" a="1"/>
  <c r="S33" i="24" a="1"/>
  <c r="H122" i="22" a="1"/>
  <c r="H42" i="24" a="1"/>
  <c r="E68" i="22" a="1"/>
  <c r="P100" i="24" a="1"/>
  <c r="E123" i="24" a="1"/>
  <c r="H30" i="24" a="1"/>
  <c r="S37" i="19" a="1"/>
  <c r="H52" i="22" a="1"/>
  <c r="P188" i="22" a="1"/>
  <c r="P77" i="19" a="1"/>
  <c r="H186" i="25" a="1"/>
  <c r="P54" i="25" a="1"/>
  <c r="H54" i="24" a="1"/>
  <c r="P36" i="22" a="1"/>
  <c r="E168" i="22" a="1"/>
  <c r="H35" i="22" a="1"/>
  <c r="S93" i="19" a="1"/>
  <c r="S201" i="24" a="1"/>
  <c r="S164" i="24" a="1"/>
  <c r="H27" i="19" a="1"/>
  <c r="H44" i="25" a="1"/>
  <c r="E187" i="24" a="1"/>
  <c r="P26" i="22" a="1"/>
  <c r="H105" i="24" a="1"/>
  <c r="E33" i="24" a="1"/>
  <c r="H130" i="24" a="1"/>
  <c r="BS25" i="19" a="1"/>
  <c r="S131" i="19" a="1"/>
  <c r="P129" i="24" a="1"/>
  <c r="H92" i="22" a="1"/>
  <c r="H73" i="22" a="1"/>
  <c r="P105" i="22" a="1"/>
  <c r="H57" i="19" a="1"/>
  <c r="E129" i="22" a="1"/>
  <c r="H53" i="24" a="1"/>
  <c r="P131" i="25" a="1"/>
  <c r="H54" i="25" a="1"/>
  <c r="E103" i="25" a="1"/>
  <c r="H74" i="22" a="1"/>
  <c r="H19" i="19" a="1"/>
  <c r="S129" i="25" a="1"/>
  <c r="P192" i="19" a="1"/>
  <c r="P56" i="24" a="1"/>
  <c r="S58" i="22" a="1"/>
  <c r="S131" i="25" a="1"/>
  <c r="S172" i="25" a="1"/>
  <c r="P176" i="25" a="1"/>
  <c r="H52" i="24" a="1"/>
  <c r="P207" i="19" a="1"/>
  <c r="H48" i="25" a="1"/>
  <c r="P39" i="25" a="1"/>
  <c r="BC25" i="19" a="1"/>
  <c r="P69" i="24" a="1"/>
  <c r="H67" i="22" a="1"/>
  <c r="E130" i="19" a="1"/>
  <c r="P28" i="25" a="1"/>
  <c r="S183" i="19" a="1"/>
  <c r="H77" i="19" a="1"/>
  <c r="P21" i="24" a="1"/>
  <c r="P181" i="19" a="1"/>
  <c r="H102" i="25" a="1"/>
  <c r="E133" i="22" a="1"/>
  <c r="BT25" i="19" a="1"/>
  <c r="P98" i="22" a="1"/>
  <c r="H21" i="22" a="1"/>
  <c r="S130" i="25" a="1"/>
  <c r="H106" i="19" a="1"/>
  <c r="P54" i="24" a="1"/>
  <c r="S47" i="25" a="1"/>
  <c r="P72" i="25" a="1"/>
  <c r="H47" i="25" a="1"/>
  <c r="S53" i="24" a="1"/>
  <c r="P164" i="24" a="1"/>
  <c r="S101" i="22" a="1"/>
  <c r="E130" i="24" a="1"/>
  <c r="S104" i="22" a="1"/>
  <c r="S177" i="24" a="1"/>
  <c r="S98" i="24" a="1"/>
  <c r="P69" i="19" a="1"/>
  <c r="E122" i="22" a="1"/>
  <c r="H69" i="19" a="1"/>
  <c r="S186" i="22" a="1"/>
  <c r="H193" i="24" a="1"/>
  <c r="S77" i="25" a="1"/>
  <c r="BA13" i="25" a="1"/>
  <c r="P22" i="25" a="1"/>
  <c r="P28" i="24" a="1"/>
  <c r="P100" i="25" a="1"/>
  <c r="P134" i="25" a="1"/>
  <c r="P168" i="19" a="1"/>
  <c r="P130" i="19" a="1"/>
  <c r="S74" i="24" a="1"/>
  <c r="S193" i="19" a="1"/>
  <c r="S129" i="24" a="1"/>
  <c r="S201" i="19" a="1"/>
  <c r="H23" i="24" a="1"/>
  <c r="P99" i="19" a="1"/>
  <c r="P62" i="24" a="1"/>
  <c r="H69" i="25" a="1"/>
  <c r="E55" i="22" a="1"/>
  <c r="S22" i="22" a="1"/>
  <c r="S69" i="22" a="1"/>
  <c r="E169" i="24" a="1"/>
  <c r="P187" i="22" a="1"/>
  <c r="P68" i="25" a="1"/>
  <c r="H168" i="19" a="1"/>
  <c r="E64" i="19" a="1"/>
  <c r="S176" i="19" a="1"/>
  <c r="P134" i="24" a="1"/>
  <c r="H46" i="25" a="1"/>
  <c r="P183" i="22" a="1"/>
  <c r="P177" i="25" a="1"/>
  <c r="P46" i="19" a="1"/>
  <c r="H65" i="19" a="1"/>
  <c r="E57" i="19" a="1"/>
  <c r="E27" i="24" a="1"/>
  <c r="H46" i="24" a="1"/>
  <c r="BV13" i="24" a="1"/>
  <c r="E38" i="19" a="1"/>
  <c r="P106" i="24" a="1"/>
  <c r="E77" i="22" a="1"/>
  <c r="P133" i="25" a="1"/>
  <c r="S104" i="24" a="1"/>
  <c r="H68" i="22" a="1"/>
  <c r="E106" i="24" a="1"/>
  <c r="E118" i="24" a="1"/>
  <c r="H121" i="25" a="1"/>
  <c r="E33" i="22" a="1"/>
  <c r="S36" i="25" a="1"/>
  <c r="S45" i="19" a="1"/>
  <c r="P44" i="25" a="1"/>
  <c r="E27" i="25" a="1"/>
  <c r="P75" i="25" a="1"/>
  <c r="H38" i="22" a="1"/>
  <c r="P183" i="19" a="1"/>
  <c r="S56" i="24" a="1"/>
  <c r="S54" i="25" a="1"/>
  <c r="P97" i="19" a="1"/>
  <c r="H206" i="24" a="1"/>
  <c r="H180" i="19" a="1"/>
  <c r="S30" i="24" a="1"/>
  <c r="H62" i="19" a="1"/>
  <c r="H168" i="25" a="1"/>
  <c r="P53" i="24" a="1"/>
  <c r="S93" i="24" a="1"/>
  <c r="BA13" i="24" a="1"/>
  <c r="S169" i="24" a="1"/>
  <c r="E53" i="19" a="1"/>
  <c r="E63" i="19" a="1"/>
  <c r="P26" i="24" a="1"/>
  <c r="S130" i="24" a="1"/>
  <c r="H92" i="19" a="1"/>
  <c r="H191" i="24" a="1"/>
  <c r="P47" i="22" a="1"/>
  <c r="BU13" i="22" a="1"/>
  <c r="E117" i="19" a="1"/>
  <c r="S43" i="25" a="1"/>
  <c r="P52" i="19" a="1"/>
  <c r="P58" i="25" a="1"/>
  <c r="E193" i="22" a="1"/>
  <c r="E58" i="22" a="1"/>
  <c r="H104" i="19" a="1"/>
  <c r="S181" i="25" a="1"/>
  <c r="S104" i="25" a="1"/>
  <c r="H93" i="25" a="1"/>
  <c r="E201" i="19" a="1"/>
  <c r="P64" i="22" a="1"/>
  <c r="H168" i="24" a="1"/>
  <c r="E100" i="22" a="1"/>
  <c r="H79" i="24" a="1"/>
  <c r="E21" i="25" a="1"/>
  <c r="E164" i="22" a="1"/>
  <c r="S45" i="22" a="1"/>
  <c r="E173" i="19" a="1"/>
  <c r="H33" i="25" a="1"/>
  <c r="H167" i="25" a="1"/>
  <c r="S187" i="22" a="1"/>
  <c r="H98" i="25" a="1"/>
  <c r="P45" i="19" a="1"/>
  <c r="H61" i="24" a="1"/>
  <c r="P57" i="19" a="1"/>
  <c r="E105" i="24" a="1"/>
  <c r="P37" i="25" a="1"/>
  <c r="E66" i="19" a="1"/>
  <c r="H106" i="25" a="1"/>
  <c r="E173" i="25" a="1"/>
  <c r="H101" i="19" a="1"/>
  <c r="E118" i="19" a="1"/>
  <c r="H55" i="24" a="1"/>
  <c r="E172" i="22" a="1"/>
  <c r="H97" i="24" a="1"/>
  <c r="E106" i="25" a="1"/>
  <c r="P76" i="22" a="1"/>
  <c r="E100" i="24" a="1"/>
  <c r="S187" i="19" a="1"/>
  <c r="H29" i="22" a="1"/>
  <c r="H181" i="19" a="1"/>
  <c r="S66" i="24" a="1"/>
  <c r="P55" i="24" a="1"/>
  <c r="H100" i="22" a="1"/>
  <c r="E102" i="19" a="1"/>
  <c r="S44" i="22" a="1"/>
  <c r="H72" i="22" a="1"/>
  <c r="E30" i="25" a="1"/>
  <c r="P38" i="25" a="1"/>
  <c r="P191" i="24" a="1"/>
  <c r="S64" i="25" a="1"/>
  <c r="S133" i="24" a="1"/>
  <c r="P55" i="22" a="1"/>
  <c r="H202" i="25" a="1"/>
  <c r="P103" i="19" a="1"/>
  <c r="E57" i="25" a="1"/>
  <c r="P69" i="25" a="1"/>
  <c r="BV13" i="25" a="1"/>
  <c r="P76" i="24" a="1"/>
  <c r="E69" i="22" a="1"/>
  <c r="E19" i="25" a="1"/>
  <c r="E72" i="22" a="1"/>
  <c r="P191" i="25" a="1"/>
  <c r="S28" i="24" a="1"/>
  <c r="H187" i="19" a="1"/>
  <c r="P27" i="22" a="1"/>
  <c r="P103" i="25" a="1"/>
  <c r="S21" i="24" a="1"/>
  <c r="E118" i="22" a="1"/>
  <c r="H72" i="19" a="1"/>
  <c r="H125" i="22" a="1"/>
  <c r="P79" i="24" a="1"/>
  <c r="P74" i="24" a="1"/>
  <c r="E169" i="19" a="1"/>
  <c r="S205" i="24" a="1"/>
  <c r="H55" i="19" a="1"/>
  <c r="S21" i="22" a="1"/>
  <c r="P73" i="25" a="1"/>
  <c r="BA13" i="22" a="1"/>
  <c r="E66" i="24" a="1"/>
  <c r="H201" i="24" a="1"/>
  <c r="E182" i="22" a="1"/>
  <c r="S105" i="22" a="1"/>
  <c r="E192" i="19" a="1"/>
  <c r="E117" i="24" a="1"/>
  <c r="P163" i="19" a="1"/>
  <c r="S134" i="24" a="1"/>
  <c r="S167" i="25" a="1"/>
  <c r="H62" i="25" a="1"/>
  <c r="P177" i="24" a="1"/>
  <c r="P42" i="25" a="1"/>
  <c r="P132" i="24" a="1"/>
  <c r="S205" i="22" a="1"/>
  <c r="E208" i="19" a="1"/>
  <c r="P42" i="22" a="1"/>
  <c r="H124" i="22" a="1"/>
  <c r="P98" i="19" a="1"/>
  <c r="H117" i="22" a="1"/>
  <c r="E164" i="25" a="1"/>
  <c r="H43" i="25" a="1"/>
  <c r="P38" i="19" a="1"/>
  <c r="S134" i="25" a="1"/>
  <c r="P43" i="22" a="1"/>
  <c r="E51" i="25" a="1"/>
  <c r="S192" i="19" a="1"/>
  <c r="E61" i="22" a="1"/>
  <c r="H123" i="19" a="1"/>
  <c r="E101" i="24" a="1"/>
  <c r="BB25" i="24" a="1"/>
  <c r="P101" i="19" a="1"/>
  <c r="S94" i="19" a="1"/>
  <c r="S29" i="25" a="1"/>
  <c r="H164" i="25" a="1"/>
  <c r="S101" i="19" a="1"/>
  <c r="H119" i="24" a="1"/>
  <c r="P22" i="22" a="1"/>
  <c r="P61" i="24" a="1"/>
  <c r="H69" i="22" a="1"/>
  <c r="H188" i="25" a="1"/>
  <c r="P33" i="24" a="1"/>
  <c r="E21" i="24" a="1"/>
  <c r="H26" i="25" a="1"/>
  <c r="P193" i="24" a="1"/>
  <c r="H47" i="24" a="1"/>
  <c r="P167" i="22" a="1"/>
  <c r="S56" i="19" a="1"/>
  <c r="P44" i="19" a="1"/>
  <c r="P167" i="24" a="1"/>
  <c r="S51" i="22" a="1"/>
  <c r="P47" i="24" a="1"/>
  <c r="P94" i="19" a="1"/>
  <c r="H61" i="19" a="1"/>
  <c r="H120" i="25" a="1"/>
  <c r="E180" i="24" a="1"/>
  <c r="P44" i="22" a="1"/>
  <c r="P201" i="22" a="1"/>
  <c r="E78" i="24" a="1"/>
  <c r="S63" i="24" a="1"/>
  <c r="E35" i="19" a="1"/>
  <c r="S44" i="24" a="1"/>
  <c r="P66" i="22" a="1"/>
  <c r="P46" i="25" a="1"/>
  <c r="E122" i="19" a="1"/>
  <c r="P169" i="19" a="1"/>
  <c r="H54" i="22" a="1"/>
  <c r="H33" i="22" a="1"/>
  <c r="P57" i="24" a="1"/>
  <c r="P78" i="24" a="1"/>
  <c r="E58" i="25" a="1"/>
  <c r="P206" i="25" a="1"/>
  <c r="P188" i="19" a="1"/>
  <c r="H45" i="24" a="1"/>
  <c r="E27" i="22" a="1"/>
  <c r="P192" i="25" a="1"/>
  <c r="H172" i="22" a="1"/>
  <c r="P75" i="19" a="1"/>
  <c r="S69" i="19" a="1"/>
  <c r="S52" i="22" a="1"/>
  <c r="H76" i="19" a="1"/>
  <c r="E106" i="22" a="1"/>
  <c r="S79" i="19" a="1"/>
  <c r="BS25" i="22" a="1"/>
  <c r="P177" i="19" a="1"/>
  <c r="P101" i="22" a="1"/>
  <c r="E58" i="19" a="1"/>
  <c r="S176" i="24" a="1"/>
  <c r="E192" i="24" a="1"/>
  <c r="S48" i="25" a="1"/>
  <c r="P202" i="22" a="1"/>
  <c r="S208" i="25" a="1"/>
  <c r="H122" i="25" a="1"/>
  <c r="S56" i="25" a="1"/>
  <c r="S38" i="22" a="1"/>
  <c r="P133" i="22" a="1"/>
  <c r="S188" i="19" a="1"/>
  <c r="P191" i="19" a="1"/>
  <c r="H21" i="24" a="1"/>
  <c r="S78" i="25" a="1"/>
  <c r="P79" i="22" a="1"/>
  <c r="S180" i="19" a="1"/>
  <c r="H44" i="24" a="1"/>
  <c r="S76" i="25" a="1"/>
  <c r="E132" i="19" a="1"/>
  <c r="P173" i="25" a="1"/>
  <c r="S176" i="25" a="1"/>
  <c r="H202" i="22" a="1"/>
  <c r="P99" i="25" a="1"/>
  <c r="E30" i="24" a="1"/>
  <c r="E69" i="19" a="1"/>
  <c r="P29" i="19" a="1"/>
  <c r="H125" i="19" a="1"/>
  <c r="E167" i="25" a="1"/>
  <c r="P68" i="22" a="1"/>
  <c r="E177" i="22" a="1"/>
  <c r="H118" i="24" a="1"/>
  <c r="H176" i="24" a="1"/>
  <c r="E97" i="25" a="1"/>
  <c r="E94" i="24" a="1"/>
  <c r="P21" i="25" a="1"/>
  <c r="P22" i="19" a="1"/>
  <c r="E120" i="24" a="1"/>
  <c r="E188" i="19" a="1"/>
  <c r="E112" i="24" a="1"/>
  <c r="E176" i="24" a="1"/>
  <c r="H182" i="19" a="1"/>
  <c r="P35" i="24" a="1"/>
  <c r="H55" i="22" a="1"/>
  <c r="S64" i="19" a="1"/>
  <c r="P201" i="25" a="1"/>
  <c r="S68" i="22" a="1"/>
  <c r="E54" i="25" a="1"/>
  <c r="H20" i="24" a="1"/>
  <c r="E117" i="25" a="1"/>
  <c r="P75" i="24" a="1"/>
  <c r="E164" i="24" a="1"/>
  <c r="E116" i="25" a="1"/>
  <c r="H75" i="22" a="1"/>
  <c r="S62" i="25" a="1"/>
  <c r="E98" i="24" a="1"/>
  <c r="P167" i="19" a="1"/>
  <c r="H63" i="24" a="1"/>
  <c r="S167" i="24" a="1"/>
  <c r="E73" i="25" a="1"/>
  <c r="P100" i="22" a="1"/>
  <c r="P43" i="24" a="1"/>
  <c r="H112" i="25" a="1"/>
  <c r="S106" i="19" a="1"/>
  <c r="P208" i="24" a="1"/>
  <c r="E206" i="19" a="1"/>
  <c r="S62" i="24" a="1"/>
  <c r="H188" i="19" a="1"/>
  <c r="P128" i="25" a="1"/>
  <c r="H117" i="24" a="1"/>
  <c r="H183" i="25" a="1"/>
  <c r="H38" i="24" a="1"/>
  <c r="P173" i="24" a="1"/>
  <c r="H62" i="24" a="1"/>
  <c r="P183" i="24" a="1"/>
  <c r="H79" i="22" a="1"/>
  <c r="E188" i="24" a="1"/>
  <c r="P37" i="19" a="1"/>
  <c r="H207" i="25" a="1"/>
  <c r="H117" i="25" a="1"/>
  <c r="H206" i="19" a="1"/>
  <c r="E100" i="25" a="1"/>
  <c r="S42" i="22" a="1"/>
  <c r="S35" i="22" a="1"/>
  <c r="H173" i="24" a="1"/>
  <c r="P133" i="24" a="1"/>
  <c r="H76" i="25" a="1"/>
  <c r="S66" i="19" a="1"/>
  <c r="S51" i="19" a="1"/>
  <c r="E37" i="24" a="1"/>
  <c r="H29" i="19" a="1"/>
  <c r="H119" i="22" a="1"/>
  <c r="H56" i="24" a="1"/>
  <c r="P188" i="25" a="1"/>
  <c r="H42" i="25" a="1"/>
  <c r="S78" i="22" a="1"/>
  <c r="S22" i="25" a="1"/>
  <c r="E26" i="22" a="1"/>
  <c r="E134" i="22" a="1"/>
  <c r="P94" i="25" a="1"/>
  <c r="H176" i="22" a="1"/>
  <c r="P20" i="24" a="1"/>
  <c r="E20" i="22" a="1"/>
  <c r="E101" i="22" a="1"/>
  <c r="P67" i="19" a="1"/>
  <c r="H42" i="22" a="1"/>
  <c r="E206" i="24" a="1"/>
  <c r="P92" i="19" a="1"/>
  <c r="P201" i="19" a="1"/>
  <c r="P164" i="19" a="1"/>
  <c r="S163" i="19" a="1"/>
  <c r="P102" i="19" a="1"/>
  <c r="S34" i="19" a="1"/>
  <c r="H104" i="22" a="1"/>
  <c r="H125" i="24" a="1"/>
  <c r="E94" i="25" a="1"/>
  <c r="P180" i="24" a="1"/>
  <c r="E65" i="22" a="1"/>
  <c r="S176" i="22" a="1"/>
  <c r="H105" i="25" a="1"/>
  <c r="BT13" i="25" a="1"/>
  <c r="P101" i="25" a="1"/>
  <c r="E63" i="25" a="1"/>
  <c r="H58" i="24" a="1"/>
  <c r="S92" i="24" a="1"/>
  <c r="H193" i="19" a="1"/>
  <c r="P38" i="22" a="1"/>
  <c r="E120" i="25" a="1"/>
  <c r="P61" i="19" a="1"/>
  <c r="E168" i="19" a="1"/>
  <c r="S34" i="24" a="1"/>
  <c r="E99" i="24" a="1"/>
  <c r="E66" i="25" a="1"/>
  <c r="S51" i="25" a="1"/>
  <c r="H113" i="25" a="1"/>
  <c r="P193" i="25" a="1"/>
  <c r="H102" i="19" a="1"/>
  <c r="P23" i="25" a="1"/>
  <c r="E119" i="25" a="1"/>
  <c r="E121" i="19" a="1"/>
  <c r="H182" i="25" a="1"/>
  <c r="H118" i="19" a="1"/>
  <c r="H101" i="25" a="1"/>
  <c r="P72" i="24" a="1"/>
  <c r="H72" i="24" a="1"/>
  <c r="E21" i="19" a="1"/>
  <c r="S183" i="25" a="1"/>
  <c r="S46" i="22" a="1"/>
  <c r="E133" i="19" a="1"/>
  <c r="S132" i="25" a="1"/>
  <c r="S193" i="25" a="1"/>
  <c r="H35" i="19" a="1"/>
  <c r="H116" i="22" a="1"/>
  <c r="H103" i="25" a="1"/>
  <c r="E77" i="19" a="1"/>
  <c r="E97" i="22" a="1"/>
  <c r="P45" i="25" a="1"/>
  <c r="H101" i="22" a="1"/>
  <c r="S102" i="19" a="1"/>
  <c r="E205" i="22" a="1"/>
  <c r="S173" i="25" a="1"/>
  <c r="E76" i="19" a="1"/>
  <c r="BU13" i="19" a="1"/>
  <c r="H164" i="24" a="1"/>
  <c r="P208" i="19" a="1"/>
  <c r="E125" i="24" a="1"/>
  <c r="P97" i="24" a="1"/>
  <c r="E207" i="25" a="1"/>
  <c r="E113" i="19" a="1"/>
  <c r="E202" i="24" a="1"/>
  <c r="P207" i="25" a="1"/>
  <c r="P34" i="24" a="1"/>
  <c r="H124" i="19" a="1"/>
  <c r="E101" i="25" a="1"/>
  <c r="S100" i="24" a="1"/>
  <c r="E69" i="24" a="1"/>
  <c r="H128" i="19" a="1"/>
  <c r="H191" i="22" a="1"/>
  <c r="P94" i="24" a="1"/>
  <c r="H130" i="22" a="1"/>
  <c r="E176" i="25" a="1"/>
  <c r="S57" i="22" a="1"/>
  <c r="H78" i="24" a="1"/>
  <c r="E52" i="22" a="1"/>
  <c r="E74" i="24" a="1"/>
  <c r="P132" i="25" a="1"/>
  <c r="E37" i="25" a="1"/>
  <c r="E45" i="25" a="1"/>
  <c r="S52" i="24" a="1"/>
  <c r="P23" i="24" a="1"/>
  <c r="P36" i="19" a="1"/>
  <c r="S35" i="24" a="1"/>
  <c r="P131" i="22" a="1"/>
  <c r="P172" i="24" a="1"/>
  <c r="E167" i="22" a="1"/>
  <c r="H75" i="24" a="1"/>
  <c r="P181" i="22" a="1"/>
  <c r="H57" i="24" a="1"/>
  <c r="H53" i="25" a="1"/>
  <c r="E75" i="25" a="1"/>
  <c r="H30" i="22" a="1"/>
  <c r="S20" i="24" a="1"/>
  <c r="H38" i="19" a="1"/>
  <c r="E186" i="24" a="1"/>
  <c r="S201" i="25" a="1"/>
  <c r="S93" i="25" a="1"/>
  <c r="E36" i="24" a="1"/>
  <c r="E72" i="25" a="1"/>
  <c r="S29" i="22" a="1"/>
  <c r="E34" i="19" a="1"/>
  <c r="H192" i="22" a="1"/>
  <c r="S68" i="24" a="1"/>
  <c r="E97" i="24" a="1"/>
  <c r="E56" i="24" a="1"/>
  <c r="P105" i="19" a="1"/>
  <c r="H101" i="24" a="1"/>
  <c r="S42" i="24" a="1"/>
  <c r="S133" i="19" a="1"/>
  <c r="H92" i="24" a="1"/>
  <c r="H48" i="22" a="1"/>
  <c r="S188" i="24" a="1"/>
  <c r="H98" i="22" a="1"/>
  <c r="S47" i="19" a="1"/>
  <c r="H164" i="22" a="1"/>
  <c r="P65" i="24" a="1"/>
  <c r="P132" i="19" a="1"/>
  <c r="H22" i="19" a="1"/>
  <c r="S134" i="22" a="1"/>
  <c r="S202" i="24" a="1"/>
  <c r="H172" i="24" a="1"/>
  <c r="H57" i="25" a="1"/>
  <c r="H29" i="24" a="1"/>
  <c r="H106" i="22" a="1"/>
  <c r="E75" i="22" a="1"/>
  <c r="H183" i="19" a="1"/>
  <c r="H122" i="19" a="1"/>
  <c r="H36" i="25" a="1"/>
  <c r="E132" i="24" a="1"/>
  <c r="P34" i="22" a="1"/>
  <c r="S47" i="24" a="1"/>
  <c r="E128" i="25" a="1"/>
  <c r="H129" i="19" a="1"/>
  <c r="E93" i="24" a="1"/>
  <c r="H169" i="24" a="1"/>
  <c r="S28" i="22" a="1"/>
  <c r="S63" i="25" a="1"/>
  <c r="S22" i="24" a="1"/>
  <c r="P176" i="19" a="1"/>
  <c r="S37" i="22" a="1"/>
  <c r="H164" i="19" a="1"/>
  <c r="H132" i="19" a="1"/>
  <c r="E67" i="22" a="1"/>
  <c r="E75" i="24" a="1"/>
  <c r="S79" i="25" a="1"/>
  <c r="S133" i="22" a="1"/>
  <c r="E38" i="25" a="1"/>
  <c r="S187" i="25" a="1"/>
  <c r="P102" i="24" a="1"/>
  <c r="S132" i="22" a="1"/>
  <c r="H73" i="25" a="1"/>
  <c r="P39" i="19" a="1"/>
  <c r="H77" i="22" a="1"/>
  <c r="H119" i="19" a="1"/>
  <c r="E26" i="25" a="1"/>
  <c r="S67" i="25" a="1"/>
  <c r="P30" i="22" a="1"/>
  <c r="P79" i="25" a="1"/>
  <c r="P63" i="19" a="1"/>
  <c r="E47" i="24" a="1"/>
  <c r="H130" i="25" a="1"/>
  <c r="S44" i="19" a="1"/>
  <c r="H54" i="19" a="1"/>
  <c r="E34" i="22" a="1"/>
  <c r="E124" i="25" a="1"/>
  <c r="H22" i="25" a="1"/>
  <c r="P193" i="19" a="1"/>
  <c r="E20" i="24" a="1"/>
  <c r="H202" i="19" a="1"/>
  <c r="BA13" i="19" a="1"/>
  <c r="S103" i="19" a="1"/>
  <c r="P47" i="25" a="1"/>
  <c r="BT13" i="22" a="1"/>
  <c r="E33" i="19" a="1"/>
  <c r="E19" i="24" a="1"/>
  <c r="E117" i="22" a="1"/>
  <c r="H37" i="19" a="1"/>
  <c r="H120" i="24" a="1"/>
  <c r="S54" i="24" a="1"/>
  <c r="H173" i="25" a="1"/>
  <c r="S101" i="25" a="1"/>
  <c r="H63" i="19" a="1"/>
  <c r="BC13" i="25" a="1"/>
  <c r="P37" i="24" a="1"/>
  <c r="H128" i="24" a="1"/>
  <c r="E93" i="25" a="1"/>
  <c r="E42" i="25" a="1"/>
  <c r="P169" i="25" a="1"/>
  <c r="S21" i="19" a="1"/>
  <c r="H169" i="25" a="1"/>
  <c r="H186" i="24" a="1"/>
  <c r="BA25" i="24" a="1"/>
  <c r="P92" i="24" a="1"/>
  <c r="P182" i="24" a="1"/>
  <c r="S77" i="24" a="1"/>
  <c r="H55" i="25" a="1"/>
  <c r="S93" i="22" a="1"/>
  <c r="S20" i="22" a="1"/>
  <c r="P187" i="19" a="1"/>
  <c r="H63" i="22" a="1"/>
  <c r="P38" i="24" a="1"/>
  <c r="E104" i="24" a="1"/>
  <c r="H68" i="25" a="1"/>
  <c r="BU25" i="24" a="1"/>
  <c r="E193" i="25" a="1"/>
  <c r="P67" i="25" a="1"/>
  <c r="P187" i="24" a="1"/>
  <c r="P192" i="22" a="1"/>
  <c r="H30" i="19" a="1"/>
  <c r="S46" i="25" a="1"/>
  <c r="H163" i="25" a="1"/>
  <c r="H58" i="19" a="1"/>
  <c r="P26" i="19" a="1"/>
  <c r="H202" i="24" a="1"/>
  <c r="P132" i="22" a="1"/>
  <c r="H124" i="25" a="1"/>
  <c r="S19" i="25" a="1"/>
  <c r="P47" i="19" a="1"/>
  <c r="H47" i="19" a="1"/>
  <c r="H64" i="24" a="1"/>
  <c r="H78" i="25" a="1"/>
  <c r="E44" i="19" a="1"/>
  <c r="P68" i="19" a="1"/>
  <c r="E48" i="19" a="1"/>
  <c r="H168" i="22" a="1"/>
  <c r="S44" i="25" a="1"/>
  <c r="P66" i="25" a="1"/>
  <c r="S69" i="25" a="1"/>
  <c r="H130" i="19" a="1"/>
  <c r="E128" i="24" a="1"/>
  <c r="P208" i="22" a="1"/>
  <c r="E65" i="24" a="1"/>
  <c r="H66" i="22" a="1"/>
  <c r="P98" i="24" a="1"/>
  <c r="H73" i="19" a="1"/>
  <c r="E42" i="24" a="1"/>
  <c r="E23" i="22" a="1"/>
  <c r="H125" i="25" a="1"/>
  <c r="S106" i="22" a="1"/>
  <c r="S191" i="25" a="1"/>
  <c r="S164" i="19" a="1"/>
  <c r="S128" i="22" a="1"/>
  <c r="H172" i="25" a="1"/>
  <c r="H133" i="25" a="1"/>
  <c r="H181" i="24" a="1"/>
  <c r="H52" i="19" a="1"/>
  <c r="E102" i="22" a="1"/>
  <c r="E193" i="24" a="1"/>
  <c r="P129" i="19" a="1"/>
  <c r="S76" i="22" a="1"/>
  <c r="H39" i="24" a="1"/>
  <c r="H186" i="22" a="1"/>
  <c r="E116" i="22" a="1"/>
  <c r="P104" i="25" a="1"/>
  <c r="E47" i="19" a="1"/>
  <c r="E99" i="22" a="1"/>
  <c r="P105" i="24" a="1"/>
  <c r="E123" i="25" a="1"/>
  <c r="E67" i="19" a="1"/>
  <c r="P22" i="24" a="1"/>
  <c r="S66" i="22" a="1"/>
  <c r="H20" i="22" a="1"/>
  <c r="P128" i="24" a="1"/>
  <c r="E172" i="25" a="1"/>
  <c r="S53" i="25" a="1"/>
  <c r="E39" i="25" a="1"/>
  <c r="E103" i="24" a="1"/>
  <c r="S61" i="19" a="1"/>
  <c r="S57" i="19" a="1"/>
  <c r="E39" i="22" a="1"/>
  <c r="S180" i="22" a="1"/>
  <c r="S30" i="25" a="1"/>
  <c r="H66" i="25" a="1"/>
  <c r="BU13" i="25" a="1"/>
  <c r="H51" i="25" a="1"/>
  <c r="S39" i="19" a="1"/>
  <c r="H193" i="22" a="1"/>
  <c r="BV13" i="22" a="1"/>
  <c r="H39" i="25" a="1"/>
  <c r="E43" i="19" a="1"/>
  <c r="P98" i="25" a="1"/>
  <c r="H77" i="25" a="1"/>
  <c r="P37" i="22" a="1"/>
  <c r="P44" i="24" a="1"/>
  <c r="E23" i="25" a="1"/>
  <c r="S192" i="25" a="1"/>
  <c r="H72" i="25" a="1"/>
  <c r="H36" i="22" a="1"/>
  <c r="H26" i="19" a="1"/>
  <c r="E62" i="24" a="1"/>
  <c r="H56" i="19" a="1"/>
  <c r="S181" i="22" a="1"/>
  <c r="S67" i="22" a="1"/>
  <c r="E30" i="19" a="1"/>
  <c r="S23" i="25" a="1"/>
  <c r="S182" i="24" a="1"/>
  <c r="E101" i="19" a="1"/>
  <c r="H27" i="25" a="1"/>
  <c r="S129" i="22" a="1"/>
  <c r="E51" i="22" a="1"/>
  <c r="P169" i="24" a="1"/>
  <c r="P72" i="19" a="1"/>
  <c r="E121" i="25" a="1"/>
  <c r="S57" i="25" a="1"/>
  <c r="E29" i="24" a="1"/>
  <c r="H65" i="22" a="1"/>
  <c r="S173" i="19" a="1"/>
  <c r="P173" i="22" a="1"/>
  <c r="H102" i="24" a="1"/>
  <c r="S181" i="19" a="1"/>
  <c r="H186" i="19" a="1"/>
  <c r="E112" i="25" a="1"/>
  <c r="H122" i="24" a="1"/>
  <c r="BB25" i="25" a="1"/>
  <c r="P164" i="25" a="1"/>
  <c r="S64" i="22" a="1"/>
  <c r="H132" i="22" a="1"/>
  <c r="P52" i="22" a="1"/>
  <c r="E51" i="24" a="1"/>
  <c r="P78" i="25" a="1"/>
  <c r="S58" i="25" a="1"/>
  <c r="P58" i="19" a="1"/>
  <c r="P183" i="25" a="1"/>
  <c r="E173" i="24" a="1"/>
  <c r="S42" i="25" a="1"/>
  <c r="E202" i="25" a="1"/>
  <c r="H37" i="25" a="1"/>
  <c r="H180" i="25" a="1"/>
  <c r="S54" i="19" a="1"/>
  <c r="S43" i="24" a="1"/>
  <c r="S73" i="22" a="1"/>
  <c r="P177" i="22" a="1"/>
  <c r="E47" i="22" a="1"/>
  <c r="P52" i="24" a="1"/>
  <c r="H34" i="25" a="1"/>
  <c r="E186" i="19" a="1"/>
  <c r="E163" i="19" a="1"/>
  <c r="P53" i="22" a="1"/>
  <c r="E61" i="25" a="1"/>
  <c r="H208" i="24" a="1"/>
  <c r="E105" i="25" a="1"/>
  <c r="E67" i="25" a="1"/>
  <c r="E52" i="25" a="1"/>
  <c r="P180" i="22" a="1"/>
  <c r="P207" i="22" a="1"/>
  <c r="P30" i="25" a="1"/>
  <c r="S99" i="19" a="1"/>
  <c r="E98" i="19" a="1"/>
  <c r="E119" i="19" a="1"/>
  <c r="E93" i="19" a="1"/>
  <c r="E55" i="19" a="1"/>
  <c r="S183" i="24" a="1"/>
  <c r="H23" i="22" a="1"/>
  <c r="E78" i="25" a="1"/>
  <c r="E98" i="25" a="1"/>
  <c r="S61" i="24" a="1"/>
  <c r="P63" i="25" a="1"/>
  <c r="S72" i="25" a="1"/>
  <c r="S35" i="25" a="1"/>
  <c r="H167" i="24" a="1"/>
  <c r="P180" i="19" a="1"/>
  <c r="S128" i="19" a="1"/>
  <c r="P181" i="24" a="1"/>
  <c r="S74" i="25" a="1"/>
  <c r="S34" i="25" a="1"/>
  <c r="S29" i="19" a="1"/>
  <c r="H133" i="19" a="1"/>
  <c r="P48" i="25" a="1"/>
  <c r="E164" i="19" a="1"/>
  <c r="E57" i="24" a="1"/>
  <c r="E119" i="22" a="1"/>
  <c r="P128" i="19" a="1"/>
  <c r="P130" i="24" a="1"/>
  <c r="E180" i="25" a="1"/>
  <c r="H104" i="25" a="1"/>
  <c r="H181" i="25" a="1"/>
  <c r="P99" i="24" a="1"/>
  <c r="E20" i="25" a="1"/>
  <c r="H205" i="22" a="1"/>
  <c r="E21" i="22" a="1"/>
  <c r="H112" i="19" a="1"/>
  <c r="P36" i="25" a="1"/>
  <c r="P94" i="22" a="1"/>
  <c r="E53" i="24" a="1"/>
  <c r="H191" i="19" a="1"/>
  <c r="P76" i="25" a="1"/>
  <c r="S167" i="22" a="1"/>
  <c r="P206" i="19" a="1"/>
  <c r="P48" i="19" a="1"/>
  <c r="S68" i="25" a="1"/>
  <c r="P43" i="19" a="1"/>
  <c r="H192" i="24" a="1"/>
  <c r="E46" i="19" a="1"/>
  <c r="E130" i="22" a="1"/>
  <c r="H30" i="25" a="1"/>
  <c r="P168" i="25" a="1"/>
  <c r="H99" i="22" a="1"/>
  <c r="H176" i="19" a="1"/>
  <c r="E38" i="22" a="1"/>
  <c r="P205" i="25" a="1"/>
  <c r="P73" i="19" a="1"/>
  <c r="H173" i="19" a="1"/>
  <c r="E97" i="19" a="1"/>
  <c r="E133" i="24" a="1"/>
  <c r="P186" i="19" a="1"/>
  <c r="E167" i="19" a="1"/>
  <c r="P102" i="25" a="1"/>
  <c r="P102" i="25" l="1"/>
  <c r="R102" i="25" s="1"/>
  <c r="E167" i="19"/>
  <c r="G167" i="19" s="1"/>
  <c r="P186" i="19"/>
  <c r="R186" i="19" s="1"/>
  <c r="E133" i="24"/>
  <c r="G133" i="24" s="1"/>
  <c r="E97" i="19"/>
  <c r="G97" i="19" s="1"/>
  <c r="H173" i="19"/>
  <c r="J173" i="19" s="1"/>
  <c r="P73" i="19"/>
  <c r="R73" i="19" s="1"/>
  <c r="P205" i="25"/>
  <c r="R205" i="25" s="1"/>
  <c r="E38" i="22"/>
  <c r="G38" i="22" s="1"/>
  <c r="H176" i="19"/>
  <c r="J176" i="19" s="1"/>
  <c r="H99" i="22"/>
  <c r="J99" i="22" s="1"/>
  <c r="P168" i="25"/>
  <c r="R168" i="25" s="1"/>
  <c r="H30" i="25"/>
  <c r="J30" i="25" s="1"/>
  <c r="E130" i="22"/>
  <c r="G130" i="22" s="1"/>
  <c r="E46" i="19"/>
  <c r="G46" i="19" s="1"/>
  <c r="H192" i="24"/>
  <c r="J192" i="24" s="1"/>
  <c r="P43" i="19"/>
  <c r="R43" i="19" s="1"/>
  <c r="S68" i="25"/>
  <c r="U68" i="25" s="1"/>
  <c r="P48" i="19"/>
  <c r="R48" i="19" s="1"/>
  <c r="P206" i="19"/>
  <c r="R206" i="19" s="1"/>
  <c r="S167" i="22"/>
  <c r="U167" i="22" s="1"/>
  <c r="P76" i="25"/>
  <c r="R76" i="25" s="1"/>
  <c r="H191" i="19"/>
  <c r="J191" i="19" s="1"/>
  <c r="E53" i="24"/>
  <c r="G53" i="24" s="1"/>
  <c r="P94" i="22"/>
  <c r="R94" i="22" s="1"/>
  <c r="P36" i="25"/>
  <c r="R36" i="25" s="1"/>
  <c r="H112" i="19"/>
  <c r="J112" i="19" s="1"/>
  <c r="E21" i="22"/>
  <c r="G21" i="22" s="1"/>
  <c r="H205" i="22"/>
  <c r="J205" i="22" s="1"/>
  <c r="E20" i="25"/>
  <c r="G20" i="25" s="1"/>
  <c r="P99" i="24"/>
  <c r="R99" i="24" s="1"/>
  <c r="V99" i="24" s="1"/>
  <c r="X99" i="24" s="1"/>
  <c r="H181" i="25"/>
  <c r="J181" i="25" s="1"/>
  <c r="H104" i="25"/>
  <c r="J104" i="25" s="1"/>
  <c r="E180" i="25"/>
  <c r="G180" i="25" s="1"/>
  <c r="P130" i="24"/>
  <c r="R130" i="24" s="1"/>
  <c r="P128" i="19"/>
  <c r="R128" i="19" s="1"/>
  <c r="E119" i="22"/>
  <c r="G119" i="22" s="1"/>
  <c r="E57" i="24"/>
  <c r="G57" i="24" s="1"/>
  <c r="E164" i="19"/>
  <c r="G164" i="19" s="1"/>
  <c r="P48" i="25"/>
  <c r="R48" i="25" s="1"/>
  <c r="H133" i="19"/>
  <c r="J133" i="19" s="1"/>
  <c r="S29" i="19"/>
  <c r="U29" i="19" s="1"/>
  <c r="S34" i="25"/>
  <c r="U34" i="25" s="1"/>
  <c r="S74" i="25"/>
  <c r="U74" i="25" s="1"/>
  <c r="P181" i="24"/>
  <c r="R181" i="24" s="1"/>
  <c r="S128" i="19"/>
  <c r="U128" i="19" s="1"/>
  <c r="P180" i="19"/>
  <c r="R180" i="19" s="1"/>
  <c r="H167" i="24"/>
  <c r="J167" i="24" s="1"/>
  <c r="S35" i="25"/>
  <c r="U35" i="25" s="1"/>
  <c r="S72" i="25"/>
  <c r="U72" i="25" s="1"/>
  <c r="P63" i="25"/>
  <c r="R63" i="25" s="1"/>
  <c r="S61" i="24"/>
  <c r="U61" i="24" s="1"/>
  <c r="E98" i="25"/>
  <c r="G98" i="25" s="1"/>
  <c r="E78" i="25"/>
  <c r="G78" i="25" s="1"/>
  <c r="H23" i="22"/>
  <c r="J23" i="22" s="1"/>
  <c r="S183" i="24"/>
  <c r="U183" i="24" s="1"/>
  <c r="E55" i="19"/>
  <c r="G55" i="19" s="1"/>
  <c r="E93" i="19"/>
  <c r="G93" i="19" s="1"/>
  <c r="E119" i="19"/>
  <c r="G119" i="19" s="1"/>
  <c r="E98" i="19"/>
  <c r="G98" i="19" s="1"/>
  <c r="S99" i="19"/>
  <c r="U99" i="19" s="1"/>
  <c r="P30" i="25"/>
  <c r="R30" i="25" s="1"/>
  <c r="P207" i="22"/>
  <c r="R207" i="22" s="1"/>
  <c r="P180" i="22"/>
  <c r="R180" i="22" s="1"/>
  <c r="E52" i="25"/>
  <c r="G52" i="25" s="1"/>
  <c r="E67" i="25"/>
  <c r="G67" i="25" s="1"/>
  <c r="E105" i="25"/>
  <c r="G105" i="25" s="1"/>
  <c r="H208" i="24"/>
  <c r="J208" i="24" s="1"/>
  <c r="E61" i="25"/>
  <c r="G61" i="25" s="1"/>
  <c r="P53" i="22"/>
  <c r="R53" i="22" s="1"/>
  <c r="E163" i="19"/>
  <c r="G163" i="19" s="1"/>
  <c r="E186" i="19"/>
  <c r="G186" i="19" s="1"/>
  <c r="H34" i="25"/>
  <c r="J34" i="25" s="1"/>
  <c r="P52" i="24"/>
  <c r="R52" i="24" s="1"/>
  <c r="E47" i="22"/>
  <c r="G47" i="22" s="1"/>
  <c r="P177" i="22"/>
  <c r="R177" i="22" s="1"/>
  <c r="S73" i="22"/>
  <c r="U73" i="22" s="1"/>
  <c r="S43" i="24"/>
  <c r="U43" i="24" s="1"/>
  <c r="S54" i="19"/>
  <c r="U54" i="19" s="1"/>
  <c r="H180" i="25"/>
  <c r="J180" i="25" s="1"/>
  <c r="H37" i="25"/>
  <c r="J37" i="25" s="1"/>
  <c r="E202" i="25"/>
  <c r="G202" i="25" s="1"/>
  <c r="S42" i="25"/>
  <c r="U42" i="25" s="1"/>
  <c r="E173" i="24"/>
  <c r="G173" i="24" s="1"/>
  <c r="P183" i="25"/>
  <c r="R183" i="25" s="1"/>
  <c r="P58" i="19"/>
  <c r="R58" i="19" s="1"/>
  <c r="S58" i="25"/>
  <c r="U58" i="25" s="1"/>
  <c r="P78" i="25"/>
  <c r="R78" i="25" s="1"/>
  <c r="E51" i="24"/>
  <c r="G51" i="24" s="1"/>
  <c r="P52" i="22"/>
  <c r="R52" i="22" s="1"/>
  <c r="H132" i="22"/>
  <c r="J132" i="22" s="1"/>
  <c r="S64" i="22"/>
  <c r="U64" i="22" s="1"/>
  <c r="P164" i="25"/>
  <c r="R164" i="25" s="1"/>
  <c r="V164" i="25" s="1"/>
  <c r="X164" i="25" s="1"/>
  <c r="BB25" i="25"/>
  <c r="H122" i="24"/>
  <c r="J122" i="24" s="1"/>
  <c r="E112" i="25"/>
  <c r="G112" i="25" s="1"/>
  <c r="H186" i="19"/>
  <c r="J186" i="19" s="1"/>
  <c r="S181" i="19"/>
  <c r="U181" i="19" s="1"/>
  <c r="H102" i="24"/>
  <c r="J102" i="24" s="1"/>
  <c r="P173" i="22"/>
  <c r="R173" i="22" s="1"/>
  <c r="S173" i="19"/>
  <c r="U173" i="19" s="1"/>
  <c r="H65" i="22"/>
  <c r="J65" i="22" s="1"/>
  <c r="E29" i="24"/>
  <c r="G29" i="24" s="1"/>
  <c r="S57" i="25"/>
  <c r="U57" i="25" s="1"/>
  <c r="E121" i="25"/>
  <c r="G121" i="25" s="1"/>
  <c r="P72" i="19"/>
  <c r="R72" i="19" s="1"/>
  <c r="P169" i="24"/>
  <c r="R169" i="24" s="1"/>
  <c r="E51" i="22"/>
  <c r="G51" i="22" s="1"/>
  <c r="S129" i="22"/>
  <c r="U129" i="22" s="1"/>
  <c r="H27" i="25"/>
  <c r="J27" i="25" s="1"/>
  <c r="E101" i="19"/>
  <c r="G101" i="19" s="1"/>
  <c r="S182" i="24"/>
  <c r="U182" i="24" s="1"/>
  <c r="S23" i="25"/>
  <c r="U23" i="25" s="1"/>
  <c r="E30" i="19"/>
  <c r="G30" i="19" s="1"/>
  <c r="S67" i="22"/>
  <c r="U67" i="22" s="1"/>
  <c r="S181" i="22"/>
  <c r="U181" i="22" s="1"/>
  <c r="H56" i="19"/>
  <c r="J56" i="19" s="1"/>
  <c r="E62" i="24"/>
  <c r="G62" i="24" s="1"/>
  <c r="H26" i="19"/>
  <c r="J26" i="19" s="1"/>
  <c r="H36" i="22"/>
  <c r="J36" i="22" s="1"/>
  <c r="H72" i="25"/>
  <c r="J72" i="25" s="1"/>
  <c r="S192" i="25"/>
  <c r="U192" i="25" s="1"/>
  <c r="E23" i="25"/>
  <c r="G23" i="25" s="1"/>
  <c r="P44" i="24"/>
  <c r="R44" i="24" s="1"/>
  <c r="P37" i="22"/>
  <c r="R37" i="22" s="1"/>
  <c r="H77" i="25"/>
  <c r="J77" i="25" s="1"/>
  <c r="P98" i="25"/>
  <c r="R98" i="25" s="1"/>
  <c r="E43" i="19"/>
  <c r="G43" i="19" s="1"/>
  <c r="H39" i="25"/>
  <c r="J39" i="25" s="1"/>
  <c r="BV13" i="22"/>
  <c r="H193" i="22"/>
  <c r="J193" i="22" s="1"/>
  <c r="S39" i="19"/>
  <c r="U39" i="19" s="1"/>
  <c r="H51" i="25"/>
  <c r="J51" i="25" s="1"/>
  <c r="BU13" i="25"/>
  <c r="H66" i="25"/>
  <c r="J66" i="25" s="1"/>
  <c r="S30" i="25"/>
  <c r="U30" i="25" s="1"/>
  <c r="S180" i="22"/>
  <c r="U180" i="22" s="1"/>
  <c r="E39" i="22"/>
  <c r="G39" i="22" s="1"/>
  <c r="S57" i="19"/>
  <c r="U57" i="19" s="1"/>
  <c r="S61" i="19"/>
  <c r="U61" i="19" s="1"/>
  <c r="E103" i="24"/>
  <c r="G103" i="24" s="1"/>
  <c r="E39" i="25"/>
  <c r="G39" i="25" s="1"/>
  <c r="S53" i="25"/>
  <c r="U53" i="25" s="1"/>
  <c r="E172" i="25"/>
  <c r="G172" i="25" s="1"/>
  <c r="P128" i="24"/>
  <c r="R128" i="24" s="1"/>
  <c r="H20" i="22"/>
  <c r="J20" i="22" s="1"/>
  <c r="S66" i="22"/>
  <c r="U66" i="22" s="1"/>
  <c r="P22" i="24"/>
  <c r="R22" i="24" s="1"/>
  <c r="E67" i="19"/>
  <c r="G67" i="19" s="1"/>
  <c r="E123" i="25"/>
  <c r="G123" i="25" s="1"/>
  <c r="P105" i="24"/>
  <c r="R105" i="24" s="1"/>
  <c r="E99" i="22"/>
  <c r="G99" i="22" s="1"/>
  <c r="E47" i="19"/>
  <c r="G47" i="19" s="1"/>
  <c r="P104" i="25"/>
  <c r="R104" i="25" s="1"/>
  <c r="E116" i="22"/>
  <c r="G116" i="22" s="1"/>
  <c r="H186" i="22"/>
  <c r="J186" i="22" s="1"/>
  <c r="H39" i="24"/>
  <c r="J39" i="24" s="1"/>
  <c r="S76" i="22"/>
  <c r="U76" i="22" s="1"/>
  <c r="P129" i="19"/>
  <c r="R129" i="19" s="1"/>
  <c r="E193" i="24"/>
  <c r="G193" i="24" s="1"/>
  <c r="E102" i="22"/>
  <c r="G102" i="22" s="1"/>
  <c r="H52" i="19"/>
  <c r="J52" i="19" s="1"/>
  <c r="H181" i="24"/>
  <c r="J181" i="24" s="1"/>
  <c r="H133" i="25"/>
  <c r="J133" i="25" s="1"/>
  <c r="H172" i="25"/>
  <c r="J172" i="25" s="1"/>
  <c r="S128" i="22"/>
  <c r="U128" i="22" s="1"/>
  <c r="S164" i="19"/>
  <c r="U164" i="19" s="1"/>
  <c r="S191" i="25"/>
  <c r="U191" i="25" s="1"/>
  <c r="S106" i="22"/>
  <c r="U106" i="22" s="1"/>
  <c r="H125" i="25"/>
  <c r="J125" i="25" s="1"/>
  <c r="E23" i="22"/>
  <c r="G23" i="22" s="1"/>
  <c r="E42" i="24"/>
  <c r="G42" i="24" s="1"/>
  <c r="H73" i="19"/>
  <c r="J73" i="19" s="1"/>
  <c r="P98" i="24"/>
  <c r="R98" i="24" s="1"/>
  <c r="H66" i="22"/>
  <c r="J66" i="22" s="1"/>
  <c r="E65" i="24"/>
  <c r="G65" i="24" s="1"/>
  <c r="P208" i="22"/>
  <c r="R208" i="22" s="1"/>
  <c r="E128" i="24"/>
  <c r="G128" i="24" s="1"/>
  <c r="H130" i="19"/>
  <c r="J130" i="19" s="1"/>
  <c r="K130" i="19" s="1"/>
  <c r="M130" i="19" s="1"/>
  <c r="S69" i="25"/>
  <c r="U69" i="25" s="1"/>
  <c r="P66" i="25"/>
  <c r="R66" i="25" s="1"/>
  <c r="S44" i="25"/>
  <c r="U44" i="25" s="1"/>
  <c r="H168" i="22"/>
  <c r="J168" i="22" s="1"/>
  <c r="E48" i="19"/>
  <c r="G48" i="19" s="1"/>
  <c r="P68" i="19"/>
  <c r="R68" i="19" s="1"/>
  <c r="E44" i="19"/>
  <c r="G44" i="19" s="1"/>
  <c r="H78" i="25"/>
  <c r="J78" i="25" s="1"/>
  <c r="H64" i="24"/>
  <c r="J64" i="24" s="1"/>
  <c r="H47" i="19"/>
  <c r="J47" i="19" s="1"/>
  <c r="K47" i="19" s="1"/>
  <c r="M47" i="19" s="1"/>
  <c r="P47" i="19"/>
  <c r="R47" i="19" s="1"/>
  <c r="S19" i="25"/>
  <c r="U19" i="25" s="1"/>
  <c r="H124" i="25"/>
  <c r="J124" i="25" s="1"/>
  <c r="P132" i="22"/>
  <c r="R132" i="22" s="1"/>
  <c r="H202" i="24"/>
  <c r="J202" i="24" s="1"/>
  <c r="P26" i="19"/>
  <c r="R26" i="19" s="1"/>
  <c r="V26" i="19" s="1"/>
  <c r="X26" i="19" s="1"/>
  <c r="H58" i="19"/>
  <c r="J58" i="19" s="1"/>
  <c r="H163" i="25"/>
  <c r="J163" i="25" s="1"/>
  <c r="S46" i="25"/>
  <c r="U46" i="25" s="1"/>
  <c r="H30" i="19"/>
  <c r="J30" i="19" s="1"/>
  <c r="P192" i="22"/>
  <c r="R192" i="22" s="1"/>
  <c r="P187" i="24"/>
  <c r="R187" i="24" s="1"/>
  <c r="V187" i="24" s="1"/>
  <c r="X187" i="24" s="1"/>
  <c r="P67" i="25"/>
  <c r="R67" i="25" s="1"/>
  <c r="E193" i="25"/>
  <c r="G193" i="25" s="1"/>
  <c r="BU25" i="24"/>
  <c r="H68" i="25"/>
  <c r="J68" i="25" s="1"/>
  <c r="E104" i="24"/>
  <c r="G104" i="24" s="1"/>
  <c r="P38" i="24"/>
  <c r="R38" i="24" s="1"/>
  <c r="H63" i="22"/>
  <c r="J63" i="22" s="1"/>
  <c r="P187" i="19"/>
  <c r="R187" i="19" s="1"/>
  <c r="V187" i="19" s="1"/>
  <c r="X187" i="19" s="1"/>
  <c r="S20" i="22"/>
  <c r="U20" i="22" s="1"/>
  <c r="S93" i="22"/>
  <c r="U93" i="22" s="1"/>
  <c r="H55" i="25"/>
  <c r="J55" i="25" s="1"/>
  <c r="S77" i="24"/>
  <c r="U77" i="24" s="1"/>
  <c r="P182" i="24"/>
  <c r="R182" i="24" s="1"/>
  <c r="P92" i="24"/>
  <c r="R92" i="24" s="1"/>
  <c r="BA25" i="24"/>
  <c r="H186" i="24"/>
  <c r="J186" i="24" s="1"/>
  <c r="H169" i="25"/>
  <c r="J169" i="25" s="1"/>
  <c r="S21" i="19"/>
  <c r="U21" i="19" s="1"/>
  <c r="P169" i="25"/>
  <c r="R169" i="25" s="1"/>
  <c r="E42" i="25"/>
  <c r="G42" i="25" s="1"/>
  <c r="E93" i="25"/>
  <c r="G93" i="25" s="1"/>
  <c r="H128" i="24"/>
  <c r="J128" i="24" s="1"/>
  <c r="P37" i="24"/>
  <c r="R37" i="24" s="1"/>
  <c r="BC13" i="25"/>
  <c r="H63" i="19"/>
  <c r="J63" i="19" s="1"/>
  <c r="S101" i="25"/>
  <c r="U101" i="25" s="1"/>
  <c r="H173" i="25"/>
  <c r="J173" i="25" s="1"/>
  <c r="S54" i="24"/>
  <c r="U54" i="24" s="1"/>
  <c r="H120" i="24"/>
  <c r="J120" i="24" s="1"/>
  <c r="H37" i="19"/>
  <c r="J37" i="19" s="1"/>
  <c r="E117" i="22"/>
  <c r="G117" i="22" s="1"/>
  <c r="E19" i="24"/>
  <c r="G19" i="24" s="1"/>
  <c r="E33" i="19"/>
  <c r="G33" i="19" s="1"/>
  <c r="BT13" i="22"/>
  <c r="P47" i="25"/>
  <c r="R47" i="25" s="1"/>
  <c r="S103" i="19"/>
  <c r="U103" i="19" s="1"/>
  <c r="BA13" i="19"/>
  <c r="H202" i="19"/>
  <c r="J202" i="19" s="1"/>
  <c r="E20" i="24"/>
  <c r="G20" i="24" s="1"/>
  <c r="P193" i="19"/>
  <c r="R193" i="19" s="1"/>
  <c r="V193" i="19" s="1"/>
  <c r="X193" i="19" s="1"/>
  <c r="H22" i="25"/>
  <c r="J22" i="25" s="1"/>
  <c r="E124" i="25"/>
  <c r="G124" i="25" s="1"/>
  <c r="E34" i="22"/>
  <c r="G34" i="22" s="1"/>
  <c r="H54" i="19"/>
  <c r="J54" i="19" s="1"/>
  <c r="S44" i="19"/>
  <c r="U44" i="19" s="1"/>
  <c r="H130" i="25"/>
  <c r="J130" i="25" s="1"/>
  <c r="E47" i="24"/>
  <c r="G47" i="24" s="1"/>
  <c r="P63" i="19"/>
  <c r="R63" i="19" s="1"/>
  <c r="P79" i="25"/>
  <c r="R79" i="25" s="1"/>
  <c r="P30" i="22"/>
  <c r="R30" i="22" s="1"/>
  <c r="S67" i="25"/>
  <c r="U67" i="25" s="1"/>
  <c r="E26" i="25"/>
  <c r="G26" i="25" s="1"/>
  <c r="H119" i="19"/>
  <c r="J119" i="19" s="1"/>
  <c r="H77" i="22"/>
  <c r="J77" i="22" s="1"/>
  <c r="P39" i="19"/>
  <c r="R39" i="19" s="1"/>
  <c r="H73" i="25"/>
  <c r="J73" i="25" s="1"/>
  <c r="K73" i="25" s="1"/>
  <c r="M73" i="25" s="1"/>
  <c r="S132" i="22"/>
  <c r="U132" i="22" s="1"/>
  <c r="P102" i="24"/>
  <c r="R102" i="24" s="1"/>
  <c r="S187" i="25"/>
  <c r="U187" i="25" s="1"/>
  <c r="E38" i="25"/>
  <c r="G38" i="25" s="1"/>
  <c r="K38" i="25" s="1"/>
  <c r="M38" i="25" s="1"/>
  <c r="S133" i="22"/>
  <c r="U133" i="22" s="1"/>
  <c r="S79" i="25"/>
  <c r="U79" i="25" s="1"/>
  <c r="E75" i="24"/>
  <c r="G75" i="24" s="1"/>
  <c r="E67" i="22"/>
  <c r="G67" i="22" s="1"/>
  <c r="H132" i="19"/>
  <c r="J132" i="19" s="1"/>
  <c r="H164" i="19"/>
  <c r="J164" i="19" s="1"/>
  <c r="S37" i="22"/>
  <c r="U37" i="22" s="1"/>
  <c r="P176" i="19"/>
  <c r="R176" i="19" s="1"/>
  <c r="S22" i="24"/>
  <c r="U22" i="24" s="1"/>
  <c r="S63" i="25"/>
  <c r="U63" i="25" s="1"/>
  <c r="S28" i="22"/>
  <c r="U28" i="22" s="1"/>
  <c r="H169" i="24"/>
  <c r="J169" i="24" s="1"/>
  <c r="E93" i="24"/>
  <c r="G93" i="24" s="1"/>
  <c r="H129" i="19"/>
  <c r="J129" i="19" s="1"/>
  <c r="E128" i="25"/>
  <c r="G128" i="25" s="1"/>
  <c r="S47" i="24"/>
  <c r="U47" i="24" s="1"/>
  <c r="P34" i="22"/>
  <c r="R34" i="22" s="1"/>
  <c r="E132" i="24"/>
  <c r="G132" i="24" s="1"/>
  <c r="H36" i="25"/>
  <c r="J36" i="25" s="1"/>
  <c r="H122" i="19"/>
  <c r="J122" i="19" s="1"/>
  <c r="H183" i="19"/>
  <c r="J183" i="19" s="1"/>
  <c r="E75" i="22"/>
  <c r="G75" i="22" s="1"/>
  <c r="H106" i="22"/>
  <c r="J106" i="22" s="1"/>
  <c r="H29" i="24"/>
  <c r="J29" i="24" s="1"/>
  <c r="H57" i="25"/>
  <c r="J57" i="25" s="1"/>
  <c r="H172" i="24"/>
  <c r="J172" i="24" s="1"/>
  <c r="S202" i="24"/>
  <c r="U202" i="24" s="1"/>
  <c r="S134" i="22"/>
  <c r="U134" i="22" s="1"/>
  <c r="H22" i="19"/>
  <c r="J22" i="19" s="1"/>
  <c r="P132" i="19"/>
  <c r="R132" i="19" s="1"/>
  <c r="P65" i="24"/>
  <c r="R65" i="24" s="1"/>
  <c r="H164" i="22"/>
  <c r="J164" i="22" s="1"/>
  <c r="S47" i="19"/>
  <c r="U47" i="19" s="1"/>
  <c r="H98" i="22"/>
  <c r="J98" i="22" s="1"/>
  <c r="S188" i="24"/>
  <c r="U188" i="24" s="1"/>
  <c r="H48" i="22"/>
  <c r="J48" i="22" s="1"/>
  <c r="H92" i="24"/>
  <c r="J92" i="24" s="1"/>
  <c r="K92" i="24" s="1"/>
  <c r="M92" i="24" s="1"/>
  <c r="S133" i="19"/>
  <c r="U133" i="19" s="1"/>
  <c r="S42" i="24"/>
  <c r="U42" i="24" s="1"/>
  <c r="H101" i="24"/>
  <c r="J101" i="24" s="1"/>
  <c r="P105" i="19"/>
  <c r="R105" i="19" s="1"/>
  <c r="E56" i="24"/>
  <c r="G56" i="24" s="1"/>
  <c r="E97" i="24"/>
  <c r="G97" i="24" s="1"/>
  <c r="S68" i="24"/>
  <c r="U68" i="24" s="1"/>
  <c r="H192" i="22"/>
  <c r="J192" i="22" s="1"/>
  <c r="E34" i="19"/>
  <c r="G34" i="19" s="1"/>
  <c r="S29" i="22"/>
  <c r="U29" i="22" s="1"/>
  <c r="E72" i="25"/>
  <c r="G72" i="25" s="1"/>
  <c r="E36" i="24"/>
  <c r="G36" i="24" s="1"/>
  <c r="S93" i="25"/>
  <c r="U93" i="25" s="1"/>
  <c r="S201" i="25"/>
  <c r="U201" i="25" s="1"/>
  <c r="E186" i="24"/>
  <c r="G186" i="24" s="1"/>
  <c r="H38" i="19"/>
  <c r="J38" i="19" s="1"/>
  <c r="S20" i="24"/>
  <c r="U20" i="24" s="1"/>
  <c r="H30" i="22"/>
  <c r="J30" i="22" s="1"/>
  <c r="E75" i="25"/>
  <c r="G75" i="25" s="1"/>
  <c r="K75" i="25" s="1"/>
  <c r="M75" i="25" s="1"/>
  <c r="H53" i="25"/>
  <c r="J53" i="25" s="1"/>
  <c r="H57" i="24"/>
  <c r="J57" i="24" s="1"/>
  <c r="P181" i="22"/>
  <c r="R181" i="22" s="1"/>
  <c r="H75" i="24"/>
  <c r="J75" i="24" s="1"/>
  <c r="E167" i="22"/>
  <c r="G167" i="22" s="1"/>
  <c r="P172" i="24"/>
  <c r="R172" i="24" s="1"/>
  <c r="P131" i="22"/>
  <c r="R131" i="22" s="1"/>
  <c r="S35" i="24"/>
  <c r="U35" i="24" s="1"/>
  <c r="P36" i="19"/>
  <c r="R36" i="19" s="1"/>
  <c r="P23" i="24"/>
  <c r="R23" i="24" s="1"/>
  <c r="S52" i="24"/>
  <c r="U52" i="24" s="1"/>
  <c r="E45" i="25"/>
  <c r="G45" i="25" s="1"/>
  <c r="E37" i="25"/>
  <c r="G37" i="25" s="1"/>
  <c r="K37" i="25" s="1"/>
  <c r="M37" i="25" s="1"/>
  <c r="P132" i="25"/>
  <c r="R132" i="25" s="1"/>
  <c r="E74" i="24"/>
  <c r="G74" i="24" s="1"/>
  <c r="E52" i="22"/>
  <c r="G52" i="22" s="1"/>
  <c r="H78" i="24"/>
  <c r="J78" i="24" s="1"/>
  <c r="S57" i="22"/>
  <c r="U57" i="22" s="1"/>
  <c r="E176" i="25"/>
  <c r="G176" i="25" s="1"/>
  <c r="H130" i="22"/>
  <c r="J130" i="22" s="1"/>
  <c r="P94" i="24"/>
  <c r="R94" i="24" s="1"/>
  <c r="H191" i="22"/>
  <c r="J191" i="22" s="1"/>
  <c r="H128" i="19"/>
  <c r="J128" i="19" s="1"/>
  <c r="K128" i="19" s="1"/>
  <c r="M128" i="19" s="1"/>
  <c r="G57" i="17" s="1"/>
  <c r="E69" i="24"/>
  <c r="G69" i="24" s="1"/>
  <c r="S100" i="24"/>
  <c r="U100" i="24" s="1"/>
  <c r="E101" i="25"/>
  <c r="G101" i="25" s="1"/>
  <c r="H124" i="19"/>
  <c r="J124" i="19" s="1"/>
  <c r="P34" i="24"/>
  <c r="R34" i="24" s="1"/>
  <c r="P207" i="25"/>
  <c r="R207" i="25" s="1"/>
  <c r="E202" i="24"/>
  <c r="G202" i="24" s="1"/>
  <c r="E113" i="19"/>
  <c r="G113" i="19" s="1"/>
  <c r="E207" i="25"/>
  <c r="G207" i="25" s="1"/>
  <c r="P97" i="24"/>
  <c r="R97" i="24" s="1"/>
  <c r="E125" i="24"/>
  <c r="G125" i="24" s="1"/>
  <c r="P208" i="19"/>
  <c r="R208" i="19" s="1"/>
  <c r="H164" i="24"/>
  <c r="J164" i="24" s="1"/>
  <c r="BU13" i="19"/>
  <c r="E76" i="19"/>
  <c r="G76" i="19" s="1"/>
  <c r="S173" i="25"/>
  <c r="U173" i="25" s="1"/>
  <c r="E205" i="22"/>
  <c r="G205" i="22" s="1"/>
  <c r="S102" i="19"/>
  <c r="U102" i="19" s="1"/>
  <c r="H101" i="22"/>
  <c r="J101" i="22" s="1"/>
  <c r="P45" i="25"/>
  <c r="R45" i="25" s="1"/>
  <c r="E97" i="22"/>
  <c r="G97" i="22" s="1"/>
  <c r="E77" i="19"/>
  <c r="G77" i="19" s="1"/>
  <c r="H103" i="25"/>
  <c r="J103" i="25" s="1"/>
  <c r="H116" i="22"/>
  <c r="J116" i="22" s="1"/>
  <c r="H35" i="19"/>
  <c r="J35" i="19" s="1"/>
  <c r="S193" i="25"/>
  <c r="U193" i="25" s="1"/>
  <c r="S132" i="25"/>
  <c r="U132" i="25" s="1"/>
  <c r="E133" i="19"/>
  <c r="G133" i="19" s="1"/>
  <c r="S46" i="22"/>
  <c r="U46" i="22" s="1"/>
  <c r="S183" i="25"/>
  <c r="U183" i="25" s="1"/>
  <c r="E21" i="19"/>
  <c r="G21" i="19" s="1"/>
  <c r="H72" i="24"/>
  <c r="J72" i="24" s="1"/>
  <c r="P72" i="24"/>
  <c r="R72" i="24" s="1"/>
  <c r="H101" i="25"/>
  <c r="J101" i="25" s="1"/>
  <c r="H118" i="19"/>
  <c r="J118" i="19" s="1"/>
  <c r="H182" i="25"/>
  <c r="J182" i="25" s="1"/>
  <c r="E121" i="19"/>
  <c r="G121" i="19" s="1"/>
  <c r="E119" i="25"/>
  <c r="G119" i="25" s="1"/>
  <c r="P23" i="25"/>
  <c r="R23" i="25" s="1"/>
  <c r="H102" i="19"/>
  <c r="J102" i="19" s="1"/>
  <c r="P193" i="25"/>
  <c r="R193" i="25" s="1"/>
  <c r="H113" i="25"/>
  <c r="J113" i="25" s="1"/>
  <c r="S51" i="25"/>
  <c r="U51" i="25" s="1"/>
  <c r="E66" i="25"/>
  <c r="G66" i="25" s="1"/>
  <c r="E99" i="24"/>
  <c r="G99" i="24" s="1"/>
  <c r="S34" i="24"/>
  <c r="U34" i="24" s="1"/>
  <c r="E168" i="19"/>
  <c r="G168" i="19" s="1"/>
  <c r="P61" i="19"/>
  <c r="R61" i="19" s="1"/>
  <c r="E120" i="25"/>
  <c r="G120" i="25" s="1"/>
  <c r="P38" i="22"/>
  <c r="R38" i="22" s="1"/>
  <c r="H193" i="19"/>
  <c r="J193" i="19" s="1"/>
  <c r="S92" i="24"/>
  <c r="U92" i="24" s="1"/>
  <c r="H58" i="24"/>
  <c r="J58" i="24" s="1"/>
  <c r="E63" i="25"/>
  <c r="G63" i="25" s="1"/>
  <c r="P101" i="25"/>
  <c r="R101" i="25" s="1"/>
  <c r="V101" i="25" s="1"/>
  <c r="X101" i="25" s="1"/>
  <c r="BT13" i="25"/>
  <c r="H105" i="25"/>
  <c r="J105" i="25" s="1"/>
  <c r="S176" i="22"/>
  <c r="U176" i="22" s="1"/>
  <c r="E65" i="22"/>
  <c r="G65" i="22" s="1"/>
  <c r="P180" i="24"/>
  <c r="R180" i="24" s="1"/>
  <c r="E94" i="25"/>
  <c r="G94" i="25" s="1"/>
  <c r="H125" i="24"/>
  <c r="J125" i="24" s="1"/>
  <c r="H104" i="22"/>
  <c r="J104" i="22" s="1"/>
  <c r="S34" i="19"/>
  <c r="U34" i="19" s="1"/>
  <c r="P102" i="19"/>
  <c r="R102" i="19" s="1"/>
  <c r="S163" i="19"/>
  <c r="U163" i="19" s="1"/>
  <c r="P164" i="19"/>
  <c r="R164" i="19" s="1"/>
  <c r="P201" i="19"/>
  <c r="R201" i="19" s="1"/>
  <c r="P92" i="19"/>
  <c r="R92" i="19" s="1"/>
  <c r="E206" i="24"/>
  <c r="G206" i="24" s="1"/>
  <c r="H42" i="22"/>
  <c r="J42" i="22" s="1"/>
  <c r="P67" i="19"/>
  <c r="R67" i="19" s="1"/>
  <c r="E101" i="22"/>
  <c r="G101" i="22" s="1"/>
  <c r="E20" i="22"/>
  <c r="G20" i="22" s="1"/>
  <c r="P20" i="24"/>
  <c r="R20" i="24" s="1"/>
  <c r="H176" i="22"/>
  <c r="J176" i="22" s="1"/>
  <c r="P94" i="25"/>
  <c r="R94" i="25" s="1"/>
  <c r="E134" i="22"/>
  <c r="G134" i="22" s="1"/>
  <c r="E26" i="22"/>
  <c r="G26" i="22" s="1"/>
  <c r="S22" i="25"/>
  <c r="U22" i="25" s="1"/>
  <c r="S78" i="22"/>
  <c r="U78" i="22" s="1"/>
  <c r="H42" i="25"/>
  <c r="J42" i="25" s="1"/>
  <c r="P188" i="25"/>
  <c r="R188" i="25" s="1"/>
  <c r="H56" i="24"/>
  <c r="J56" i="24" s="1"/>
  <c r="H119" i="22"/>
  <c r="J119" i="22" s="1"/>
  <c r="H29" i="19"/>
  <c r="J29" i="19" s="1"/>
  <c r="E37" i="24"/>
  <c r="G37" i="24" s="1"/>
  <c r="S51" i="19"/>
  <c r="U51" i="19" s="1"/>
  <c r="S66" i="19"/>
  <c r="U66" i="19" s="1"/>
  <c r="H76" i="25"/>
  <c r="J76" i="25" s="1"/>
  <c r="P133" i="24"/>
  <c r="R133" i="24" s="1"/>
  <c r="H173" i="24"/>
  <c r="J173" i="24" s="1"/>
  <c r="S35" i="22"/>
  <c r="U35" i="22" s="1"/>
  <c r="S42" i="22"/>
  <c r="U42" i="22" s="1"/>
  <c r="E100" i="25"/>
  <c r="G100" i="25" s="1"/>
  <c r="H206" i="19"/>
  <c r="J206" i="19" s="1"/>
  <c r="H117" i="25"/>
  <c r="J117" i="25" s="1"/>
  <c r="H207" i="25"/>
  <c r="J207" i="25" s="1"/>
  <c r="P37" i="19"/>
  <c r="R37" i="19" s="1"/>
  <c r="E188" i="24"/>
  <c r="G188" i="24" s="1"/>
  <c r="H79" i="22"/>
  <c r="J79" i="22" s="1"/>
  <c r="P183" i="24"/>
  <c r="R183" i="24" s="1"/>
  <c r="H62" i="24"/>
  <c r="J62" i="24" s="1"/>
  <c r="P173" i="24"/>
  <c r="R173" i="24" s="1"/>
  <c r="H38" i="24"/>
  <c r="J38" i="24" s="1"/>
  <c r="H183" i="25"/>
  <c r="J183" i="25" s="1"/>
  <c r="H117" i="24"/>
  <c r="J117" i="24" s="1"/>
  <c r="P128" i="25"/>
  <c r="R128" i="25" s="1"/>
  <c r="H188" i="19"/>
  <c r="J188" i="19" s="1"/>
  <c r="S62" i="24"/>
  <c r="U62" i="24" s="1"/>
  <c r="E206" i="19"/>
  <c r="G206" i="19" s="1"/>
  <c r="P208" i="24"/>
  <c r="R208" i="24" s="1"/>
  <c r="S106" i="19"/>
  <c r="U106" i="19" s="1"/>
  <c r="H112" i="25"/>
  <c r="J112" i="25" s="1"/>
  <c r="P43" i="24"/>
  <c r="R43" i="24" s="1"/>
  <c r="P100" i="22"/>
  <c r="R100" i="22" s="1"/>
  <c r="E73" i="25"/>
  <c r="G73" i="25" s="1"/>
  <c r="S167" i="24"/>
  <c r="U167" i="24" s="1"/>
  <c r="H63" i="24"/>
  <c r="J63" i="24" s="1"/>
  <c r="P167" i="19"/>
  <c r="R167" i="19" s="1"/>
  <c r="E98" i="24"/>
  <c r="G98" i="24" s="1"/>
  <c r="S62" i="25"/>
  <c r="U62" i="25" s="1"/>
  <c r="H75" i="22"/>
  <c r="J75" i="22" s="1"/>
  <c r="E116" i="25"/>
  <c r="G116" i="25" s="1"/>
  <c r="E164" i="24"/>
  <c r="G164" i="24" s="1"/>
  <c r="P75" i="24"/>
  <c r="R75" i="24" s="1"/>
  <c r="E117" i="25"/>
  <c r="G117" i="25" s="1"/>
  <c r="H20" i="24"/>
  <c r="J20" i="24" s="1"/>
  <c r="E54" i="25"/>
  <c r="G54" i="25" s="1"/>
  <c r="S68" i="22"/>
  <c r="U68" i="22" s="1"/>
  <c r="P201" i="25"/>
  <c r="R201" i="25" s="1"/>
  <c r="S64" i="19"/>
  <c r="U64" i="19" s="1"/>
  <c r="H55" i="22"/>
  <c r="J55" i="22" s="1"/>
  <c r="P35" i="24"/>
  <c r="R35" i="24" s="1"/>
  <c r="H182" i="19"/>
  <c r="J182" i="19" s="1"/>
  <c r="E176" i="24"/>
  <c r="G176" i="24" s="1"/>
  <c r="E112" i="24"/>
  <c r="G112" i="24" s="1"/>
  <c r="E188" i="19"/>
  <c r="G188" i="19" s="1"/>
  <c r="E120" i="24"/>
  <c r="G120" i="24" s="1"/>
  <c r="P22" i="19"/>
  <c r="R22" i="19" s="1"/>
  <c r="P21" i="25"/>
  <c r="R21" i="25" s="1"/>
  <c r="E94" i="24"/>
  <c r="G94" i="24" s="1"/>
  <c r="E97" i="25"/>
  <c r="G97" i="25" s="1"/>
  <c r="H176" i="24"/>
  <c r="J176" i="24" s="1"/>
  <c r="H118" i="24"/>
  <c r="J118" i="24" s="1"/>
  <c r="E177" i="22"/>
  <c r="G177" i="22" s="1"/>
  <c r="P68" i="22"/>
  <c r="R68" i="22" s="1"/>
  <c r="V68" i="22" s="1"/>
  <c r="X68" i="22" s="1"/>
  <c r="E167" i="25"/>
  <c r="G167" i="25" s="1"/>
  <c r="H125" i="19"/>
  <c r="J125" i="19" s="1"/>
  <c r="P29" i="19"/>
  <c r="R29" i="19" s="1"/>
  <c r="E69" i="19"/>
  <c r="G69" i="19" s="1"/>
  <c r="E30" i="24"/>
  <c r="G30" i="24" s="1"/>
  <c r="P99" i="25"/>
  <c r="R99" i="25" s="1"/>
  <c r="H202" i="22"/>
  <c r="J202" i="22" s="1"/>
  <c r="S176" i="25"/>
  <c r="U176" i="25" s="1"/>
  <c r="P173" i="25"/>
  <c r="R173" i="25" s="1"/>
  <c r="E132" i="19"/>
  <c r="G132" i="19" s="1"/>
  <c r="S76" i="25"/>
  <c r="U76" i="25" s="1"/>
  <c r="H44" i="24"/>
  <c r="J44" i="24" s="1"/>
  <c r="S180" i="19"/>
  <c r="U180" i="19" s="1"/>
  <c r="P79" i="22"/>
  <c r="R79" i="22" s="1"/>
  <c r="S78" i="25"/>
  <c r="U78" i="25" s="1"/>
  <c r="H21" i="24"/>
  <c r="J21" i="24" s="1"/>
  <c r="P191" i="19"/>
  <c r="R191" i="19" s="1"/>
  <c r="S188" i="19"/>
  <c r="U188" i="19" s="1"/>
  <c r="P133" i="22"/>
  <c r="R133" i="22" s="1"/>
  <c r="S38" i="22"/>
  <c r="U38" i="22" s="1"/>
  <c r="S56" i="25"/>
  <c r="U56" i="25" s="1"/>
  <c r="H122" i="25"/>
  <c r="J122" i="25" s="1"/>
  <c r="S208" i="25"/>
  <c r="U208" i="25" s="1"/>
  <c r="P202" i="22"/>
  <c r="R202" i="22" s="1"/>
  <c r="S48" i="25"/>
  <c r="U48" i="25" s="1"/>
  <c r="E192" i="24"/>
  <c r="G192" i="24" s="1"/>
  <c r="S176" i="24"/>
  <c r="U176" i="24" s="1"/>
  <c r="E58" i="19"/>
  <c r="G58" i="19" s="1"/>
  <c r="P101" i="22"/>
  <c r="R101" i="22" s="1"/>
  <c r="P177" i="19"/>
  <c r="R177" i="19" s="1"/>
  <c r="BS25" i="22"/>
  <c r="BS61" i="22" s="1"/>
  <c r="S79" i="19"/>
  <c r="U79" i="19" s="1"/>
  <c r="E106" i="22"/>
  <c r="G106" i="22" s="1"/>
  <c r="H76" i="19"/>
  <c r="J76" i="19" s="1"/>
  <c r="S52" i="22"/>
  <c r="U52" i="22" s="1"/>
  <c r="S69" i="19"/>
  <c r="U69" i="19" s="1"/>
  <c r="P75" i="19"/>
  <c r="R75" i="19" s="1"/>
  <c r="V75" i="19" s="1"/>
  <c r="X75" i="19" s="1"/>
  <c r="H172" i="22"/>
  <c r="J172" i="22" s="1"/>
  <c r="P192" i="25"/>
  <c r="R192" i="25" s="1"/>
  <c r="E27" i="22"/>
  <c r="G27" i="22" s="1"/>
  <c r="H45" i="24"/>
  <c r="J45" i="24" s="1"/>
  <c r="P188" i="19"/>
  <c r="R188" i="19" s="1"/>
  <c r="P206" i="25"/>
  <c r="R206" i="25" s="1"/>
  <c r="E58" i="25"/>
  <c r="G58" i="25" s="1"/>
  <c r="P78" i="24"/>
  <c r="R78" i="24" s="1"/>
  <c r="P57" i="24"/>
  <c r="R57" i="24" s="1"/>
  <c r="H33" i="22"/>
  <c r="J33" i="22" s="1"/>
  <c r="H54" i="22"/>
  <c r="J54" i="22" s="1"/>
  <c r="P169" i="19"/>
  <c r="R169" i="19" s="1"/>
  <c r="E122" i="19"/>
  <c r="G122" i="19" s="1"/>
  <c r="P46" i="25"/>
  <c r="R46" i="25" s="1"/>
  <c r="P66" i="22"/>
  <c r="R66" i="22" s="1"/>
  <c r="V66" i="22" s="1"/>
  <c r="X66" i="22" s="1"/>
  <c r="S44" i="24"/>
  <c r="U44" i="24" s="1"/>
  <c r="E35" i="19"/>
  <c r="G35" i="19" s="1"/>
  <c r="S63" i="24"/>
  <c r="U63" i="24" s="1"/>
  <c r="E78" i="24"/>
  <c r="G78" i="24" s="1"/>
  <c r="P201" i="22"/>
  <c r="R201" i="22" s="1"/>
  <c r="P44" i="22"/>
  <c r="R44" i="22" s="1"/>
  <c r="E180" i="24"/>
  <c r="G180" i="24" s="1"/>
  <c r="H120" i="25"/>
  <c r="J120" i="25" s="1"/>
  <c r="H61" i="19"/>
  <c r="J61" i="19" s="1"/>
  <c r="P94" i="19"/>
  <c r="R94" i="19" s="1"/>
  <c r="P47" i="24"/>
  <c r="R47" i="24" s="1"/>
  <c r="S51" i="22"/>
  <c r="U51" i="22" s="1"/>
  <c r="P167" i="24"/>
  <c r="R167" i="24" s="1"/>
  <c r="P44" i="19"/>
  <c r="R44" i="19" s="1"/>
  <c r="S56" i="19"/>
  <c r="U56" i="19" s="1"/>
  <c r="P167" i="22"/>
  <c r="R167" i="22" s="1"/>
  <c r="H47" i="24"/>
  <c r="J47" i="24" s="1"/>
  <c r="P193" i="24"/>
  <c r="R193" i="24" s="1"/>
  <c r="H26" i="25"/>
  <c r="J26" i="25" s="1"/>
  <c r="E21" i="24"/>
  <c r="G21" i="24" s="1"/>
  <c r="P33" i="24"/>
  <c r="R33" i="24" s="1"/>
  <c r="H188" i="25"/>
  <c r="J188" i="25" s="1"/>
  <c r="H69" i="22"/>
  <c r="J69" i="22" s="1"/>
  <c r="P61" i="24"/>
  <c r="R61" i="24" s="1"/>
  <c r="P22" i="22"/>
  <c r="R22" i="22" s="1"/>
  <c r="H119" i="24"/>
  <c r="J119" i="24" s="1"/>
  <c r="S101" i="19"/>
  <c r="U101" i="19" s="1"/>
  <c r="H164" i="25"/>
  <c r="J164" i="25" s="1"/>
  <c r="S29" i="25"/>
  <c r="U29" i="25" s="1"/>
  <c r="S94" i="19"/>
  <c r="U94" i="19" s="1"/>
  <c r="P101" i="19"/>
  <c r="R101" i="19" s="1"/>
  <c r="BB25" i="24"/>
  <c r="E101" i="24"/>
  <c r="G101" i="24" s="1"/>
  <c r="H123" i="19"/>
  <c r="J123" i="19" s="1"/>
  <c r="E61" i="22"/>
  <c r="G61" i="22" s="1"/>
  <c r="S192" i="19"/>
  <c r="U192" i="19" s="1"/>
  <c r="E51" i="25"/>
  <c r="G51" i="25" s="1"/>
  <c r="P43" i="22"/>
  <c r="R43" i="22" s="1"/>
  <c r="S134" i="25"/>
  <c r="U134" i="25" s="1"/>
  <c r="P38" i="19"/>
  <c r="R38" i="19" s="1"/>
  <c r="H43" i="25"/>
  <c r="J43" i="25" s="1"/>
  <c r="E164" i="25"/>
  <c r="G164" i="25" s="1"/>
  <c r="K164" i="25" s="1"/>
  <c r="M164" i="25" s="1"/>
  <c r="H117" i="22"/>
  <c r="J117" i="22" s="1"/>
  <c r="P98" i="19"/>
  <c r="R98" i="19" s="1"/>
  <c r="H124" i="22"/>
  <c r="J124" i="22" s="1"/>
  <c r="P42" i="22"/>
  <c r="R42" i="22" s="1"/>
  <c r="E208" i="19"/>
  <c r="G208" i="19" s="1"/>
  <c r="S205" i="22"/>
  <c r="U205" i="22" s="1"/>
  <c r="P132" i="24"/>
  <c r="R132" i="24" s="1"/>
  <c r="P42" i="25"/>
  <c r="R42" i="25" s="1"/>
  <c r="P177" i="24"/>
  <c r="R177" i="24" s="1"/>
  <c r="H62" i="25"/>
  <c r="J62" i="25" s="1"/>
  <c r="S167" i="25"/>
  <c r="U167" i="25" s="1"/>
  <c r="S134" i="24"/>
  <c r="U134" i="24" s="1"/>
  <c r="P163" i="19"/>
  <c r="R163" i="19" s="1"/>
  <c r="E117" i="24"/>
  <c r="G117" i="24" s="1"/>
  <c r="E192" i="19"/>
  <c r="G192" i="19" s="1"/>
  <c r="S105" i="22"/>
  <c r="U105" i="22" s="1"/>
  <c r="E182" i="22"/>
  <c r="G182" i="22" s="1"/>
  <c r="H201" i="24"/>
  <c r="J201" i="24" s="1"/>
  <c r="E66" i="24"/>
  <c r="G66" i="24" s="1"/>
  <c r="BA13" i="22"/>
  <c r="P73" i="25"/>
  <c r="R73" i="25" s="1"/>
  <c r="S21" i="22"/>
  <c r="U21" i="22" s="1"/>
  <c r="H55" i="19"/>
  <c r="J55" i="19" s="1"/>
  <c r="S205" i="24"/>
  <c r="U205" i="24" s="1"/>
  <c r="E169" i="19"/>
  <c r="G169" i="19" s="1"/>
  <c r="K169" i="19" s="1"/>
  <c r="M169" i="19" s="1"/>
  <c r="P74" i="24"/>
  <c r="R74" i="24" s="1"/>
  <c r="P79" i="24"/>
  <c r="R79" i="24" s="1"/>
  <c r="H125" i="22"/>
  <c r="J125" i="22" s="1"/>
  <c r="H72" i="19"/>
  <c r="J72" i="19" s="1"/>
  <c r="K72" i="19" s="1"/>
  <c r="M72" i="19" s="1"/>
  <c r="G31" i="17" s="1"/>
  <c r="E118" i="22"/>
  <c r="G118" i="22" s="1"/>
  <c r="S21" i="24"/>
  <c r="U21" i="24" s="1"/>
  <c r="P103" i="25"/>
  <c r="R103" i="25" s="1"/>
  <c r="P27" i="22"/>
  <c r="R27" i="22" s="1"/>
  <c r="H187" i="19"/>
  <c r="J187" i="19" s="1"/>
  <c r="S28" i="24"/>
  <c r="U28" i="24" s="1"/>
  <c r="P191" i="25"/>
  <c r="R191" i="25" s="1"/>
  <c r="V191" i="25" s="1"/>
  <c r="X191" i="25" s="1"/>
  <c r="E72" i="22"/>
  <c r="G72" i="22" s="1"/>
  <c r="E19" i="25"/>
  <c r="G19" i="25" s="1"/>
  <c r="E69" i="22"/>
  <c r="G69" i="22" s="1"/>
  <c r="P76" i="24"/>
  <c r="R76" i="24" s="1"/>
  <c r="BV13" i="25"/>
  <c r="P69" i="25"/>
  <c r="R69" i="25" s="1"/>
  <c r="E57" i="25"/>
  <c r="G57" i="25" s="1"/>
  <c r="P103" i="19"/>
  <c r="R103" i="19" s="1"/>
  <c r="H202" i="25"/>
  <c r="J202" i="25" s="1"/>
  <c r="K202" i="25" s="1"/>
  <c r="M202" i="25" s="1"/>
  <c r="P55" i="22"/>
  <c r="R55" i="22" s="1"/>
  <c r="S133" i="24"/>
  <c r="U133" i="24" s="1"/>
  <c r="S64" i="25"/>
  <c r="U64" i="25" s="1"/>
  <c r="P191" i="24"/>
  <c r="R191" i="24" s="1"/>
  <c r="P38" i="25"/>
  <c r="R38" i="25" s="1"/>
  <c r="E30" i="25"/>
  <c r="G30" i="25" s="1"/>
  <c r="K30" i="25" s="1"/>
  <c r="M30" i="25" s="1"/>
  <c r="H72" i="22"/>
  <c r="J72" i="22" s="1"/>
  <c r="S44" i="22"/>
  <c r="U44" i="22" s="1"/>
  <c r="E102" i="19"/>
  <c r="G102" i="19" s="1"/>
  <c r="H100" i="22"/>
  <c r="J100" i="22" s="1"/>
  <c r="P55" i="24"/>
  <c r="R55" i="24" s="1"/>
  <c r="S66" i="24"/>
  <c r="U66" i="24" s="1"/>
  <c r="H181" i="19"/>
  <c r="J181" i="19" s="1"/>
  <c r="H29" i="22"/>
  <c r="J29" i="22" s="1"/>
  <c r="S187" i="19"/>
  <c r="U187" i="19" s="1"/>
  <c r="E100" i="24"/>
  <c r="G100" i="24" s="1"/>
  <c r="P76" i="22"/>
  <c r="R76" i="22" s="1"/>
  <c r="E106" i="25"/>
  <c r="G106" i="25" s="1"/>
  <c r="H97" i="24"/>
  <c r="J97" i="24" s="1"/>
  <c r="E172" i="22"/>
  <c r="G172" i="22" s="1"/>
  <c r="H55" i="24"/>
  <c r="J55" i="24" s="1"/>
  <c r="E118" i="19"/>
  <c r="G118" i="19" s="1"/>
  <c r="H101" i="19"/>
  <c r="J101" i="19" s="1"/>
  <c r="E173" i="25"/>
  <c r="G173" i="25" s="1"/>
  <c r="H106" i="25"/>
  <c r="J106" i="25" s="1"/>
  <c r="E66" i="19"/>
  <c r="G66" i="19" s="1"/>
  <c r="P37" i="25"/>
  <c r="R37" i="25" s="1"/>
  <c r="E105" i="24"/>
  <c r="G105" i="24" s="1"/>
  <c r="P57" i="19"/>
  <c r="R57" i="19" s="1"/>
  <c r="H61" i="24"/>
  <c r="J61" i="24" s="1"/>
  <c r="P45" i="19"/>
  <c r="R45" i="19" s="1"/>
  <c r="H98" i="25"/>
  <c r="J98" i="25" s="1"/>
  <c r="S187" i="22"/>
  <c r="U187" i="22" s="1"/>
  <c r="H167" i="25"/>
  <c r="J167" i="25" s="1"/>
  <c r="H33" i="25"/>
  <c r="J33" i="25" s="1"/>
  <c r="E173" i="19"/>
  <c r="G173" i="19" s="1"/>
  <c r="S45" i="22"/>
  <c r="U45" i="22" s="1"/>
  <c r="E164" i="22"/>
  <c r="G164" i="22" s="1"/>
  <c r="E21" i="25"/>
  <c r="G21" i="25" s="1"/>
  <c r="H79" i="24"/>
  <c r="J79" i="24" s="1"/>
  <c r="E100" i="22"/>
  <c r="G100" i="22" s="1"/>
  <c r="H168" i="24"/>
  <c r="J168" i="24" s="1"/>
  <c r="P64" i="22"/>
  <c r="R64" i="22" s="1"/>
  <c r="E201" i="19"/>
  <c r="G201" i="19" s="1"/>
  <c r="H93" i="25"/>
  <c r="J93" i="25" s="1"/>
  <c r="S104" i="25"/>
  <c r="U104" i="25" s="1"/>
  <c r="S181" i="25"/>
  <c r="U181" i="25" s="1"/>
  <c r="H104" i="19"/>
  <c r="J104" i="19" s="1"/>
  <c r="E58" i="22"/>
  <c r="G58" i="22" s="1"/>
  <c r="E193" i="22"/>
  <c r="G193" i="22" s="1"/>
  <c r="P58" i="25"/>
  <c r="R58" i="25" s="1"/>
  <c r="P52" i="19"/>
  <c r="R52" i="19" s="1"/>
  <c r="S43" i="25"/>
  <c r="U43" i="25" s="1"/>
  <c r="E117" i="19"/>
  <c r="G117" i="19" s="1"/>
  <c r="BU13" i="22"/>
  <c r="P47" i="22"/>
  <c r="R47" i="22" s="1"/>
  <c r="H191" i="24"/>
  <c r="J191" i="24" s="1"/>
  <c r="H92" i="19"/>
  <c r="J92" i="19" s="1"/>
  <c r="S130" i="24"/>
  <c r="U130" i="24" s="1"/>
  <c r="P26" i="24"/>
  <c r="R26" i="24" s="1"/>
  <c r="E63" i="19"/>
  <c r="G63" i="19" s="1"/>
  <c r="E53" i="19"/>
  <c r="G53" i="19" s="1"/>
  <c r="S169" i="24"/>
  <c r="U169" i="24" s="1"/>
  <c r="BA13" i="24"/>
  <c r="S93" i="24"/>
  <c r="U93" i="24" s="1"/>
  <c r="P53" i="24"/>
  <c r="R53" i="24" s="1"/>
  <c r="H168" i="25"/>
  <c r="J168" i="25" s="1"/>
  <c r="H62" i="19"/>
  <c r="J62" i="19" s="1"/>
  <c r="S30" i="24"/>
  <c r="U30" i="24" s="1"/>
  <c r="H180" i="19"/>
  <c r="J180" i="19" s="1"/>
  <c r="H206" i="24"/>
  <c r="J206" i="24" s="1"/>
  <c r="P97" i="19"/>
  <c r="R97" i="19" s="1"/>
  <c r="S54" i="25"/>
  <c r="U54" i="25" s="1"/>
  <c r="S56" i="24"/>
  <c r="U56" i="24" s="1"/>
  <c r="P183" i="19"/>
  <c r="R183" i="19" s="1"/>
  <c r="H38" i="22"/>
  <c r="J38" i="22" s="1"/>
  <c r="P75" i="25"/>
  <c r="R75" i="25" s="1"/>
  <c r="E27" i="25"/>
  <c r="G27" i="25" s="1"/>
  <c r="P44" i="25"/>
  <c r="R44" i="25" s="1"/>
  <c r="S45" i="19"/>
  <c r="U45" i="19" s="1"/>
  <c r="S36" i="25"/>
  <c r="U36" i="25" s="1"/>
  <c r="E33" i="22"/>
  <c r="G33" i="22" s="1"/>
  <c r="H121" i="25"/>
  <c r="J121" i="25" s="1"/>
  <c r="E118" i="24"/>
  <c r="G118" i="24" s="1"/>
  <c r="E106" i="24"/>
  <c r="G106" i="24" s="1"/>
  <c r="H68" i="22"/>
  <c r="J68" i="22" s="1"/>
  <c r="S104" i="24"/>
  <c r="U104" i="24" s="1"/>
  <c r="P133" i="25"/>
  <c r="R133" i="25" s="1"/>
  <c r="E77" i="22"/>
  <c r="G77" i="22" s="1"/>
  <c r="P106" i="24"/>
  <c r="R106" i="24" s="1"/>
  <c r="E38" i="19"/>
  <c r="G38" i="19" s="1"/>
  <c r="BV13" i="24"/>
  <c r="H46" i="24"/>
  <c r="J46" i="24" s="1"/>
  <c r="E27" i="24"/>
  <c r="G27" i="24" s="1"/>
  <c r="E57" i="19"/>
  <c r="G57" i="19" s="1"/>
  <c r="H65" i="19"/>
  <c r="J65" i="19" s="1"/>
  <c r="P46" i="19"/>
  <c r="R46" i="19" s="1"/>
  <c r="P177" i="25"/>
  <c r="R177" i="25" s="1"/>
  <c r="P183" i="22"/>
  <c r="R183" i="22" s="1"/>
  <c r="H46" i="25"/>
  <c r="J46" i="25" s="1"/>
  <c r="P134" i="24"/>
  <c r="R134" i="24" s="1"/>
  <c r="S176" i="19"/>
  <c r="U176" i="19" s="1"/>
  <c r="E64" i="19"/>
  <c r="G64" i="19" s="1"/>
  <c r="H168" i="19"/>
  <c r="J168" i="19" s="1"/>
  <c r="P68" i="25"/>
  <c r="R68" i="25" s="1"/>
  <c r="V68" i="25" s="1"/>
  <c r="X68" i="25" s="1"/>
  <c r="P187" i="22"/>
  <c r="R187" i="22" s="1"/>
  <c r="E169" i="24"/>
  <c r="G169" i="24" s="1"/>
  <c r="S69" i="22"/>
  <c r="U69" i="22" s="1"/>
  <c r="S22" i="22"/>
  <c r="U22" i="22" s="1"/>
  <c r="E55" i="22"/>
  <c r="G55" i="22" s="1"/>
  <c r="H69" i="25"/>
  <c r="J69" i="25" s="1"/>
  <c r="P62" i="24"/>
  <c r="R62" i="24" s="1"/>
  <c r="P99" i="19"/>
  <c r="R99" i="19" s="1"/>
  <c r="V99" i="19" s="1"/>
  <c r="X99" i="19" s="1"/>
  <c r="H23" i="24"/>
  <c r="J23" i="24" s="1"/>
  <c r="S201" i="19"/>
  <c r="U201" i="19" s="1"/>
  <c r="S129" i="24"/>
  <c r="U129" i="24" s="1"/>
  <c r="S193" i="19"/>
  <c r="U193" i="19" s="1"/>
  <c r="S74" i="24"/>
  <c r="U74" i="24" s="1"/>
  <c r="P130" i="19"/>
  <c r="R130" i="19" s="1"/>
  <c r="P168" i="19"/>
  <c r="R168" i="19" s="1"/>
  <c r="P134" i="25"/>
  <c r="R134" i="25" s="1"/>
  <c r="V134" i="25" s="1"/>
  <c r="X134" i="25" s="1"/>
  <c r="P100" i="25"/>
  <c r="R100" i="25" s="1"/>
  <c r="P28" i="24"/>
  <c r="R28" i="24" s="1"/>
  <c r="P22" i="25"/>
  <c r="R22" i="25" s="1"/>
  <c r="V22" i="25" s="1"/>
  <c r="X22" i="25" s="1"/>
  <c r="BA13" i="25"/>
  <c r="S77" i="25"/>
  <c r="U77" i="25" s="1"/>
  <c r="H193" i="24"/>
  <c r="J193" i="24" s="1"/>
  <c r="S186" i="22"/>
  <c r="U186" i="22" s="1"/>
  <c r="H69" i="19"/>
  <c r="J69" i="19" s="1"/>
  <c r="E122" i="22"/>
  <c r="G122" i="22" s="1"/>
  <c r="P69" i="19"/>
  <c r="R69" i="19" s="1"/>
  <c r="S98" i="24"/>
  <c r="U98" i="24" s="1"/>
  <c r="S177" i="24"/>
  <c r="U177" i="24" s="1"/>
  <c r="S104" i="22"/>
  <c r="U104" i="22" s="1"/>
  <c r="E130" i="24"/>
  <c r="G130" i="24" s="1"/>
  <c r="S101" i="22"/>
  <c r="U101" i="22" s="1"/>
  <c r="P164" i="24"/>
  <c r="R164" i="24" s="1"/>
  <c r="S53" i="24"/>
  <c r="U53" i="24" s="1"/>
  <c r="H47" i="25"/>
  <c r="J47" i="25" s="1"/>
  <c r="P72" i="25"/>
  <c r="R72" i="25" s="1"/>
  <c r="V72" i="25" s="1"/>
  <c r="X72" i="25" s="1"/>
  <c r="X31" i="17" s="1"/>
  <c r="S47" i="25"/>
  <c r="U47" i="25" s="1"/>
  <c r="P54" i="24"/>
  <c r="R54" i="24" s="1"/>
  <c r="H106" i="19"/>
  <c r="J106" i="19" s="1"/>
  <c r="S130" i="25"/>
  <c r="U130" i="25" s="1"/>
  <c r="H21" i="22"/>
  <c r="J21" i="22" s="1"/>
  <c r="P98" i="22"/>
  <c r="R98" i="22" s="1"/>
  <c r="BT25" i="19"/>
  <c r="E133" i="22"/>
  <c r="G133" i="22" s="1"/>
  <c r="H102" i="25"/>
  <c r="J102" i="25" s="1"/>
  <c r="P181" i="19"/>
  <c r="R181" i="19" s="1"/>
  <c r="P21" i="24"/>
  <c r="R21" i="24" s="1"/>
  <c r="H77" i="19"/>
  <c r="J77" i="19" s="1"/>
  <c r="S183" i="19"/>
  <c r="U183" i="19" s="1"/>
  <c r="P28" i="25"/>
  <c r="R28" i="25" s="1"/>
  <c r="E130" i="19"/>
  <c r="G130" i="19" s="1"/>
  <c r="H67" i="22"/>
  <c r="J67" i="22" s="1"/>
  <c r="P69" i="24"/>
  <c r="R69" i="24" s="1"/>
  <c r="BC25" i="19"/>
  <c r="P39" i="25"/>
  <c r="R39" i="25" s="1"/>
  <c r="H48" i="25"/>
  <c r="J48" i="25" s="1"/>
  <c r="P207" i="19"/>
  <c r="R207" i="19" s="1"/>
  <c r="H52" i="24"/>
  <c r="J52" i="24" s="1"/>
  <c r="P176" i="25"/>
  <c r="R176" i="25" s="1"/>
  <c r="S172" i="25"/>
  <c r="U172" i="25" s="1"/>
  <c r="S131" i="25"/>
  <c r="U131" i="25" s="1"/>
  <c r="S58" i="22"/>
  <c r="U58" i="22" s="1"/>
  <c r="P56" i="24"/>
  <c r="R56" i="24" s="1"/>
  <c r="P192" i="19"/>
  <c r="R192" i="19" s="1"/>
  <c r="S129" i="25"/>
  <c r="U129" i="25" s="1"/>
  <c r="H19" i="19"/>
  <c r="J19" i="19" s="1"/>
  <c r="K19" i="19" s="1"/>
  <c r="M19" i="19" s="1"/>
  <c r="H74" i="22"/>
  <c r="J74" i="22" s="1"/>
  <c r="E103" i="25"/>
  <c r="G103" i="25" s="1"/>
  <c r="H54" i="25"/>
  <c r="J54" i="25" s="1"/>
  <c r="P131" i="25"/>
  <c r="R131" i="25" s="1"/>
  <c r="H53" i="24"/>
  <c r="J53" i="24" s="1"/>
  <c r="E129" i="22"/>
  <c r="G129" i="22" s="1"/>
  <c r="H57" i="19"/>
  <c r="J57" i="19" s="1"/>
  <c r="P105" i="22"/>
  <c r="R105" i="22" s="1"/>
  <c r="H73" i="22"/>
  <c r="J73" i="22" s="1"/>
  <c r="H92" i="22"/>
  <c r="J92" i="22" s="1"/>
  <c r="P129" i="24"/>
  <c r="R129" i="24" s="1"/>
  <c r="S131" i="19"/>
  <c r="U131" i="19" s="1"/>
  <c r="BS25" i="19"/>
  <c r="BS52" i="19" s="1"/>
  <c r="H130" i="24"/>
  <c r="J130" i="24" s="1"/>
  <c r="E33" i="24"/>
  <c r="G33" i="24" s="1"/>
  <c r="H105" i="24"/>
  <c r="J105" i="24" s="1"/>
  <c r="P26" i="22"/>
  <c r="R26" i="22" s="1"/>
  <c r="E187" i="24"/>
  <c r="G187" i="24" s="1"/>
  <c r="H44" i="25"/>
  <c r="J44" i="25" s="1"/>
  <c r="H27" i="19"/>
  <c r="J27" i="19" s="1"/>
  <c r="S164" i="24"/>
  <c r="U164" i="24" s="1"/>
  <c r="S201" i="24"/>
  <c r="U201" i="24" s="1"/>
  <c r="S93" i="19"/>
  <c r="U93" i="19" s="1"/>
  <c r="H35" i="22"/>
  <c r="J35" i="22" s="1"/>
  <c r="E168" i="22"/>
  <c r="G168" i="22" s="1"/>
  <c r="K168" i="22" s="1"/>
  <c r="M168" i="22" s="1"/>
  <c r="P36" i="22"/>
  <c r="R36" i="22" s="1"/>
  <c r="H54" i="24"/>
  <c r="J54" i="24" s="1"/>
  <c r="P54" i="25"/>
  <c r="R54" i="25" s="1"/>
  <c r="H186" i="25"/>
  <c r="J186" i="25" s="1"/>
  <c r="P77" i="19"/>
  <c r="R77" i="19" s="1"/>
  <c r="P188" i="22"/>
  <c r="R188" i="22" s="1"/>
  <c r="H52" i="22"/>
  <c r="J52" i="22" s="1"/>
  <c r="S37" i="19"/>
  <c r="U37" i="19" s="1"/>
  <c r="H30" i="24"/>
  <c r="J30" i="24" s="1"/>
  <c r="E123" i="24"/>
  <c r="G123" i="24" s="1"/>
  <c r="P100" i="24"/>
  <c r="R100" i="24" s="1"/>
  <c r="E68" i="22"/>
  <c r="G68" i="22" s="1"/>
  <c r="H42" i="24"/>
  <c r="J42" i="24" s="1"/>
  <c r="H122" i="22"/>
  <c r="J122" i="22" s="1"/>
  <c r="S33" i="24"/>
  <c r="U33" i="24" s="1"/>
  <c r="S103" i="22"/>
  <c r="U103" i="22" s="1"/>
  <c r="E78" i="19"/>
  <c r="G78" i="19" s="1"/>
  <c r="E56" i="22"/>
  <c r="G56" i="22" s="1"/>
  <c r="H45" i="22"/>
  <c r="J45" i="22" s="1"/>
  <c r="P131" i="24"/>
  <c r="R131" i="24" s="1"/>
  <c r="E188" i="22"/>
  <c r="G188" i="22" s="1"/>
  <c r="P131" i="19"/>
  <c r="R131" i="19" s="1"/>
  <c r="E123" i="19"/>
  <c r="G123" i="19" s="1"/>
  <c r="E180" i="22"/>
  <c r="G180" i="22" s="1"/>
  <c r="E134" i="24"/>
  <c r="G134" i="24" s="1"/>
  <c r="E28" i="25"/>
  <c r="G28" i="25" s="1"/>
  <c r="E63" i="22"/>
  <c r="G63" i="22" s="1"/>
  <c r="S78" i="24"/>
  <c r="U78" i="24" s="1"/>
  <c r="S132" i="19"/>
  <c r="U132" i="19" s="1"/>
  <c r="P46" i="24"/>
  <c r="R46" i="24" s="1"/>
  <c r="E208" i="25"/>
  <c r="G208" i="25" s="1"/>
  <c r="H39" i="19"/>
  <c r="J39" i="19" s="1"/>
  <c r="P97" i="25"/>
  <c r="R97" i="25" s="1"/>
  <c r="H134" i="25"/>
  <c r="J134" i="25" s="1"/>
  <c r="H113" i="24"/>
  <c r="J113" i="24" s="1"/>
  <c r="H67" i="25"/>
  <c r="J67" i="25" s="1"/>
  <c r="E45" i="19"/>
  <c r="G45" i="19" s="1"/>
  <c r="H201" i="22"/>
  <c r="J201" i="22" s="1"/>
  <c r="E48" i="22"/>
  <c r="G48" i="22" s="1"/>
  <c r="S27" i="22"/>
  <c r="U27" i="22" s="1"/>
  <c r="E173" i="22"/>
  <c r="G173" i="22" s="1"/>
  <c r="P34" i="19"/>
  <c r="R34" i="19" s="1"/>
  <c r="S37" i="25"/>
  <c r="U37" i="25" s="1"/>
  <c r="H29" i="25"/>
  <c r="J29" i="25" s="1"/>
  <c r="S28" i="19"/>
  <c r="U28" i="19" s="1"/>
  <c r="P29" i="24"/>
  <c r="R29" i="24" s="1"/>
  <c r="E132" i="22"/>
  <c r="G132" i="22" s="1"/>
  <c r="H77" i="24"/>
  <c r="J77" i="24" s="1"/>
  <c r="S128" i="24"/>
  <c r="U128" i="24" s="1"/>
  <c r="P206" i="24"/>
  <c r="R206" i="24" s="1"/>
  <c r="P106" i="22"/>
  <c r="R106" i="22" s="1"/>
  <c r="P128" i="22"/>
  <c r="R128" i="22" s="1"/>
  <c r="H103" i="19"/>
  <c r="J103" i="19" s="1"/>
  <c r="P20" i="22"/>
  <c r="R20" i="22" s="1"/>
  <c r="H192" i="25"/>
  <c r="J192" i="25" s="1"/>
  <c r="P29" i="25"/>
  <c r="R29" i="25" s="1"/>
  <c r="E56" i="25"/>
  <c r="G56" i="25" s="1"/>
  <c r="S99" i="24"/>
  <c r="U99" i="24" s="1"/>
  <c r="BC25" i="24"/>
  <c r="E92" i="25"/>
  <c r="G92" i="25" s="1"/>
  <c r="H20" i="19"/>
  <c r="J20" i="19" s="1"/>
  <c r="S182" i="19"/>
  <c r="U182" i="19" s="1"/>
  <c r="H52" i="25"/>
  <c r="J52" i="25" s="1"/>
  <c r="S97" i="19"/>
  <c r="U97" i="19" s="1"/>
  <c r="E22" i="25"/>
  <c r="G22" i="25" s="1"/>
  <c r="E191" i="24"/>
  <c r="G191" i="24" s="1"/>
  <c r="P205" i="24"/>
  <c r="R205" i="24" s="1"/>
  <c r="E206" i="25"/>
  <c r="G206" i="25" s="1"/>
  <c r="H79" i="19"/>
  <c r="J79" i="19" s="1"/>
  <c r="K79" i="19" s="1"/>
  <c r="M79" i="19" s="1"/>
  <c r="E99" i="25"/>
  <c r="G99" i="25" s="1"/>
  <c r="S64" i="24"/>
  <c r="U64" i="24" s="1"/>
  <c r="E36" i="22"/>
  <c r="G36" i="22" s="1"/>
  <c r="E169" i="22"/>
  <c r="G169" i="22" s="1"/>
  <c r="P77" i="25"/>
  <c r="R77" i="25" s="1"/>
  <c r="H45" i="25"/>
  <c r="J45" i="25" s="1"/>
  <c r="BA25" i="22"/>
  <c r="BA61" i="22" s="1"/>
  <c r="H163" i="24"/>
  <c r="J163" i="24" s="1"/>
  <c r="E22" i="24"/>
  <c r="G22" i="24" s="1"/>
  <c r="S73" i="19"/>
  <c r="U73" i="19" s="1"/>
  <c r="S75" i="19"/>
  <c r="U75" i="19" s="1"/>
  <c r="E92" i="22"/>
  <c r="G92" i="22" s="1"/>
  <c r="E45" i="22"/>
  <c r="G45" i="22" s="1"/>
  <c r="E122" i="25"/>
  <c r="G122" i="25" s="1"/>
  <c r="E29" i="25"/>
  <c r="G29" i="25" s="1"/>
  <c r="P63" i="22"/>
  <c r="R63" i="22" s="1"/>
  <c r="P129" i="25"/>
  <c r="R129" i="25" s="1"/>
  <c r="E73" i="19"/>
  <c r="G73" i="19" s="1"/>
  <c r="P27" i="19"/>
  <c r="R27" i="19" s="1"/>
  <c r="S27" i="24"/>
  <c r="U27" i="24" s="1"/>
  <c r="S74" i="19"/>
  <c r="U74" i="19" s="1"/>
  <c r="H36" i="19"/>
  <c r="J36" i="19" s="1"/>
  <c r="E43" i="22"/>
  <c r="G43" i="22" s="1"/>
  <c r="P67" i="24"/>
  <c r="R67" i="24" s="1"/>
  <c r="E192" i="25"/>
  <c r="G192" i="25" s="1"/>
  <c r="S191" i="19"/>
  <c r="U191" i="19" s="1"/>
  <c r="P206" i="22"/>
  <c r="R206" i="22" s="1"/>
  <c r="S65" i="22"/>
  <c r="U65" i="22" s="1"/>
  <c r="P28" i="22"/>
  <c r="R28" i="22" s="1"/>
  <c r="H58" i="22"/>
  <c r="J58" i="22" s="1"/>
  <c r="S106" i="24"/>
  <c r="U106" i="24" s="1"/>
  <c r="H68" i="19"/>
  <c r="J68" i="19" s="1"/>
  <c r="S188" i="25"/>
  <c r="U188" i="25" s="1"/>
  <c r="S33" i="19"/>
  <c r="U33" i="19" s="1"/>
  <c r="BC13" i="24"/>
  <c r="S168" i="24"/>
  <c r="U168" i="24" s="1"/>
  <c r="S180" i="25"/>
  <c r="U180" i="25" s="1"/>
  <c r="E74" i="22"/>
  <c r="G74" i="22" s="1"/>
  <c r="S19" i="22"/>
  <c r="U19" i="22" s="1"/>
  <c r="P191" i="22"/>
  <c r="R191" i="22" s="1"/>
  <c r="S168" i="19"/>
  <c r="U168" i="19" s="1"/>
  <c r="S38" i="25"/>
  <c r="U38" i="25" s="1"/>
  <c r="S186" i="25"/>
  <c r="U186" i="25" s="1"/>
  <c r="S99" i="22"/>
  <c r="U99" i="22" s="1"/>
  <c r="E134" i="19"/>
  <c r="G134" i="19" s="1"/>
  <c r="H176" i="25"/>
  <c r="J176" i="25" s="1"/>
  <c r="H46" i="19"/>
  <c r="J46" i="19" s="1"/>
  <c r="S61" i="25"/>
  <c r="U61" i="25" s="1"/>
  <c r="S55" i="24"/>
  <c r="U55" i="24" s="1"/>
  <c r="H68" i="24"/>
  <c r="J68" i="24" s="1"/>
  <c r="S20" i="25"/>
  <c r="U20" i="25" s="1"/>
  <c r="S134" i="19"/>
  <c r="U134" i="19" s="1"/>
  <c r="P79" i="19"/>
  <c r="R79" i="19" s="1"/>
  <c r="E181" i="19"/>
  <c r="G181" i="19" s="1"/>
  <c r="S63" i="19"/>
  <c r="U63" i="19" s="1"/>
  <c r="P205" i="19"/>
  <c r="R205" i="19" s="1"/>
  <c r="V205" i="19" s="1"/>
  <c r="X205" i="19" s="1"/>
  <c r="H94" i="24"/>
  <c r="J94" i="24" s="1"/>
  <c r="H21" i="25"/>
  <c r="J21" i="25" s="1"/>
  <c r="S77" i="22"/>
  <c r="U77" i="22" s="1"/>
  <c r="P187" i="25"/>
  <c r="R187" i="25" s="1"/>
  <c r="P63" i="24"/>
  <c r="R63" i="24" s="1"/>
  <c r="E64" i="22"/>
  <c r="G64" i="22" s="1"/>
  <c r="H56" i="22"/>
  <c r="J56" i="22" s="1"/>
  <c r="S73" i="25"/>
  <c r="U73" i="25" s="1"/>
  <c r="H74" i="19"/>
  <c r="J74" i="19" s="1"/>
  <c r="E54" i="22"/>
  <c r="G54" i="22" s="1"/>
  <c r="E36" i="19"/>
  <c r="G36" i="19" s="1"/>
  <c r="K36" i="19" s="1"/>
  <c r="M36" i="19" s="1"/>
  <c r="E131" i="24"/>
  <c r="G131" i="24" s="1"/>
  <c r="S163" i="22"/>
  <c r="U163" i="22" s="1"/>
  <c r="S172" i="22"/>
  <c r="U172" i="22" s="1"/>
  <c r="S72" i="24"/>
  <c r="U72" i="24" s="1"/>
  <c r="E130" i="25"/>
  <c r="G130" i="25" s="1"/>
  <c r="S128" i="25"/>
  <c r="U128" i="25" s="1"/>
  <c r="S164" i="25"/>
  <c r="U164" i="25" s="1"/>
  <c r="S98" i="22"/>
  <c r="U98" i="22" s="1"/>
  <c r="P92" i="25"/>
  <c r="R92" i="25" s="1"/>
  <c r="P67" i="22"/>
  <c r="R67" i="22" s="1"/>
  <c r="H131" i="24"/>
  <c r="J131" i="24" s="1"/>
  <c r="E48" i="25"/>
  <c r="G48" i="25" s="1"/>
  <c r="K48" i="25" s="1"/>
  <c r="M48" i="25" s="1"/>
  <c r="E26" i="24"/>
  <c r="G26" i="24" s="1"/>
  <c r="H19" i="22"/>
  <c r="J19" i="22" s="1"/>
  <c r="P186" i="22"/>
  <c r="R186" i="22" s="1"/>
  <c r="S35" i="19"/>
  <c r="U35" i="19" s="1"/>
  <c r="BV25" i="24"/>
  <c r="S187" i="24"/>
  <c r="U187" i="24" s="1"/>
  <c r="P163" i="24"/>
  <c r="R163" i="24" s="1"/>
  <c r="H64" i="19"/>
  <c r="J64" i="19" s="1"/>
  <c r="E163" i="22"/>
  <c r="G163" i="22" s="1"/>
  <c r="S45" i="25"/>
  <c r="U45" i="25" s="1"/>
  <c r="H102" i="22"/>
  <c r="J102" i="22" s="1"/>
  <c r="P58" i="22"/>
  <c r="R58" i="22" s="1"/>
  <c r="E113" i="25"/>
  <c r="G113" i="25" s="1"/>
  <c r="E61" i="19"/>
  <c r="G61" i="19" s="1"/>
  <c r="S191" i="22"/>
  <c r="U191" i="22" s="1"/>
  <c r="S72" i="22"/>
  <c r="U72" i="22" s="1"/>
  <c r="S52" i="25"/>
  <c r="U52" i="25" s="1"/>
  <c r="H134" i="24"/>
  <c r="J134" i="24" s="1"/>
  <c r="P201" i="24"/>
  <c r="R201" i="24" s="1"/>
  <c r="P39" i="24"/>
  <c r="R39" i="24" s="1"/>
  <c r="P26" i="25"/>
  <c r="R26" i="25" s="1"/>
  <c r="BT13" i="24"/>
  <c r="P78" i="19"/>
  <c r="R78" i="19" s="1"/>
  <c r="H51" i="19"/>
  <c r="J51" i="19" s="1"/>
  <c r="E187" i="22"/>
  <c r="G187" i="22" s="1"/>
  <c r="E104" i="25"/>
  <c r="G104" i="25" s="1"/>
  <c r="S38" i="19"/>
  <c r="U38" i="19" s="1"/>
  <c r="S172" i="19"/>
  <c r="U172" i="19" s="1"/>
  <c r="BU13" i="24"/>
  <c r="BU96" i="24" s="1"/>
  <c r="P29" i="22"/>
  <c r="R29" i="22" s="1"/>
  <c r="S100" i="22"/>
  <c r="U100" i="22" s="1"/>
  <c r="S129" i="19"/>
  <c r="U129" i="19" s="1"/>
  <c r="S36" i="22"/>
  <c r="U36" i="22" s="1"/>
  <c r="H192" i="19"/>
  <c r="J192" i="19" s="1"/>
  <c r="H187" i="25"/>
  <c r="J187" i="25" s="1"/>
  <c r="K187" i="25" s="1"/>
  <c r="M187" i="25" s="1"/>
  <c r="H61" i="25"/>
  <c r="J61" i="25" s="1"/>
  <c r="S181" i="24"/>
  <c r="U181" i="24" s="1"/>
  <c r="P43" i="25"/>
  <c r="R43" i="25" s="1"/>
  <c r="E187" i="19"/>
  <c r="G187" i="19" s="1"/>
  <c r="S130" i="19"/>
  <c r="U130" i="19" s="1"/>
  <c r="BB25" i="22"/>
  <c r="E208" i="24"/>
  <c r="G208" i="24" s="1"/>
  <c r="P55" i="19"/>
  <c r="R55" i="19" s="1"/>
  <c r="E168" i="24"/>
  <c r="G168" i="24" s="1"/>
  <c r="E76" i="22"/>
  <c r="G76" i="22" s="1"/>
  <c r="E104" i="22"/>
  <c r="G104" i="22" s="1"/>
  <c r="H53" i="19"/>
  <c r="J53" i="19" s="1"/>
  <c r="E103" i="22"/>
  <c r="G103" i="22" s="1"/>
  <c r="H183" i="24"/>
  <c r="J183" i="24" s="1"/>
  <c r="H21" i="19"/>
  <c r="J21" i="19" s="1"/>
  <c r="P46" i="22"/>
  <c r="R46" i="22" s="1"/>
  <c r="E57" i="22"/>
  <c r="G57" i="22" s="1"/>
  <c r="H208" i="19"/>
  <c r="J208" i="19" s="1"/>
  <c r="H93" i="22"/>
  <c r="J93" i="22" s="1"/>
  <c r="BB25" i="19"/>
  <c r="H105" i="22"/>
  <c r="J105" i="22" s="1"/>
  <c r="E29" i="22"/>
  <c r="G29" i="22" s="1"/>
  <c r="E79" i="22"/>
  <c r="G79" i="22" s="1"/>
  <c r="BC25" i="22"/>
  <c r="E133" i="25"/>
  <c r="G133" i="25" s="1"/>
  <c r="H23" i="19"/>
  <c r="J23" i="19" s="1"/>
  <c r="P35" i="25"/>
  <c r="R35" i="25" s="1"/>
  <c r="V35" i="25" s="1"/>
  <c r="X35" i="25" s="1"/>
  <c r="E129" i="19"/>
  <c r="G129" i="19" s="1"/>
  <c r="K129" i="19" s="1"/>
  <c r="M129" i="19" s="1"/>
  <c r="G58" i="17" s="1"/>
  <c r="S94" i="25"/>
  <c r="U94" i="25" s="1"/>
  <c r="S188" i="22"/>
  <c r="U188" i="22" s="1"/>
  <c r="P57" i="22"/>
  <c r="R57" i="22" s="1"/>
  <c r="P21" i="22"/>
  <c r="R21" i="22" s="1"/>
  <c r="E201" i="22"/>
  <c r="G201" i="22" s="1"/>
  <c r="H206" i="25"/>
  <c r="J206" i="25" s="1"/>
  <c r="P129" i="22"/>
  <c r="R129" i="22" s="1"/>
  <c r="V129" i="22" s="1"/>
  <c r="X129" i="22" s="1"/>
  <c r="N58" i="17" s="1"/>
  <c r="E39" i="19"/>
  <c r="G39" i="19" s="1"/>
  <c r="E191" i="22"/>
  <c r="G191" i="22" s="1"/>
  <c r="H78" i="22"/>
  <c r="J78" i="22" s="1"/>
  <c r="E207" i="19"/>
  <c r="G207" i="19" s="1"/>
  <c r="E186" i="22"/>
  <c r="G186" i="22" s="1"/>
  <c r="H113" i="22"/>
  <c r="J113" i="22" s="1"/>
  <c r="E121" i="24"/>
  <c r="G121" i="24" s="1"/>
  <c r="E64" i="24"/>
  <c r="G64" i="24" s="1"/>
  <c r="S56" i="22"/>
  <c r="U56" i="22" s="1"/>
  <c r="S58" i="19"/>
  <c r="U58" i="19" s="1"/>
  <c r="E131" i="22"/>
  <c r="G131" i="22" s="1"/>
  <c r="S77" i="19"/>
  <c r="U77" i="19" s="1"/>
  <c r="E191" i="19"/>
  <c r="G191" i="19" s="1"/>
  <c r="S36" i="19"/>
  <c r="U36" i="19" s="1"/>
  <c r="P73" i="24"/>
  <c r="R73" i="24" s="1"/>
  <c r="S27" i="19"/>
  <c r="U27" i="19" s="1"/>
  <c r="H100" i="19"/>
  <c r="J100" i="19" s="1"/>
  <c r="S21" i="25"/>
  <c r="U21" i="25" s="1"/>
  <c r="BB13" i="19"/>
  <c r="BB27" i="19" s="1"/>
  <c r="P48" i="24"/>
  <c r="R48" i="24" s="1"/>
  <c r="H97" i="22"/>
  <c r="J97" i="22" s="1"/>
  <c r="E55" i="24"/>
  <c r="G55" i="24" s="1"/>
  <c r="S169" i="25"/>
  <c r="U169" i="25" s="1"/>
  <c r="S20" i="19"/>
  <c r="U20" i="19" s="1"/>
  <c r="E28" i="22"/>
  <c r="G28" i="22" s="1"/>
  <c r="S186" i="19"/>
  <c r="U186" i="19" s="1"/>
  <c r="E26" i="19"/>
  <c r="G26" i="19" s="1"/>
  <c r="P61" i="22"/>
  <c r="R61" i="22" s="1"/>
  <c r="H208" i="25"/>
  <c r="J208" i="25" s="1"/>
  <c r="P182" i="25"/>
  <c r="R182" i="25" s="1"/>
  <c r="E34" i="24"/>
  <c r="G34" i="24" s="1"/>
  <c r="P172" i="19"/>
  <c r="R172" i="19" s="1"/>
  <c r="S33" i="25"/>
  <c r="U33" i="25" s="1"/>
  <c r="E75" i="19"/>
  <c r="G75" i="19" s="1"/>
  <c r="P30" i="24"/>
  <c r="R30" i="24" s="1"/>
  <c r="S48" i="24"/>
  <c r="U48" i="24" s="1"/>
  <c r="S131" i="22"/>
  <c r="U131" i="22" s="1"/>
  <c r="E46" i="24"/>
  <c r="G46" i="24" s="1"/>
  <c r="E183" i="22"/>
  <c r="G183" i="22" s="1"/>
  <c r="S101" i="24"/>
  <c r="U101" i="24" s="1"/>
  <c r="H208" i="22"/>
  <c r="J208" i="22" s="1"/>
  <c r="P74" i="25"/>
  <c r="R74" i="25" s="1"/>
  <c r="BT25" i="25"/>
  <c r="BT30" i="25" s="1"/>
  <c r="S79" i="24"/>
  <c r="U79" i="24" s="1"/>
  <c r="H35" i="25"/>
  <c r="J35" i="25" s="1"/>
  <c r="P27" i="25"/>
  <c r="R27" i="25" s="1"/>
  <c r="H38" i="25"/>
  <c r="J38" i="25" s="1"/>
  <c r="S132" i="24"/>
  <c r="U132" i="24" s="1"/>
  <c r="S51" i="24"/>
  <c r="U51" i="24" s="1"/>
  <c r="P202" i="19"/>
  <c r="R202" i="19" s="1"/>
  <c r="H169" i="19"/>
  <c r="J169" i="19" s="1"/>
  <c r="H44" i="19"/>
  <c r="J44" i="19" s="1"/>
  <c r="H182" i="24"/>
  <c r="J182" i="24" s="1"/>
  <c r="H187" i="24"/>
  <c r="J187" i="24" s="1"/>
  <c r="S29" i="24"/>
  <c r="U29" i="24" s="1"/>
  <c r="H180" i="22"/>
  <c r="J180" i="22" s="1"/>
  <c r="S27" i="25"/>
  <c r="U27" i="25" s="1"/>
  <c r="S43" i="22"/>
  <c r="U43" i="22" s="1"/>
  <c r="E53" i="22"/>
  <c r="G53" i="22" s="1"/>
  <c r="H112" i="22"/>
  <c r="J112" i="22" s="1"/>
  <c r="E62" i="19"/>
  <c r="G62" i="19" s="1"/>
  <c r="H181" i="22"/>
  <c r="J181" i="22" s="1"/>
  <c r="E28" i="24"/>
  <c r="G28" i="24" s="1"/>
  <c r="P27" i="24"/>
  <c r="R27" i="24" s="1"/>
  <c r="E105" i="19"/>
  <c r="G105" i="19" s="1"/>
  <c r="S92" i="22"/>
  <c r="U92" i="22" s="1"/>
  <c r="P130" i="25"/>
  <c r="R130" i="25" s="1"/>
  <c r="P54" i="19"/>
  <c r="R54" i="19" s="1"/>
  <c r="H64" i="22"/>
  <c r="J64" i="22" s="1"/>
  <c r="S205" i="25"/>
  <c r="U205" i="25" s="1"/>
  <c r="S30" i="19"/>
  <c r="U30" i="19" s="1"/>
  <c r="H98" i="24"/>
  <c r="J98" i="24" s="1"/>
  <c r="S131" i="24"/>
  <c r="U131" i="24" s="1"/>
  <c r="E47" i="25"/>
  <c r="G47" i="25" s="1"/>
  <c r="S102" i="25"/>
  <c r="U102" i="25" s="1"/>
  <c r="E124" i="24"/>
  <c r="G124" i="24" s="1"/>
  <c r="H69" i="24"/>
  <c r="J69" i="24" s="1"/>
  <c r="H20" i="25"/>
  <c r="J20" i="25" s="1"/>
  <c r="E67" i="24"/>
  <c r="G67" i="24" s="1"/>
  <c r="E65" i="19"/>
  <c r="G65" i="19" s="1"/>
  <c r="E168" i="25"/>
  <c r="G168" i="25" s="1"/>
  <c r="S67" i="19"/>
  <c r="U67" i="19" s="1"/>
  <c r="H129" i="22"/>
  <c r="J129" i="22" s="1"/>
  <c r="S26" i="25"/>
  <c r="U26" i="25" s="1"/>
  <c r="S191" i="24"/>
  <c r="U191" i="24" s="1"/>
  <c r="H46" i="22"/>
  <c r="J46" i="22" s="1"/>
  <c r="S48" i="22"/>
  <c r="U48" i="22" s="1"/>
  <c r="H167" i="22"/>
  <c r="J167" i="22" s="1"/>
  <c r="E132" i="25"/>
  <c r="G132" i="25" s="1"/>
  <c r="P69" i="22"/>
  <c r="R69" i="22" s="1"/>
  <c r="E66" i="22"/>
  <c r="G66" i="22" s="1"/>
  <c r="P193" i="22"/>
  <c r="R193" i="22" s="1"/>
  <c r="P55" i="25"/>
  <c r="R55" i="25" s="1"/>
  <c r="S69" i="24"/>
  <c r="U69" i="24" s="1"/>
  <c r="E28" i="19"/>
  <c r="G28" i="19" s="1"/>
  <c r="S65" i="19"/>
  <c r="U65" i="19" s="1"/>
  <c r="E125" i="19"/>
  <c r="G125" i="19" s="1"/>
  <c r="E124" i="19"/>
  <c r="G124" i="19" s="1"/>
  <c r="E62" i="22"/>
  <c r="G62" i="22" s="1"/>
  <c r="H193" i="25"/>
  <c r="J193" i="25" s="1"/>
  <c r="P23" i="22"/>
  <c r="R23" i="22" s="1"/>
  <c r="BA25" i="25"/>
  <c r="H48" i="24"/>
  <c r="J48" i="24" s="1"/>
  <c r="H99" i="19"/>
  <c r="J99" i="19" s="1"/>
  <c r="S23" i="19"/>
  <c r="U23" i="19" s="1"/>
  <c r="P65" i="25"/>
  <c r="R65" i="25" s="1"/>
  <c r="S23" i="22"/>
  <c r="U23" i="22" s="1"/>
  <c r="E186" i="25"/>
  <c r="G186" i="25" s="1"/>
  <c r="E205" i="24"/>
  <c r="G205" i="24" s="1"/>
  <c r="P104" i="19"/>
  <c r="R104" i="19" s="1"/>
  <c r="H66" i="24"/>
  <c r="J66" i="24" s="1"/>
  <c r="S79" i="22"/>
  <c r="U79" i="22" s="1"/>
  <c r="H118" i="25"/>
  <c r="J118" i="25" s="1"/>
  <c r="S183" i="22"/>
  <c r="U183" i="22" s="1"/>
  <c r="H44" i="22"/>
  <c r="J44" i="22" s="1"/>
  <c r="E43" i="24"/>
  <c r="G43" i="24" s="1"/>
  <c r="E183" i="24"/>
  <c r="G183" i="24" s="1"/>
  <c r="S52" i="19"/>
  <c r="U52" i="19" s="1"/>
  <c r="S37" i="24"/>
  <c r="U37" i="24" s="1"/>
  <c r="S36" i="24"/>
  <c r="U36" i="24" s="1"/>
  <c r="S100" i="25"/>
  <c r="U100" i="25" s="1"/>
  <c r="E74" i="25"/>
  <c r="G74" i="25" s="1"/>
  <c r="S39" i="25"/>
  <c r="U39" i="25" s="1"/>
  <c r="E116" i="24"/>
  <c r="G116" i="24" s="1"/>
  <c r="P53" i="25"/>
  <c r="R53" i="25" s="1"/>
  <c r="S19" i="24"/>
  <c r="U19" i="24" s="1"/>
  <c r="P169" i="22"/>
  <c r="R169" i="22" s="1"/>
  <c r="H37" i="24"/>
  <c r="J37" i="24" s="1"/>
  <c r="H93" i="24"/>
  <c r="J93" i="24" s="1"/>
  <c r="P52" i="25"/>
  <c r="R52" i="25" s="1"/>
  <c r="H33" i="24"/>
  <c r="J33" i="24" s="1"/>
  <c r="E94" i="22"/>
  <c r="G94" i="22" s="1"/>
  <c r="S206" i="24"/>
  <c r="U206" i="24" s="1"/>
  <c r="H28" i="25"/>
  <c r="J28" i="25" s="1"/>
  <c r="P58" i="24"/>
  <c r="R58" i="24" s="1"/>
  <c r="E55" i="25"/>
  <c r="G55" i="25" s="1"/>
  <c r="H99" i="25"/>
  <c r="J99" i="25" s="1"/>
  <c r="H36" i="24"/>
  <c r="J36" i="24" s="1"/>
  <c r="P207" i="24"/>
  <c r="R207" i="24" s="1"/>
  <c r="H65" i="24"/>
  <c r="J65" i="24" s="1"/>
  <c r="H123" i="24"/>
  <c r="J123" i="24" s="1"/>
  <c r="H93" i="19"/>
  <c r="J93" i="19" s="1"/>
  <c r="K93" i="19" s="1"/>
  <c r="M93" i="19" s="1"/>
  <c r="E48" i="24"/>
  <c r="G48" i="24" s="1"/>
  <c r="P64" i="19"/>
  <c r="R64" i="19" s="1"/>
  <c r="H100" i="24"/>
  <c r="J100" i="24" s="1"/>
  <c r="H98" i="19"/>
  <c r="J98" i="19" s="1"/>
  <c r="E33" i="25"/>
  <c r="G33" i="25" s="1"/>
  <c r="H105" i="19"/>
  <c r="J105" i="19" s="1"/>
  <c r="E128" i="22"/>
  <c r="G128" i="22" s="1"/>
  <c r="E22" i="22"/>
  <c r="G22" i="22" s="1"/>
  <c r="E77" i="25"/>
  <c r="G77" i="25" s="1"/>
  <c r="E177" i="24"/>
  <c r="G177" i="24" s="1"/>
  <c r="E202" i="19"/>
  <c r="G202" i="19" s="1"/>
  <c r="H120" i="19"/>
  <c r="J120" i="19" s="1"/>
  <c r="P93" i="25"/>
  <c r="R93" i="25" s="1"/>
  <c r="H28" i="24"/>
  <c r="J28" i="24" s="1"/>
  <c r="P104" i="22"/>
  <c r="R104" i="22" s="1"/>
  <c r="P73" i="22"/>
  <c r="R73" i="22" s="1"/>
  <c r="S73" i="24"/>
  <c r="U73" i="24" s="1"/>
  <c r="S57" i="24"/>
  <c r="U57" i="24" s="1"/>
  <c r="P168" i="24"/>
  <c r="R168" i="24" s="1"/>
  <c r="S105" i="24"/>
  <c r="U105" i="24" s="1"/>
  <c r="P93" i="19"/>
  <c r="R93" i="19" s="1"/>
  <c r="S105" i="25"/>
  <c r="U105" i="25" s="1"/>
  <c r="P45" i="24"/>
  <c r="R45" i="24" s="1"/>
  <c r="E62" i="25"/>
  <c r="G62" i="25" s="1"/>
  <c r="S102" i="24"/>
  <c r="U102" i="24" s="1"/>
  <c r="P188" i="24"/>
  <c r="R188" i="24" s="1"/>
  <c r="E180" i="19"/>
  <c r="G180" i="19" s="1"/>
  <c r="P105" i="25"/>
  <c r="R105" i="25" s="1"/>
  <c r="P76" i="19"/>
  <c r="R76" i="19" s="1"/>
  <c r="S168" i="25"/>
  <c r="U168" i="25" s="1"/>
  <c r="S72" i="19"/>
  <c r="U72" i="19" s="1"/>
  <c r="P181" i="25"/>
  <c r="R181" i="25" s="1"/>
  <c r="S173" i="24"/>
  <c r="U173" i="24" s="1"/>
  <c r="E191" i="25"/>
  <c r="G191" i="25" s="1"/>
  <c r="E120" i="19"/>
  <c r="G120" i="19" s="1"/>
  <c r="H37" i="22"/>
  <c r="J37" i="22" s="1"/>
  <c r="P28" i="19"/>
  <c r="R28" i="19" s="1"/>
  <c r="H61" i="22"/>
  <c r="J61" i="22" s="1"/>
  <c r="S38" i="24"/>
  <c r="U38" i="24" s="1"/>
  <c r="E207" i="22"/>
  <c r="G207" i="22" s="1"/>
  <c r="P66" i="19"/>
  <c r="R66" i="19" s="1"/>
  <c r="P64" i="25"/>
  <c r="R64" i="25" s="1"/>
  <c r="P103" i="22"/>
  <c r="R103" i="22" s="1"/>
  <c r="P42" i="24"/>
  <c r="R42" i="24" s="1"/>
  <c r="S99" i="25"/>
  <c r="U99" i="25" s="1"/>
  <c r="H182" i="22"/>
  <c r="J182" i="22" s="1"/>
  <c r="H45" i="19"/>
  <c r="J45" i="19" s="1"/>
  <c r="P68" i="24"/>
  <c r="R68" i="24" s="1"/>
  <c r="E44" i="25"/>
  <c r="G44" i="25" s="1"/>
  <c r="BT25" i="24"/>
  <c r="BT94" i="24" s="1"/>
  <c r="H119" i="25"/>
  <c r="J119" i="25" s="1"/>
  <c r="S201" i="22"/>
  <c r="U201" i="22" s="1"/>
  <c r="H163" i="19"/>
  <c r="J163" i="19" s="1"/>
  <c r="E23" i="24"/>
  <c r="G23" i="24" s="1"/>
  <c r="E112" i="19"/>
  <c r="G112" i="19" s="1"/>
  <c r="K112" i="19" s="1"/>
  <c r="M112" i="19" s="1"/>
  <c r="G71" i="17" s="1"/>
  <c r="S186" i="24"/>
  <c r="U186" i="24" s="1"/>
  <c r="E22" i="19"/>
  <c r="G22" i="19" s="1"/>
  <c r="E100" i="19"/>
  <c r="G100" i="19" s="1"/>
  <c r="H43" i="24"/>
  <c r="J43" i="24" s="1"/>
  <c r="S130" i="22"/>
  <c r="U130" i="22" s="1"/>
  <c r="E131" i="19"/>
  <c r="G131" i="19" s="1"/>
  <c r="E106" i="19"/>
  <c r="G106" i="19" s="1"/>
  <c r="H132" i="24"/>
  <c r="J132" i="24" s="1"/>
  <c r="E74" i="19"/>
  <c r="G74" i="19" s="1"/>
  <c r="P33" i="19"/>
  <c r="R33" i="19" s="1"/>
  <c r="P62" i="25"/>
  <c r="R62" i="25" s="1"/>
  <c r="E30" i="22"/>
  <c r="G30" i="22" s="1"/>
  <c r="H97" i="19"/>
  <c r="J97" i="19" s="1"/>
  <c r="E56" i="19"/>
  <c r="G56" i="19" s="1"/>
  <c r="S78" i="19"/>
  <c r="U78" i="19" s="1"/>
  <c r="E44" i="24"/>
  <c r="G44" i="24" s="1"/>
  <c r="E68" i="24"/>
  <c r="G68" i="24" s="1"/>
  <c r="H177" i="25"/>
  <c r="J177" i="25" s="1"/>
  <c r="S33" i="22"/>
  <c r="U33" i="22" s="1"/>
  <c r="H63" i="25"/>
  <c r="J63" i="25" s="1"/>
  <c r="E44" i="22"/>
  <c r="G44" i="22" s="1"/>
  <c r="E118" i="25"/>
  <c r="G118" i="25" s="1"/>
  <c r="S58" i="24"/>
  <c r="U58" i="24" s="1"/>
  <c r="E169" i="25"/>
  <c r="G169" i="25" s="1"/>
  <c r="H123" i="25"/>
  <c r="J123" i="25" s="1"/>
  <c r="H39" i="22"/>
  <c r="J39" i="22" s="1"/>
  <c r="E122" i="24"/>
  <c r="G122" i="24" s="1"/>
  <c r="H43" i="19"/>
  <c r="J43" i="19" s="1"/>
  <c r="E38" i="24"/>
  <c r="G38" i="24" s="1"/>
  <c r="E177" i="19"/>
  <c r="G177" i="19" s="1"/>
  <c r="H163" i="22"/>
  <c r="J163" i="22" s="1"/>
  <c r="P65" i="22"/>
  <c r="R65" i="22" s="1"/>
  <c r="E201" i="25"/>
  <c r="G201" i="25" s="1"/>
  <c r="S177" i="22"/>
  <c r="U177" i="22" s="1"/>
  <c r="P133" i="19"/>
  <c r="R133" i="19" s="1"/>
  <c r="S34" i="22"/>
  <c r="U34" i="22" s="1"/>
  <c r="S66" i="25"/>
  <c r="U66" i="25" s="1"/>
  <c r="P168" i="22"/>
  <c r="R168" i="22" s="1"/>
  <c r="H79" i="25"/>
  <c r="J79" i="25" s="1"/>
  <c r="P186" i="24"/>
  <c r="R186" i="24" s="1"/>
  <c r="H67" i="24"/>
  <c r="J67" i="24" s="1"/>
  <c r="S202" i="22"/>
  <c r="U202" i="22" s="1"/>
  <c r="E76" i="25"/>
  <c r="G76" i="25" s="1"/>
  <c r="E181" i="22"/>
  <c r="G181" i="22" s="1"/>
  <c r="P134" i="19"/>
  <c r="R134" i="19" s="1"/>
  <c r="P192" i="24"/>
  <c r="R192" i="24" s="1"/>
  <c r="E188" i="25"/>
  <c r="G188" i="25" s="1"/>
  <c r="S205" i="19"/>
  <c r="U205" i="19" s="1"/>
  <c r="P74" i="19"/>
  <c r="R74" i="19" s="1"/>
  <c r="H66" i="19"/>
  <c r="J66" i="19" s="1"/>
  <c r="S76" i="24"/>
  <c r="U76" i="24" s="1"/>
  <c r="H191" i="25"/>
  <c r="J191" i="25" s="1"/>
  <c r="E27" i="19"/>
  <c r="G27" i="19" s="1"/>
  <c r="P106" i="25"/>
  <c r="R106" i="25" s="1"/>
  <c r="S97" i="22"/>
  <c r="U97" i="22" s="1"/>
  <c r="P186" i="25"/>
  <c r="R186" i="25" s="1"/>
  <c r="P202" i="24"/>
  <c r="R202" i="24" s="1"/>
  <c r="H116" i="19"/>
  <c r="J116" i="19" s="1"/>
  <c r="P130" i="22"/>
  <c r="R130" i="22" s="1"/>
  <c r="H22" i="22"/>
  <c r="J22" i="22" s="1"/>
  <c r="S74" i="22"/>
  <c r="U74" i="22" s="1"/>
  <c r="H188" i="24"/>
  <c r="J188" i="24" s="1"/>
  <c r="BT25" i="22"/>
  <c r="BT55" i="22" s="1"/>
  <c r="E37" i="22"/>
  <c r="G37" i="22" s="1"/>
  <c r="E201" i="24"/>
  <c r="G201" i="24" s="1"/>
  <c r="H128" i="25"/>
  <c r="J128" i="25" s="1"/>
  <c r="H118" i="22"/>
  <c r="J118" i="22" s="1"/>
  <c r="P93" i="24"/>
  <c r="R93" i="24" s="1"/>
  <c r="S177" i="19"/>
  <c r="U177" i="19" s="1"/>
  <c r="S26" i="19"/>
  <c r="U26" i="19" s="1"/>
  <c r="E182" i="19"/>
  <c r="G182" i="19" s="1"/>
  <c r="H35" i="24"/>
  <c r="J35" i="24" s="1"/>
  <c r="H106" i="24"/>
  <c r="J106" i="24" s="1"/>
  <c r="E46" i="22"/>
  <c r="G46" i="22" s="1"/>
  <c r="P53" i="19"/>
  <c r="R53" i="19" s="1"/>
  <c r="E20" i="19"/>
  <c r="G20" i="19" s="1"/>
  <c r="P20" i="25"/>
  <c r="R20" i="25" s="1"/>
  <c r="H75" i="19"/>
  <c r="J75" i="19" s="1"/>
  <c r="K75" i="19" s="1"/>
  <c r="M75" i="19" s="1"/>
  <c r="H121" i="19"/>
  <c r="J121" i="19" s="1"/>
  <c r="S202" i="25"/>
  <c r="U202" i="25" s="1"/>
  <c r="S177" i="25"/>
  <c r="U177" i="25" s="1"/>
  <c r="H64" i="25"/>
  <c r="J64" i="25" s="1"/>
  <c r="E202" i="22"/>
  <c r="G202" i="22" s="1"/>
  <c r="S54" i="22"/>
  <c r="U54" i="22" s="1"/>
  <c r="E134" i="25"/>
  <c r="G134" i="25" s="1"/>
  <c r="S207" i="19"/>
  <c r="U207" i="19" s="1"/>
  <c r="H28" i="22"/>
  <c r="J28" i="22" s="1"/>
  <c r="E176" i="22"/>
  <c r="G176" i="22" s="1"/>
  <c r="S75" i="25"/>
  <c r="U75" i="25" s="1"/>
  <c r="H207" i="24"/>
  <c r="J207" i="24" s="1"/>
  <c r="S206" i="19"/>
  <c r="U206" i="19" s="1"/>
  <c r="P134" i="22"/>
  <c r="R134" i="22" s="1"/>
  <c r="V134" i="22" s="1"/>
  <c r="X134" i="22" s="1"/>
  <c r="P51" i="25"/>
  <c r="R51" i="25" s="1"/>
  <c r="P172" i="22"/>
  <c r="R172" i="22" s="1"/>
  <c r="H19" i="24"/>
  <c r="J19" i="24" s="1"/>
  <c r="P182" i="22"/>
  <c r="R182" i="22" s="1"/>
  <c r="P176" i="22"/>
  <c r="R176" i="22" s="1"/>
  <c r="E167" i="24"/>
  <c r="G167" i="24" s="1"/>
  <c r="H120" i="22"/>
  <c r="J120" i="22" s="1"/>
  <c r="E205" i="25"/>
  <c r="G205" i="25" s="1"/>
  <c r="E69" i="25"/>
  <c r="G69" i="25" s="1"/>
  <c r="E76" i="24"/>
  <c r="G76" i="24" s="1"/>
  <c r="K76" i="24" s="1"/>
  <c r="M76" i="24" s="1"/>
  <c r="E92" i="19"/>
  <c r="G92" i="19" s="1"/>
  <c r="E98" i="22"/>
  <c r="G98" i="22" s="1"/>
  <c r="H58" i="25"/>
  <c r="J58" i="25" s="1"/>
  <c r="H113" i="19"/>
  <c r="J113" i="19" s="1"/>
  <c r="H128" i="22"/>
  <c r="J128" i="22" s="1"/>
  <c r="P74" i="22"/>
  <c r="R74" i="22" s="1"/>
  <c r="H57" i="22"/>
  <c r="J57" i="22" s="1"/>
  <c r="S202" i="19"/>
  <c r="U202" i="19" s="1"/>
  <c r="H34" i="22"/>
  <c r="J34" i="22" s="1"/>
  <c r="E46" i="25"/>
  <c r="G46" i="25" s="1"/>
  <c r="P33" i="22"/>
  <c r="R33" i="22" s="1"/>
  <c r="E94" i="19"/>
  <c r="G94" i="19" s="1"/>
  <c r="E129" i="24"/>
  <c r="G129" i="24" s="1"/>
  <c r="E35" i="22"/>
  <c r="G35" i="22" s="1"/>
  <c r="P20" i="19"/>
  <c r="R20" i="19" s="1"/>
  <c r="S94" i="22"/>
  <c r="U94" i="22" s="1"/>
  <c r="S206" i="25"/>
  <c r="U206" i="25" s="1"/>
  <c r="H62" i="22"/>
  <c r="J62" i="22" s="1"/>
  <c r="H169" i="22"/>
  <c r="J169" i="22" s="1"/>
  <c r="P56" i="19"/>
  <c r="R56" i="19" s="1"/>
  <c r="H177" i="22"/>
  <c r="J177" i="22" s="1"/>
  <c r="E192" i="22"/>
  <c r="G192" i="22" s="1"/>
  <c r="E102" i="25"/>
  <c r="G102" i="25" s="1"/>
  <c r="E35" i="25"/>
  <c r="G35" i="25" s="1"/>
  <c r="BB13" i="24"/>
  <c r="P65" i="19"/>
  <c r="R65" i="19" s="1"/>
  <c r="E183" i="19"/>
  <c r="G183" i="19" s="1"/>
  <c r="P39" i="22"/>
  <c r="R39" i="22" s="1"/>
  <c r="P167" i="25"/>
  <c r="R167" i="25" s="1"/>
  <c r="S169" i="19"/>
  <c r="U169" i="19" s="1"/>
  <c r="BV25" i="25"/>
  <c r="BV40" i="25" s="1"/>
  <c r="E124" i="22"/>
  <c r="G124" i="22" s="1"/>
  <c r="S19" i="19"/>
  <c r="U19" i="19" s="1"/>
  <c r="E163" i="25"/>
  <c r="G163" i="25" s="1"/>
  <c r="S43" i="19"/>
  <c r="U43" i="19" s="1"/>
  <c r="E72" i="24"/>
  <c r="G72" i="24" s="1"/>
  <c r="P205" i="22"/>
  <c r="R205" i="22" s="1"/>
  <c r="E112" i="22"/>
  <c r="G112" i="22" s="1"/>
  <c r="E19" i="22"/>
  <c r="G19" i="22" s="1"/>
  <c r="E64" i="25"/>
  <c r="G64" i="25" s="1"/>
  <c r="S206" i="22"/>
  <c r="U206" i="22" s="1"/>
  <c r="E43" i="25"/>
  <c r="G43" i="25" s="1"/>
  <c r="S163" i="24"/>
  <c r="U163" i="24" s="1"/>
  <c r="S208" i="24"/>
  <c r="U208" i="24" s="1"/>
  <c r="S65" i="25"/>
  <c r="U65" i="25" s="1"/>
  <c r="S53" i="22"/>
  <c r="U53" i="22" s="1"/>
  <c r="S63" i="22"/>
  <c r="U63" i="22" s="1"/>
  <c r="BV25" i="19"/>
  <c r="P51" i="22"/>
  <c r="R51" i="22" s="1"/>
  <c r="S193" i="24"/>
  <c r="U193" i="24" s="1"/>
  <c r="S192" i="24"/>
  <c r="U192" i="24" s="1"/>
  <c r="H121" i="22"/>
  <c r="J121" i="22" s="1"/>
  <c r="E36" i="25"/>
  <c r="G36" i="25" s="1"/>
  <c r="E120" i="22"/>
  <c r="G120" i="22" s="1"/>
  <c r="S193" i="22"/>
  <c r="U193" i="22" s="1"/>
  <c r="S46" i="19"/>
  <c r="U46" i="19" s="1"/>
  <c r="P180" i="25"/>
  <c r="R180" i="25" s="1"/>
  <c r="V180" i="25" s="1"/>
  <c r="X180" i="25" s="1"/>
  <c r="H23" i="25"/>
  <c r="J23" i="25" s="1"/>
  <c r="H187" i="22"/>
  <c r="J187" i="22" s="1"/>
  <c r="E61" i="24"/>
  <c r="G61" i="24" s="1"/>
  <c r="E187" i="25"/>
  <c r="G187" i="25" s="1"/>
  <c r="P208" i="25"/>
  <c r="R208" i="25" s="1"/>
  <c r="H121" i="24"/>
  <c r="J121" i="24" s="1"/>
  <c r="E42" i="19"/>
  <c r="G42" i="19" s="1"/>
  <c r="P163" i="22"/>
  <c r="R163" i="22" s="1"/>
  <c r="H180" i="24"/>
  <c r="J180" i="24" s="1"/>
  <c r="H48" i="19"/>
  <c r="J48" i="19" s="1"/>
  <c r="E68" i="19"/>
  <c r="G68" i="19" s="1"/>
  <c r="S98" i="19"/>
  <c r="U98" i="19" s="1"/>
  <c r="E73" i="24"/>
  <c r="G73" i="24" s="1"/>
  <c r="P48" i="22"/>
  <c r="R48" i="22" s="1"/>
  <c r="E105" i="22"/>
  <c r="G105" i="22" s="1"/>
  <c r="S98" i="25"/>
  <c r="U98" i="25" s="1"/>
  <c r="S168" i="22"/>
  <c r="U168" i="22" s="1"/>
  <c r="S164" i="22"/>
  <c r="U164" i="22" s="1"/>
  <c r="S169" i="22"/>
  <c r="U169" i="22" s="1"/>
  <c r="E119" i="24"/>
  <c r="G119" i="24" s="1"/>
  <c r="P104" i="24"/>
  <c r="R104" i="24" s="1"/>
  <c r="P21" i="19"/>
  <c r="R21" i="19" s="1"/>
  <c r="E54" i="24"/>
  <c r="G54" i="24" s="1"/>
  <c r="H103" i="22"/>
  <c r="J103" i="22" s="1"/>
  <c r="S75" i="22"/>
  <c r="U75" i="22" s="1"/>
  <c r="S45" i="24"/>
  <c r="U45" i="24" s="1"/>
  <c r="E29" i="19"/>
  <c r="G29" i="19" s="1"/>
  <c r="S23" i="24"/>
  <c r="U23" i="24" s="1"/>
  <c r="P19" i="19"/>
  <c r="R19" i="19" s="1"/>
  <c r="E176" i="19"/>
  <c r="G176" i="19" s="1"/>
  <c r="H43" i="22"/>
  <c r="J43" i="22" s="1"/>
  <c r="S207" i="25"/>
  <c r="U207" i="25" s="1"/>
  <c r="P19" i="25"/>
  <c r="R19" i="25" s="1"/>
  <c r="S53" i="19"/>
  <c r="U53" i="19" s="1"/>
  <c r="BV25" i="22"/>
  <c r="BV26" i="22" s="1"/>
  <c r="P77" i="22"/>
  <c r="R77" i="22" s="1"/>
  <c r="V77" i="22" s="1"/>
  <c r="X77" i="22" s="1"/>
  <c r="P30" i="19"/>
  <c r="R30" i="19" s="1"/>
  <c r="S62" i="22"/>
  <c r="U62" i="22" s="1"/>
  <c r="S68" i="19"/>
  <c r="U68" i="19" s="1"/>
  <c r="S92" i="25"/>
  <c r="U92" i="25" s="1"/>
  <c r="E52" i="19"/>
  <c r="G52" i="19" s="1"/>
  <c r="K52" i="19" s="1"/>
  <c r="M52" i="19" s="1"/>
  <c r="E39" i="24"/>
  <c r="G39" i="24" s="1"/>
  <c r="S26" i="24"/>
  <c r="U26" i="24" s="1"/>
  <c r="E182" i="25"/>
  <c r="G182" i="25" s="1"/>
  <c r="E208" i="22"/>
  <c r="G208" i="22" s="1"/>
  <c r="H65" i="25"/>
  <c r="J65" i="25" s="1"/>
  <c r="H94" i="22"/>
  <c r="J94" i="22" s="1"/>
  <c r="P92" i="22"/>
  <c r="R92" i="22" s="1"/>
  <c r="V92" i="22" s="1"/>
  <c r="X92" i="22" s="1"/>
  <c r="P97" i="22"/>
  <c r="R97" i="22" s="1"/>
  <c r="P100" i="19"/>
  <c r="R100" i="19" s="1"/>
  <c r="H206" i="22"/>
  <c r="J206" i="22" s="1"/>
  <c r="S133" i="25"/>
  <c r="U133" i="25" s="1"/>
  <c r="S100" i="19"/>
  <c r="U100" i="19" s="1"/>
  <c r="H26" i="24"/>
  <c r="J26" i="24" s="1"/>
  <c r="E79" i="24"/>
  <c r="G79" i="24" s="1"/>
  <c r="E113" i="22"/>
  <c r="G113" i="22" s="1"/>
  <c r="H205" i="24"/>
  <c r="J205" i="24" s="1"/>
  <c r="H188" i="22"/>
  <c r="J188" i="22" s="1"/>
  <c r="H132" i="25"/>
  <c r="J132" i="25" s="1"/>
  <c r="P103" i="24"/>
  <c r="R103" i="24" s="1"/>
  <c r="H201" i="25"/>
  <c r="J201" i="25" s="1"/>
  <c r="E207" i="24"/>
  <c r="G207" i="24" s="1"/>
  <c r="H74" i="25"/>
  <c r="J74" i="25" s="1"/>
  <c r="K74" i="25" s="1"/>
  <c r="M74" i="25" s="1"/>
  <c r="H28" i="19"/>
  <c r="J28" i="19" s="1"/>
  <c r="P61" i="25"/>
  <c r="R61" i="25" s="1"/>
  <c r="H94" i="19"/>
  <c r="J94" i="19" s="1"/>
  <c r="P62" i="19"/>
  <c r="R62" i="19" s="1"/>
  <c r="H51" i="22"/>
  <c r="J51" i="22" s="1"/>
  <c r="E93" i="22"/>
  <c r="G93" i="22" s="1"/>
  <c r="H97" i="25"/>
  <c r="J97" i="25" s="1"/>
  <c r="E37" i="19"/>
  <c r="G37" i="19" s="1"/>
  <c r="S103" i="24"/>
  <c r="U103" i="24" s="1"/>
  <c r="P51" i="24"/>
  <c r="R51" i="24" s="1"/>
  <c r="E103" i="19"/>
  <c r="G103" i="19" s="1"/>
  <c r="S207" i="24"/>
  <c r="U207" i="24" s="1"/>
  <c r="H207" i="19"/>
  <c r="J207" i="19" s="1"/>
  <c r="BC13" i="19"/>
  <c r="BC88" i="19" s="1"/>
  <c r="E125" i="22"/>
  <c r="G125" i="22" s="1"/>
  <c r="E52" i="24"/>
  <c r="G52" i="24" s="1"/>
  <c r="P54" i="22"/>
  <c r="R54" i="22" s="1"/>
  <c r="P66" i="24"/>
  <c r="R66" i="24" s="1"/>
  <c r="S104" i="19"/>
  <c r="U104" i="19" s="1"/>
  <c r="H94" i="25"/>
  <c r="J94" i="25" s="1"/>
  <c r="E205" i="19"/>
  <c r="G205" i="19" s="1"/>
  <c r="H116" i="24"/>
  <c r="J116" i="24" s="1"/>
  <c r="P78" i="22"/>
  <c r="R78" i="22" s="1"/>
  <c r="P35" i="22"/>
  <c r="R35" i="22" s="1"/>
  <c r="H34" i="24"/>
  <c r="J34" i="24" s="1"/>
  <c r="S47" i="22"/>
  <c r="U47" i="22" s="1"/>
  <c r="P57" i="25"/>
  <c r="R57" i="25" s="1"/>
  <c r="S105" i="19"/>
  <c r="U105" i="19" s="1"/>
  <c r="E45" i="24"/>
  <c r="G45" i="24" s="1"/>
  <c r="P176" i="24"/>
  <c r="R176" i="24" s="1"/>
  <c r="E42" i="22"/>
  <c r="G42" i="22" s="1"/>
  <c r="S55" i="19"/>
  <c r="U55" i="19" s="1"/>
  <c r="H99" i="24"/>
  <c r="J99" i="24" s="1"/>
  <c r="S61" i="22"/>
  <c r="U61" i="22" s="1"/>
  <c r="BU25" i="25"/>
  <c r="BU81" i="25" s="1"/>
  <c r="E172" i="24"/>
  <c r="G172" i="24" s="1"/>
  <c r="E51" i="19"/>
  <c r="G51" i="19" s="1"/>
  <c r="K51" i="19" s="1"/>
  <c r="M51" i="19" s="1"/>
  <c r="G33" i="17" s="1"/>
  <c r="E68" i="25"/>
  <c r="G68" i="25" s="1"/>
  <c r="E23" i="19"/>
  <c r="G23" i="19" s="1"/>
  <c r="H177" i="24"/>
  <c r="J177" i="24" s="1"/>
  <c r="H134" i="19"/>
  <c r="J134" i="19" s="1"/>
  <c r="H205" i="25"/>
  <c r="J205" i="25" s="1"/>
  <c r="H100" i="25"/>
  <c r="J100" i="25" s="1"/>
  <c r="H173" i="22"/>
  <c r="J173" i="22" s="1"/>
  <c r="H26" i="22"/>
  <c r="J26" i="22" s="1"/>
  <c r="S97" i="24"/>
  <c r="U97" i="24" s="1"/>
  <c r="E99" i="19"/>
  <c r="G99" i="19" s="1"/>
  <c r="P101" i="24"/>
  <c r="R101" i="24" s="1"/>
  <c r="E92" i="24"/>
  <c r="G92" i="24" s="1"/>
  <c r="P164" i="22"/>
  <c r="R164" i="22" s="1"/>
  <c r="E53" i="25"/>
  <c r="G53" i="25" s="1"/>
  <c r="S173" i="22"/>
  <c r="U173" i="22" s="1"/>
  <c r="P72" i="22"/>
  <c r="R72" i="22" s="1"/>
  <c r="E79" i="25"/>
  <c r="G79" i="25" s="1"/>
  <c r="K79" i="25" s="1"/>
  <c r="M79" i="25" s="1"/>
  <c r="P93" i="22"/>
  <c r="R93" i="22" s="1"/>
  <c r="P19" i="22"/>
  <c r="R19" i="22" s="1"/>
  <c r="H92" i="25"/>
  <c r="J92" i="25" s="1"/>
  <c r="S55" i="22"/>
  <c r="U55" i="22" s="1"/>
  <c r="P62" i="22"/>
  <c r="R62" i="22" s="1"/>
  <c r="H53" i="22"/>
  <c r="J53" i="22" s="1"/>
  <c r="E206" i="22"/>
  <c r="G206" i="22" s="1"/>
  <c r="E34" i="25"/>
  <c r="G34" i="25" s="1"/>
  <c r="H103" i="24"/>
  <c r="J103" i="24" s="1"/>
  <c r="E131" i="25"/>
  <c r="G131" i="25" s="1"/>
  <c r="S28" i="25"/>
  <c r="U28" i="25" s="1"/>
  <c r="S172" i="24"/>
  <c r="U172" i="24" s="1"/>
  <c r="P34" i="25"/>
  <c r="R34" i="25" s="1"/>
  <c r="H124" i="24"/>
  <c r="J124" i="24" s="1"/>
  <c r="S39" i="22"/>
  <c r="U39" i="22" s="1"/>
  <c r="H131" i="22"/>
  <c r="J131" i="22" s="1"/>
  <c r="H22" i="24"/>
  <c r="J22" i="24" s="1"/>
  <c r="H177" i="19"/>
  <c r="J177" i="19" s="1"/>
  <c r="E177" i="25"/>
  <c r="G177" i="25" s="1"/>
  <c r="H33" i="19"/>
  <c r="J33" i="19" s="1"/>
  <c r="E65" i="25"/>
  <c r="G65" i="25" s="1"/>
  <c r="E182" i="24"/>
  <c r="G182" i="24" s="1"/>
  <c r="E58" i="24"/>
  <c r="G58" i="24" s="1"/>
  <c r="H51" i="24"/>
  <c r="J51" i="24" s="1"/>
  <c r="S46" i="24"/>
  <c r="U46" i="24" s="1"/>
  <c r="E35" i="24"/>
  <c r="G35" i="24" s="1"/>
  <c r="E54" i="19"/>
  <c r="G54" i="19" s="1"/>
  <c r="BB13" i="25"/>
  <c r="BB45" i="25" s="1"/>
  <c r="H134" i="22"/>
  <c r="J134" i="22" s="1"/>
  <c r="H27" i="22"/>
  <c r="J27" i="22" s="1"/>
  <c r="P35" i="19"/>
  <c r="R35" i="19" s="1"/>
  <c r="S163" i="25"/>
  <c r="U163" i="25" s="1"/>
  <c r="P42" i="19"/>
  <c r="R42" i="19" s="1"/>
  <c r="P56" i="22"/>
  <c r="R56" i="22" s="1"/>
  <c r="P75" i="22"/>
  <c r="R75" i="22" s="1"/>
  <c r="V75" i="22" s="1"/>
  <c r="X75" i="22" s="1"/>
  <c r="P19" i="24"/>
  <c r="R19" i="24" s="1"/>
  <c r="V19" i="24" s="1"/>
  <c r="X19" i="24" s="1"/>
  <c r="E183" i="25"/>
  <c r="G183" i="25" s="1"/>
  <c r="P23" i="19"/>
  <c r="R23" i="19" s="1"/>
  <c r="S167" i="19"/>
  <c r="U167" i="19" s="1"/>
  <c r="H47" i="22"/>
  <c r="J47" i="22" s="1"/>
  <c r="E163" i="24"/>
  <c r="G163" i="24" s="1"/>
  <c r="P163" i="25"/>
  <c r="R163" i="25" s="1"/>
  <c r="E129" i="25"/>
  <c r="G129" i="25" s="1"/>
  <c r="S192" i="22"/>
  <c r="U192" i="22" s="1"/>
  <c r="H167" i="19"/>
  <c r="J167" i="19" s="1"/>
  <c r="P182" i="19"/>
  <c r="R182" i="19" s="1"/>
  <c r="V182" i="19" s="1"/>
  <c r="X182" i="19" s="1"/>
  <c r="E181" i="24"/>
  <c r="G181" i="24" s="1"/>
  <c r="S67" i="24"/>
  <c r="U67" i="24" s="1"/>
  <c r="P77" i="24"/>
  <c r="R77" i="24" s="1"/>
  <c r="S208" i="19"/>
  <c r="U208" i="19" s="1"/>
  <c r="BU25" i="22"/>
  <c r="BB13" i="22"/>
  <c r="S26" i="22"/>
  <c r="U26" i="22" s="1"/>
  <c r="E78" i="22"/>
  <c r="G78" i="22" s="1"/>
  <c r="P33" i="25"/>
  <c r="R33" i="25" s="1"/>
  <c r="P173" i="19"/>
  <c r="R173" i="19" s="1"/>
  <c r="E102" i="24"/>
  <c r="G102" i="24" s="1"/>
  <c r="K102" i="24" s="1"/>
  <c r="M102" i="24" s="1"/>
  <c r="H42" i="19"/>
  <c r="J42" i="19" s="1"/>
  <c r="E104" i="19"/>
  <c r="G104" i="19" s="1"/>
  <c r="H56" i="25"/>
  <c r="J56" i="25" s="1"/>
  <c r="K56" i="25" s="1"/>
  <c r="M56" i="25" s="1"/>
  <c r="E123" i="22"/>
  <c r="G123" i="22" s="1"/>
  <c r="E116" i="19"/>
  <c r="G116" i="19" s="1"/>
  <c r="K116" i="19" s="1"/>
  <c r="M116" i="19" s="1"/>
  <c r="G73" i="17" s="1"/>
  <c r="H131" i="25"/>
  <c r="J131" i="25" s="1"/>
  <c r="K131" i="25" s="1"/>
  <c r="M131" i="25" s="1"/>
  <c r="V60" i="17" s="1"/>
  <c r="S62" i="19"/>
  <c r="U62" i="19" s="1"/>
  <c r="P99" i="22"/>
  <c r="R99" i="22" s="1"/>
  <c r="P172" i="25"/>
  <c r="R172" i="25" s="1"/>
  <c r="BT13" i="19"/>
  <c r="BT36" i="19" s="1"/>
  <c r="S42" i="19"/>
  <c r="U42" i="19" s="1"/>
  <c r="S182" i="22"/>
  <c r="U182" i="22" s="1"/>
  <c r="S103" i="25"/>
  <c r="U103" i="25" s="1"/>
  <c r="E172" i="19"/>
  <c r="G172" i="19" s="1"/>
  <c r="S75" i="24"/>
  <c r="U75" i="24" s="1"/>
  <c r="H131" i="19"/>
  <c r="J131" i="19" s="1"/>
  <c r="H75" i="25"/>
  <c r="J75" i="25" s="1"/>
  <c r="S97" i="25"/>
  <c r="U97" i="25" s="1"/>
  <c r="H123" i="22"/>
  <c r="J123" i="22" s="1"/>
  <c r="P106" i="19"/>
  <c r="R106" i="19" s="1"/>
  <c r="H67" i="19"/>
  <c r="J67" i="19" s="1"/>
  <c r="S106" i="25"/>
  <c r="U106" i="25" s="1"/>
  <c r="S39" i="24"/>
  <c r="U39" i="24" s="1"/>
  <c r="H172" i="19"/>
  <c r="J172" i="19" s="1"/>
  <c r="S92" i="19"/>
  <c r="U92" i="19" s="1"/>
  <c r="H133" i="22"/>
  <c r="J133" i="22" s="1"/>
  <c r="H76" i="22"/>
  <c r="J76" i="22" s="1"/>
  <c r="H129" i="24"/>
  <c r="J129" i="24" s="1"/>
  <c r="E193" i="19"/>
  <c r="G193" i="19" s="1"/>
  <c r="H78" i="19"/>
  <c r="J78" i="19" s="1"/>
  <c r="P51" i="19"/>
  <c r="R51" i="19" s="1"/>
  <c r="H74" i="24"/>
  <c r="J74" i="24" s="1"/>
  <c r="H34" i="19"/>
  <c r="J34" i="19" s="1"/>
  <c r="H27" i="24"/>
  <c r="J27" i="24" s="1"/>
  <c r="BC13" i="22"/>
  <c r="BC119" i="22" s="1"/>
  <c r="P56" i="25"/>
  <c r="R56" i="25" s="1"/>
  <c r="P45" i="22"/>
  <c r="R45" i="22" s="1"/>
  <c r="H207" i="22"/>
  <c r="J207" i="22" s="1"/>
  <c r="S182" i="25"/>
  <c r="U182" i="25" s="1"/>
  <c r="P202" i="25"/>
  <c r="R202" i="25" s="1"/>
  <c r="H183" i="22"/>
  <c r="J183" i="22" s="1"/>
  <c r="P102" i="22"/>
  <c r="R102" i="22" s="1"/>
  <c r="E181" i="25"/>
  <c r="G181" i="25" s="1"/>
  <c r="S180" i="24"/>
  <c r="U180" i="24" s="1"/>
  <c r="P64" i="24"/>
  <c r="R64" i="24" s="1"/>
  <c r="H104" i="24"/>
  <c r="J104" i="24" s="1"/>
  <c r="H201" i="19"/>
  <c r="J201" i="19" s="1"/>
  <c r="E63" i="24"/>
  <c r="G63" i="24" s="1"/>
  <c r="E77" i="24"/>
  <c r="G77" i="24" s="1"/>
  <c r="E125" i="25"/>
  <c r="G125" i="25" s="1"/>
  <c r="H112" i="24"/>
  <c r="J112" i="24" s="1"/>
  <c r="H205" i="19"/>
  <c r="J205" i="19" s="1"/>
  <c r="BU25" i="19"/>
  <c r="BU88" i="19" s="1"/>
  <c r="P36" i="24"/>
  <c r="R36" i="24" s="1"/>
  <c r="H117" i="19"/>
  <c r="J117" i="19" s="1"/>
  <c r="BV13" i="19"/>
  <c r="BV103" i="19" s="1"/>
  <c r="E73" i="22"/>
  <c r="G73" i="22" s="1"/>
  <c r="H129" i="25"/>
  <c r="J129" i="25" s="1"/>
  <c r="E121" i="22"/>
  <c r="G121" i="22" s="1"/>
  <c r="K121" i="22" s="1"/>
  <c r="M121" i="22" s="1"/>
  <c r="L78" i="17" s="1"/>
  <c r="S76" i="19"/>
  <c r="U76" i="19" s="1"/>
  <c r="H133" i="24"/>
  <c r="J133" i="24" s="1"/>
  <c r="S94" i="24"/>
  <c r="U94" i="24" s="1"/>
  <c r="H19" i="25"/>
  <c r="J19" i="25" s="1"/>
  <c r="H76" i="24"/>
  <c r="J76" i="24" s="1"/>
  <c r="S55" i="25"/>
  <c r="U55" i="25" s="1"/>
  <c r="S65" i="24"/>
  <c r="U65" i="24" s="1"/>
  <c r="S48" i="19"/>
  <c r="U48" i="19" s="1"/>
  <c r="S30" i="22"/>
  <c r="U30" i="22" s="1"/>
  <c r="H116" i="25"/>
  <c r="J116" i="25" s="1"/>
  <c r="S207" i="22"/>
  <c r="U207" i="22" s="1"/>
  <c r="S208" i="22"/>
  <c r="U208" i="22" s="1"/>
  <c r="S102" i="22"/>
  <c r="U102" i="22" s="1"/>
  <c r="E113" i="24"/>
  <c r="G113" i="24" s="1"/>
  <c r="H73" i="24"/>
  <c r="J73" i="24" s="1"/>
  <c r="S22" i="19"/>
  <c r="U22" i="19" s="1"/>
  <c r="BV68" i="25"/>
  <c r="BB87" i="19"/>
  <c r="BV96" i="25"/>
  <c r="BA74" i="22"/>
  <c r="BA86" i="19"/>
  <c r="BA30" i="19"/>
  <c r="BA77" i="19"/>
  <c r="BA76" i="22"/>
  <c r="BA53" i="22"/>
  <c r="BA57" i="22"/>
  <c r="BA101" i="22"/>
  <c r="BA113" i="22"/>
  <c r="BA122" i="19"/>
  <c r="BS46" i="22"/>
  <c r="BS80" i="22"/>
  <c r="BT82" i="24"/>
  <c r="BV100" i="24"/>
  <c r="BS121" i="22"/>
  <c r="BA71" i="22"/>
  <c r="BC83" i="24"/>
  <c r="BA54" i="24"/>
  <c r="BC36" i="24"/>
  <c r="BB83" i="25"/>
  <c r="BV63" i="25"/>
  <c r="BA108" i="19"/>
  <c r="BA76" i="24"/>
  <c r="G153" i="21"/>
  <c r="BA78" i="25"/>
  <c r="BC71" i="24"/>
  <c r="BC81" i="24"/>
  <c r="BV41" i="24"/>
  <c r="BC76" i="24"/>
  <c r="BB65" i="25"/>
  <c r="BA120" i="19"/>
  <c r="BA61" i="19"/>
  <c r="BA50" i="25"/>
  <c r="BA122" i="25"/>
  <c r="BA53" i="25"/>
  <c r="BA83" i="25"/>
  <c r="BA38" i="25"/>
  <c r="BA72" i="25"/>
  <c r="BA117" i="25"/>
  <c r="BA46" i="25"/>
  <c r="BA32" i="25"/>
  <c r="BV110" i="25"/>
  <c r="BA107" i="25"/>
  <c r="BA84" i="19"/>
  <c r="BS106" i="19"/>
  <c r="BA43" i="25"/>
  <c r="BB92" i="19"/>
  <c r="BU73" i="24"/>
  <c r="BA74" i="25"/>
  <c r="BB29" i="19"/>
  <c r="BB60" i="22"/>
  <c r="BA82" i="19"/>
  <c r="BA97" i="19"/>
  <c r="BA48" i="19"/>
  <c r="BA69" i="19"/>
  <c r="BA105" i="19"/>
  <c r="BA118" i="19"/>
  <c r="BA78" i="19"/>
  <c r="BB125" i="19"/>
  <c r="BA111" i="19"/>
  <c r="BB93" i="19"/>
  <c r="BA114" i="19"/>
  <c r="BA88" i="19"/>
  <c r="BA60" i="19"/>
  <c r="BA64" i="19"/>
  <c r="BS65" i="22"/>
  <c r="BB57" i="19"/>
  <c r="BA65" i="19"/>
  <c r="BA55" i="19"/>
  <c r="BB122" i="19"/>
  <c r="BV75" i="25"/>
  <c r="BA87" i="24"/>
  <c r="BA28" i="19"/>
  <c r="BA85" i="19"/>
  <c r="BA39" i="19"/>
  <c r="BB36" i="19"/>
  <c r="BA37" i="19"/>
  <c r="BA41" i="19"/>
  <c r="BA59" i="19"/>
  <c r="BA107" i="19"/>
  <c r="BV48" i="25"/>
  <c r="BA46" i="19"/>
  <c r="BV103" i="24"/>
  <c r="BB40" i="19"/>
  <c r="BA43" i="19"/>
  <c r="BA54" i="19"/>
  <c r="BA62" i="19"/>
  <c r="BS82" i="22"/>
  <c r="BA50" i="19"/>
  <c r="BU90" i="22"/>
  <c r="BA29" i="19"/>
  <c r="BA89" i="19"/>
  <c r="BB55" i="19"/>
  <c r="BA124" i="19"/>
  <c r="BA69" i="25"/>
  <c r="BA38" i="19"/>
  <c r="BA102" i="25"/>
  <c r="BA93" i="19"/>
  <c r="BA105" i="25"/>
  <c r="BA106" i="19"/>
  <c r="BA106" i="24"/>
  <c r="BA78" i="24"/>
  <c r="BA87" i="19"/>
  <c r="BA42" i="19"/>
  <c r="BB63" i="19"/>
  <c r="BA104" i="25"/>
  <c r="BA41" i="25"/>
  <c r="BA70" i="19"/>
  <c r="BA115" i="19"/>
  <c r="BB106" i="19"/>
  <c r="BA40" i="19"/>
  <c r="BA32" i="19"/>
  <c r="BA47" i="19"/>
  <c r="BB37" i="19"/>
  <c r="BA96" i="19"/>
  <c r="BA101" i="19"/>
  <c r="BA112" i="19"/>
  <c r="BA27" i="19"/>
  <c r="BA99" i="25"/>
  <c r="BS77" i="22"/>
  <c r="BA79" i="19"/>
  <c r="BA66" i="19"/>
  <c r="BA123" i="19"/>
  <c r="BA52" i="19"/>
  <c r="BB101" i="19"/>
  <c r="BA53" i="19"/>
  <c r="BA83" i="19"/>
  <c r="BA80" i="19"/>
  <c r="BA121" i="19"/>
  <c r="BA34" i="24"/>
  <c r="BA56" i="19"/>
  <c r="BA34" i="19"/>
  <c r="BA113" i="19"/>
  <c r="BA51" i="19"/>
  <c r="BU63" i="25"/>
  <c r="BS111" i="22"/>
  <c r="BB111" i="19"/>
  <c r="BS52" i="22"/>
  <c r="BA112" i="25"/>
  <c r="BS29" i="22"/>
  <c r="BA68" i="19"/>
  <c r="BA99" i="19"/>
  <c r="BA104" i="19"/>
  <c r="BA125" i="25"/>
  <c r="BA124" i="25"/>
  <c r="BS97" i="22"/>
  <c r="BT44" i="22"/>
  <c r="BV117" i="22"/>
  <c r="BU87" i="24"/>
  <c r="BS37" i="22"/>
  <c r="BA56" i="24"/>
  <c r="BA66" i="24"/>
  <c r="BS107" i="22"/>
  <c r="BS84" i="22"/>
  <c r="BS43" i="22"/>
  <c r="BA88" i="24"/>
  <c r="BS42" i="22"/>
  <c r="BS27" i="22"/>
  <c r="BA38" i="24"/>
  <c r="BA71" i="24"/>
  <c r="BA70" i="25"/>
  <c r="BS58" i="22"/>
  <c r="BT83" i="24"/>
  <c r="BS115" i="22"/>
  <c r="BS36" i="22"/>
  <c r="BS118" i="22"/>
  <c r="BS74" i="22"/>
  <c r="BS34" i="22"/>
  <c r="BA94" i="25"/>
  <c r="BA33" i="25"/>
  <c r="BA106" i="25"/>
  <c r="BA45" i="25"/>
  <c r="BA54" i="25"/>
  <c r="BA27" i="24"/>
  <c r="BA45" i="22"/>
  <c r="BA99" i="24"/>
  <c r="BA45" i="24"/>
  <c r="BA95" i="24"/>
  <c r="BA125" i="24"/>
  <c r="BA42" i="22"/>
  <c r="BA89" i="22"/>
  <c r="BV49" i="24"/>
  <c r="BS41" i="22"/>
  <c r="BS53" i="22"/>
  <c r="BT125" i="24"/>
  <c r="BS55" i="22"/>
  <c r="BS89" i="22"/>
  <c r="BT50" i="24"/>
  <c r="BS122" i="22"/>
  <c r="BS116" i="22"/>
  <c r="BS66" i="22"/>
  <c r="BS93" i="22"/>
  <c r="BS76" i="22"/>
  <c r="BS108" i="22"/>
  <c r="BA96" i="25"/>
  <c r="BA63" i="24"/>
  <c r="BA105" i="24"/>
  <c r="BA89" i="24"/>
  <c r="BA68" i="25"/>
  <c r="BA58" i="25"/>
  <c r="BA86" i="24"/>
  <c r="BA77" i="22"/>
  <c r="BA122" i="22"/>
  <c r="BA30" i="24"/>
  <c r="BA39" i="24"/>
  <c r="BU55" i="24"/>
  <c r="BS95" i="22"/>
  <c r="BT42" i="22"/>
  <c r="BT76" i="22"/>
  <c r="BA65" i="24"/>
  <c r="BA62" i="24"/>
  <c r="BA42" i="24"/>
  <c r="BA97" i="24"/>
  <c r="BA52" i="24"/>
  <c r="BV37" i="19"/>
  <c r="BS39" i="22"/>
  <c r="BA91" i="25"/>
  <c r="BS72" i="22"/>
  <c r="BA44" i="24"/>
  <c r="BT68" i="22"/>
  <c r="BA115" i="24"/>
  <c r="BA58" i="24"/>
  <c r="BA104" i="24"/>
  <c r="BA108" i="24"/>
  <c r="BA95" i="22"/>
  <c r="BA33" i="24"/>
  <c r="BU28" i="25"/>
  <c r="BA47" i="24"/>
  <c r="BA57" i="24"/>
  <c r="BS62" i="22"/>
  <c r="BS88" i="22"/>
  <c r="BT61" i="24"/>
  <c r="BT107" i="24"/>
  <c r="BS78" i="22"/>
  <c r="BT81" i="22"/>
  <c r="BA94" i="24"/>
  <c r="BA121" i="24"/>
  <c r="BA119" i="24"/>
  <c r="BA84" i="22"/>
  <c r="BV26" i="25"/>
  <c r="BT70" i="24"/>
  <c r="BT111" i="24"/>
  <c r="BT81" i="24"/>
  <c r="BA93" i="24"/>
  <c r="BS30" i="22"/>
  <c r="BS31" i="22"/>
  <c r="BA48" i="24"/>
  <c r="BA64" i="24"/>
  <c r="BA26" i="24"/>
  <c r="BS35" i="22"/>
  <c r="BS103" i="22"/>
  <c r="BS60" i="22"/>
  <c r="BS113" i="22"/>
  <c r="BT101" i="24"/>
  <c r="BS75" i="22"/>
  <c r="BS92" i="22"/>
  <c r="BS106" i="22"/>
  <c r="BS109" i="22"/>
  <c r="BT104" i="24"/>
  <c r="BS47" i="22"/>
  <c r="BA76" i="25"/>
  <c r="BA55" i="25"/>
  <c r="BA42" i="25"/>
  <c r="BS49" i="22"/>
  <c r="BS114" i="22"/>
  <c r="BA114" i="25"/>
  <c r="BA89" i="25"/>
  <c r="BS91" i="22"/>
  <c r="BS85" i="22"/>
  <c r="BS68" i="22"/>
  <c r="BA61" i="25"/>
  <c r="BT47" i="24"/>
  <c r="BT100" i="24"/>
  <c r="BT88" i="24"/>
  <c r="BS48" i="22"/>
  <c r="BS64" i="22"/>
  <c r="BT82" i="22"/>
  <c r="BA60" i="25"/>
  <c r="BA37" i="25"/>
  <c r="BA93" i="25"/>
  <c r="BA111" i="25"/>
  <c r="BT49" i="22"/>
  <c r="BA81" i="24"/>
  <c r="BA85" i="24"/>
  <c r="BT45" i="22"/>
  <c r="BA91" i="24"/>
  <c r="BS94" i="22"/>
  <c r="BA80" i="25"/>
  <c r="BA113" i="24"/>
  <c r="BA53" i="24"/>
  <c r="BT115" i="22"/>
  <c r="BA91" i="22"/>
  <c r="BA106" i="22"/>
  <c r="BA121" i="22"/>
  <c r="BS69" i="22"/>
  <c r="BS67" i="22"/>
  <c r="BS83" i="22"/>
  <c r="BS104" i="22"/>
  <c r="BT97" i="24"/>
  <c r="BS33" i="22"/>
  <c r="BA119" i="25"/>
  <c r="BS123" i="22"/>
  <c r="BS81" i="22"/>
  <c r="BS44" i="22"/>
  <c r="BT39" i="24"/>
  <c r="BT121" i="24"/>
  <c r="BT106" i="24"/>
  <c r="BA97" i="25"/>
  <c r="BA40" i="25"/>
  <c r="BS63" i="22"/>
  <c r="BA49" i="25"/>
  <c r="BA64" i="25"/>
  <c r="BA109" i="24"/>
  <c r="BA110" i="24"/>
  <c r="BA84" i="24"/>
  <c r="BA46" i="24"/>
  <c r="BA101" i="24"/>
  <c r="BA77" i="24"/>
  <c r="BA54" i="22"/>
  <c r="BA99" i="22"/>
  <c r="BA68" i="22"/>
  <c r="BA107" i="24"/>
  <c r="BA85" i="22"/>
  <c r="BU113" i="24"/>
  <c r="BA83" i="24"/>
  <c r="BA112" i="24"/>
  <c r="BA72" i="24"/>
  <c r="BS32" i="22"/>
  <c r="BT77" i="24"/>
  <c r="BT123" i="24"/>
  <c r="BT73" i="24"/>
  <c r="BS40" i="22"/>
  <c r="BU57" i="24"/>
  <c r="BA43" i="24"/>
  <c r="BU108" i="24"/>
  <c r="BA124" i="24"/>
  <c r="BA67" i="24"/>
  <c r="BA68" i="24"/>
  <c r="BA70" i="24"/>
  <c r="BA98" i="24"/>
  <c r="BA40" i="24"/>
  <c r="BS54" i="22"/>
  <c r="BA69" i="24"/>
  <c r="BS45" i="22"/>
  <c r="BS112" i="22"/>
  <c r="BS86" i="22"/>
  <c r="BS28" i="22"/>
  <c r="BA59" i="24"/>
  <c r="BA96" i="24"/>
  <c r="BA118" i="24"/>
  <c r="BS110" i="22"/>
  <c r="BS90" i="22"/>
  <c r="BT118" i="24"/>
  <c r="BT55" i="24"/>
  <c r="BA103" i="24"/>
  <c r="BA77" i="25"/>
  <c r="BT76" i="24"/>
  <c r="BT42" i="24"/>
  <c r="BS71" i="22"/>
  <c r="BS56" i="22"/>
  <c r="BS119" i="22"/>
  <c r="BS50" i="22"/>
  <c r="BS117" i="22"/>
  <c r="BA118" i="25"/>
  <c r="BS102" i="22"/>
  <c r="BS26" i="22"/>
  <c r="BA55" i="24"/>
  <c r="BA51" i="25"/>
  <c r="BB69" i="24"/>
  <c r="BS70" i="22"/>
  <c r="BA27" i="25"/>
  <c r="BA86" i="25"/>
  <c r="BU90" i="24"/>
  <c r="BA31" i="24"/>
  <c r="BA90" i="24"/>
  <c r="BT44" i="24"/>
  <c r="BA35" i="24"/>
  <c r="BA81" i="25"/>
  <c r="BU78" i="25"/>
  <c r="BA120" i="24"/>
  <c r="BA113" i="25"/>
  <c r="BS59" i="22"/>
  <c r="BA120" i="25"/>
  <c r="BS38" i="22"/>
  <c r="BS51" i="22"/>
  <c r="BT46" i="24"/>
  <c r="BV92" i="24"/>
  <c r="BT63" i="24"/>
  <c r="BT57" i="24"/>
  <c r="BT114" i="24"/>
  <c r="BS57" i="22"/>
  <c r="BS79" i="22"/>
  <c r="BS101" i="22"/>
  <c r="BU51" i="25"/>
  <c r="BA79" i="25"/>
  <c r="BA29" i="25"/>
  <c r="BS96" i="22"/>
  <c r="BS73" i="22"/>
  <c r="BA123" i="25"/>
  <c r="BS120" i="22"/>
  <c r="BA100" i="25"/>
  <c r="BA52" i="25"/>
  <c r="BS105" i="22"/>
  <c r="BU32" i="24"/>
  <c r="BA92" i="24"/>
  <c r="BA41" i="24"/>
  <c r="BA50" i="24"/>
  <c r="BS87" i="22"/>
  <c r="BA28" i="24"/>
  <c r="BA115" i="25"/>
  <c r="BA123" i="24"/>
  <c r="BU113" i="25"/>
  <c r="BS124" i="22"/>
  <c r="BA98" i="22"/>
  <c r="BA36" i="24"/>
  <c r="BA88" i="25"/>
  <c r="BS100" i="22"/>
  <c r="BA75" i="25"/>
  <c r="BV67" i="24"/>
  <c r="BU97" i="24"/>
  <c r="BT28" i="24"/>
  <c r="BT108" i="24"/>
  <c r="BT34" i="24"/>
  <c r="BA73" i="25"/>
  <c r="BA67" i="25"/>
  <c r="BA85" i="25"/>
  <c r="BS125" i="22"/>
  <c r="BS99" i="22"/>
  <c r="BS98" i="22"/>
  <c r="BA39" i="25"/>
  <c r="BA71" i="25"/>
  <c r="BA101" i="25"/>
  <c r="BA79" i="24"/>
  <c r="BA29" i="24"/>
  <c r="BA32" i="24"/>
  <c r="BA80" i="24"/>
  <c r="BA122" i="24"/>
  <c r="BA73" i="24"/>
  <c r="BB65" i="24"/>
  <c r="BA114" i="24"/>
  <c r="BV64" i="19"/>
  <c r="BB113" i="24"/>
  <c r="BV122" i="25"/>
  <c r="BV70" i="19"/>
  <c r="BV76" i="19"/>
  <c r="BA98" i="19"/>
  <c r="BA33" i="19"/>
  <c r="BA58" i="19"/>
  <c r="BA81" i="19"/>
  <c r="BA119" i="22"/>
  <c r="BA26" i="19"/>
  <c r="BA80" i="22"/>
  <c r="BA38" i="22"/>
  <c r="BA69" i="22"/>
  <c r="BA26" i="22"/>
  <c r="BA59" i="22"/>
  <c r="BA75" i="22"/>
  <c r="BU125" i="25"/>
  <c r="BA108" i="25"/>
  <c r="BA28" i="25"/>
  <c r="BA66" i="25"/>
  <c r="BA116" i="25"/>
  <c r="BA59" i="25"/>
  <c r="BB121" i="19"/>
  <c r="BA35" i="25"/>
  <c r="BV27" i="19"/>
  <c r="BB52" i="19"/>
  <c r="BA110" i="19"/>
  <c r="BA44" i="19"/>
  <c r="BA57" i="19"/>
  <c r="BA35" i="19"/>
  <c r="BV34" i="25"/>
  <c r="BA67" i="22"/>
  <c r="BA88" i="22"/>
  <c r="BV28" i="25"/>
  <c r="BA64" i="22"/>
  <c r="BA92" i="22"/>
  <c r="BA28" i="22"/>
  <c r="BA44" i="25"/>
  <c r="BV72" i="19"/>
  <c r="BT121" i="22"/>
  <c r="BT46" i="19"/>
  <c r="BT103" i="24"/>
  <c r="BA65" i="25"/>
  <c r="BU124" i="24"/>
  <c r="BU56" i="24"/>
  <c r="BU93" i="24"/>
  <c r="BU66" i="24"/>
  <c r="BU70" i="24"/>
  <c r="BU62" i="24"/>
  <c r="BU91" i="24"/>
  <c r="BU68" i="24"/>
  <c r="BU111" i="24"/>
  <c r="BU63" i="24"/>
  <c r="BU112" i="24"/>
  <c r="BU64" i="24"/>
  <c r="BU78" i="24"/>
  <c r="BU52" i="24"/>
  <c r="BU67" i="24"/>
  <c r="BU92" i="24"/>
  <c r="BU105" i="24"/>
  <c r="BU77" i="24"/>
  <c r="BU27" i="24"/>
  <c r="BU82" i="24"/>
  <c r="BU30" i="24"/>
  <c r="BU98" i="24"/>
  <c r="BU115" i="24"/>
  <c r="BU123" i="24"/>
  <c r="BU34" i="24"/>
  <c r="BU119" i="24"/>
  <c r="BU75" i="24"/>
  <c r="BU76" i="24"/>
  <c r="BU114" i="24"/>
  <c r="BU110" i="24"/>
  <c r="BU125" i="24"/>
  <c r="BV86" i="24"/>
  <c r="BV109" i="24"/>
  <c r="BV74" i="24"/>
  <c r="BV76" i="24"/>
  <c r="BV42" i="24"/>
  <c r="BV26" i="24"/>
  <c r="BV71" i="24"/>
  <c r="BV43" i="24"/>
  <c r="BV125" i="24"/>
  <c r="BV35" i="24"/>
  <c r="BV55" i="24"/>
  <c r="BV30" i="24"/>
  <c r="BV50" i="24"/>
  <c r="BV48" i="24"/>
  <c r="BV28" i="24"/>
  <c r="BV75" i="24"/>
  <c r="BV108" i="24"/>
  <c r="BV88" i="24"/>
  <c r="BV81" i="24"/>
  <c r="BV73" i="24"/>
  <c r="BV32" i="24"/>
  <c r="BV107" i="24"/>
  <c r="BV39" i="24"/>
  <c r="BV27" i="24"/>
  <c r="BV46" i="24"/>
  <c r="BV120" i="24"/>
  <c r="BV95" i="24"/>
  <c r="BV105" i="24"/>
  <c r="BV33" i="24"/>
  <c r="BV51" i="24"/>
  <c r="BV99" i="24"/>
  <c r="BV114" i="24"/>
  <c r="BV89" i="24"/>
  <c r="BT104" i="25"/>
  <c r="BT67" i="25"/>
  <c r="BT61" i="25"/>
  <c r="BT91" i="25"/>
  <c r="BT81" i="25"/>
  <c r="BT29" i="25"/>
  <c r="BT44" i="25"/>
  <c r="BT74" i="25"/>
  <c r="BT43" i="25"/>
  <c r="BT94" i="25"/>
  <c r="BT82" i="25"/>
  <c r="BT113" i="25"/>
  <c r="BT49" i="25"/>
  <c r="BT112" i="25"/>
  <c r="BT114" i="25"/>
  <c r="BT28" i="25"/>
  <c r="BT102" i="25"/>
  <c r="BT56" i="25"/>
  <c r="BT120" i="25"/>
  <c r="BT60" i="25"/>
  <c r="BT89" i="25"/>
  <c r="BT78" i="25"/>
  <c r="BT41" i="25"/>
  <c r="BT85" i="25"/>
  <c r="BT51" i="25"/>
  <c r="BT45" i="25"/>
  <c r="BT118" i="25"/>
  <c r="BT121" i="25"/>
  <c r="BT42" i="25"/>
  <c r="BT77" i="25"/>
  <c r="BT34" i="25"/>
  <c r="BT76" i="25"/>
  <c r="BT39" i="25"/>
  <c r="BT108" i="25"/>
  <c r="BT69" i="25"/>
  <c r="BT73" i="25"/>
  <c r="BT109" i="25"/>
  <c r="BT111" i="25"/>
  <c r="BT33" i="25"/>
  <c r="BT103" i="25"/>
  <c r="BT71" i="25"/>
  <c r="BT63" i="25"/>
  <c r="BT40" i="25"/>
  <c r="BU51" i="22"/>
  <c r="BU53" i="22"/>
  <c r="BU98" i="22"/>
  <c r="BU95" i="22"/>
  <c r="BU101" i="22"/>
  <c r="BU100" i="22"/>
  <c r="BU78" i="22"/>
  <c r="BU87" i="22"/>
  <c r="BU86" i="22"/>
  <c r="BU91" i="22"/>
  <c r="BU54" i="22"/>
  <c r="BU35" i="22"/>
  <c r="BU47" i="22"/>
  <c r="BU112" i="22"/>
  <c r="BU76" i="22"/>
  <c r="BU59" i="22"/>
  <c r="BU42" i="22"/>
  <c r="BU114" i="22"/>
  <c r="BU106" i="22"/>
  <c r="BU109" i="22"/>
  <c r="BU85" i="22"/>
  <c r="BU107" i="22"/>
  <c r="BU50" i="22"/>
  <c r="BU102" i="22"/>
  <c r="BU57" i="22"/>
  <c r="BU103" i="22"/>
  <c r="BU52" i="22"/>
  <c r="BU121" i="22"/>
  <c r="BU82" i="22"/>
  <c r="BU89" i="22"/>
  <c r="BU38" i="22"/>
  <c r="BU56" i="22"/>
  <c r="BU49" i="22"/>
  <c r="BU115" i="22"/>
  <c r="BU26" i="22"/>
  <c r="BU34" i="22"/>
  <c r="BU33" i="22"/>
  <c r="BB123" i="22"/>
  <c r="BB63" i="22"/>
  <c r="BB95" i="22"/>
  <c r="BB94" i="22"/>
  <c r="BB54" i="22"/>
  <c r="BB77" i="22"/>
  <c r="BB61" i="22"/>
  <c r="BB37" i="22"/>
  <c r="BB105" i="22"/>
  <c r="BB76" i="22"/>
  <c r="BB88" i="22"/>
  <c r="BB29" i="22"/>
  <c r="BB85" i="22"/>
  <c r="BB93" i="22"/>
  <c r="BB117" i="22"/>
  <c r="BB74" i="22"/>
  <c r="BB78" i="22"/>
  <c r="BB40" i="22"/>
  <c r="BB45" i="22"/>
  <c r="BB107" i="22"/>
  <c r="BB75" i="22"/>
  <c r="BB28" i="22"/>
  <c r="BB50" i="22"/>
  <c r="BB32" i="22"/>
  <c r="BB102" i="22"/>
  <c r="BB34" i="22"/>
  <c r="BB65" i="22"/>
  <c r="BB91" i="22"/>
  <c r="BB36" i="22"/>
  <c r="BB83" i="22"/>
  <c r="BB56" i="22"/>
  <c r="BB64" i="22"/>
  <c r="BB114" i="22"/>
  <c r="BB120" i="22"/>
  <c r="BB101" i="22"/>
  <c r="BB62" i="22"/>
  <c r="BB66" i="22"/>
  <c r="BB38" i="22"/>
  <c r="BB57" i="22"/>
  <c r="BT88" i="25"/>
  <c r="BU49" i="25"/>
  <c r="BU32" i="25"/>
  <c r="BU34" i="25"/>
  <c r="BU97" i="25"/>
  <c r="BU86" i="25"/>
  <c r="BU73" i="25"/>
  <c r="BU29" i="25"/>
  <c r="BU27" i="25"/>
  <c r="BU54" i="25"/>
  <c r="BU94" i="25"/>
  <c r="BU33" i="25"/>
  <c r="BU89" i="25"/>
  <c r="BU120" i="25"/>
  <c r="BU90" i="25"/>
  <c r="BU104" i="25"/>
  <c r="BU38" i="25"/>
  <c r="BU123" i="25"/>
  <c r="BU68" i="25"/>
  <c r="BU31" i="25"/>
  <c r="BU110" i="25"/>
  <c r="BU91" i="25"/>
  <c r="BU119" i="25"/>
  <c r="BU61" i="25"/>
  <c r="BU42" i="25"/>
  <c r="BU53" i="25"/>
  <c r="BU118" i="25"/>
  <c r="BU80" i="25"/>
  <c r="BU82" i="25"/>
  <c r="BU106" i="25"/>
  <c r="BU84" i="25"/>
  <c r="BU115" i="25"/>
  <c r="BU109" i="25"/>
  <c r="BU45" i="25"/>
  <c r="BU98" i="25"/>
  <c r="BU26" i="25"/>
  <c r="BU58" i="25"/>
  <c r="BC123" i="19"/>
  <c r="BC58" i="19"/>
  <c r="BC40" i="19"/>
  <c r="BC48" i="19"/>
  <c r="BC54" i="19"/>
  <c r="BC27" i="19"/>
  <c r="BC64" i="19"/>
  <c r="BC83" i="19"/>
  <c r="BC108" i="19"/>
  <c r="BC95" i="19"/>
  <c r="BC74" i="19"/>
  <c r="BV94" i="22"/>
  <c r="BV62" i="22"/>
  <c r="BV106" i="22"/>
  <c r="BV31" i="22"/>
  <c r="BV96" i="22"/>
  <c r="BV124" i="22"/>
  <c r="BV86" i="22"/>
  <c r="BV68" i="22"/>
  <c r="BV82" i="22"/>
  <c r="BV88" i="22"/>
  <c r="BV33" i="22"/>
  <c r="BV121" i="22"/>
  <c r="BV37" i="22"/>
  <c r="BV110" i="22"/>
  <c r="BV63" i="22"/>
  <c r="BC107" i="24"/>
  <c r="BC99" i="24"/>
  <c r="BC28" i="24"/>
  <c r="BC26" i="24"/>
  <c r="BC61" i="24"/>
  <c r="BC50" i="24"/>
  <c r="BC60" i="24"/>
  <c r="BC98" i="24"/>
  <c r="BC116" i="24"/>
  <c r="BC104" i="24"/>
  <c r="BC89" i="24"/>
  <c r="BC55" i="24"/>
  <c r="BC53" i="24"/>
  <c r="BC46" i="24"/>
  <c r="BC108" i="24"/>
  <c r="BC95" i="24"/>
  <c r="BC109" i="24"/>
  <c r="BC96" i="24"/>
  <c r="BC123" i="24"/>
  <c r="BC105" i="24"/>
  <c r="BC47" i="24"/>
  <c r="BC32" i="24"/>
  <c r="BC106" i="24"/>
  <c r="BC35" i="24"/>
  <c r="BC44" i="24"/>
  <c r="BC93" i="24"/>
  <c r="BC88" i="24"/>
  <c r="BC112" i="24"/>
  <c r="BC101" i="24"/>
  <c r="BC121" i="24"/>
  <c r="BC56" i="24"/>
  <c r="BC42" i="24"/>
  <c r="BC34" i="24"/>
  <c r="BC73" i="24"/>
  <c r="BC79" i="24"/>
  <c r="BC94" i="24"/>
  <c r="BC124" i="24"/>
  <c r="BC115" i="24"/>
  <c r="BC45" i="24"/>
  <c r="BC78" i="24"/>
  <c r="BC85" i="24"/>
  <c r="BC27" i="24"/>
  <c r="BC64" i="24"/>
  <c r="BC59" i="24"/>
  <c r="BC63" i="24"/>
  <c r="BC37" i="24"/>
  <c r="BC51" i="24"/>
  <c r="BC111" i="24"/>
  <c r="BC87" i="24"/>
  <c r="BC38" i="24"/>
  <c r="BC100" i="24"/>
  <c r="BC62" i="24"/>
  <c r="BC57" i="24"/>
  <c r="BC82" i="24"/>
  <c r="BC92" i="24"/>
  <c r="BC97" i="24"/>
  <c r="BC110" i="24"/>
  <c r="BC58" i="24"/>
  <c r="BC103" i="24"/>
  <c r="BC52" i="24"/>
  <c r="BC86" i="24"/>
  <c r="BC113" i="24"/>
  <c r="BC29" i="24"/>
  <c r="BC119" i="24"/>
  <c r="BC33" i="24"/>
  <c r="BC118" i="24"/>
  <c r="BC49" i="24"/>
  <c r="BC77" i="24"/>
  <c r="BC30" i="24"/>
  <c r="BC125" i="24"/>
  <c r="BC122" i="24"/>
  <c r="BC74" i="24"/>
  <c r="BC43" i="24"/>
  <c r="BB31" i="22"/>
  <c r="BT86" i="22"/>
  <c r="BT34" i="22"/>
  <c r="BT100" i="22"/>
  <c r="BV114" i="25"/>
  <c r="BT90" i="25"/>
  <c r="BT114" i="22"/>
  <c r="BC120" i="24"/>
  <c r="BC114" i="24"/>
  <c r="BV29" i="24"/>
  <c r="BU66" i="22"/>
  <c r="BB52" i="22"/>
  <c r="BU43" i="19"/>
  <c r="BV85" i="24"/>
  <c r="BU53" i="24"/>
  <c r="BV70" i="24"/>
  <c r="BB71" i="22"/>
  <c r="BU61" i="24"/>
  <c r="BT82" i="19"/>
  <c r="BV98" i="24"/>
  <c r="BU45" i="22"/>
  <c r="BV106" i="24"/>
  <c r="BB48" i="22"/>
  <c r="BB119" i="22"/>
  <c r="BV83" i="24"/>
  <c r="BV66" i="25"/>
  <c r="BB107" i="24"/>
  <c r="BU31" i="24"/>
  <c r="BT27" i="22"/>
  <c r="BV111" i="19"/>
  <c r="BU92" i="25"/>
  <c r="BU30" i="25"/>
  <c r="BT50" i="25"/>
  <c r="BB27" i="24"/>
  <c r="G99" i="21"/>
  <c r="G100" i="21" s="1"/>
  <c r="G152" i="21" s="1"/>
  <c r="BT87" i="22"/>
  <c r="BV61" i="24"/>
  <c r="BV105" i="25"/>
  <c r="BU122" i="24"/>
  <c r="BC113" i="19"/>
  <c r="BB92" i="22"/>
  <c r="BV120" i="25"/>
  <c r="BU122" i="22"/>
  <c r="BU32" i="22"/>
  <c r="BC102" i="19"/>
  <c r="BC68" i="22"/>
  <c r="BB104" i="22"/>
  <c r="BV78" i="24"/>
  <c r="BV85" i="25"/>
  <c r="BV45" i="25"/>
  <c r="BB33" i="22"/>
  <c r="BC54" i="24"/>
  <c r="BT93" i="22"/>
  <c r="BC66" i="19"/>
  <c r="BV59" i="25"/>
  <c r="BU58" i="24"/>
  <c r="BC67" i="19"/>
  <c r="BT110" i="22"/>
  <c r="BU70" i="22"/>
  <c r="BT30" i="22"/>
  <c r="BU62" i="22"/>
  <c r="BU46" i="25"/>
  <c r="BU37" i="25"/>
  <c r="BU52" i="25"/>
  <c r="BT114" i="19"/>
  <c r="BT123" i="25"/>
  <c r="BC48" i="24"/>
  <c r="BV118" i="22"/>
  <c r="BU124" i="22"/>
  <c r="BC39" i="24"/>
  <c r="BT27" i="25"/>
  <c r="BT116" i="25"/>
  <c r="BB41" i="25"/>
  <c r="BB123" i="25"/>
  <c r="BB34" i="25"/>
  <c r="BB77" i="25"/>
  <c r="BB36" i="25"/>
  <c r="BB60" i="25"/>
  <c r="BB122" i="25"/>
  <c r="BB70" i="25"/>
  <c r="BB79" i="25"/>
  <c r="BB56" i="25"/>
  <c r="BB66" i="25"/>
  <c r="BB92" i="25"/>
  <c r="BB61" i="25"/>
  <c r="BB63" i="25"/>
  <c r="BB50" i="25"/>
  <c r="BB55" i="25"/>
  <c r="BB91" i="25"/>
  <c r="BB99" i="25"/>
  <c r="BB81" i="25"/>
  <c r="BB43" i="25"/>
  <c r="BB52" i="25"/>
  <c r="BB109" i="25"/>
  <c r="BB121" i="25"/>
  <c r="BB115" i="25"/>
  <c r="BB68" i="25"/>
  <c r="BB125" i="25"/>
  <c r="BB116" i="25"/>
  <c r="BB69" i="25"/>
  <c r="BB89" i="25"/>
  <c r="BB113" i="25"/>
  <c r="BB118" i="25"/>
  <c r="BB105" i="25"/>
  <c r="BB96" i="25"/>
  <c r="BB73" i="25"/>
  <c r="BB103" i="25"/>
  <c r="BB94" i="25"/>
  <c r="BB120" i="25"/>
  <c r="BB42" i="25"/>
  <c r="BB64" i="25"/>
  <c r="BB57" i="25"/>
  <c r="BB67" i="25"/>
  <c r="BV121" i="24"/>
  <c r="BB67" i="22"/>
  <c r="BU26" i="24"/>
  <c r="BB70" i="22"/>
  <c r="BV58" i="19"/>
  <c r="BV91" i="24"/>
  <c r="BV110" i="24"/>
  <c r="BB89" i="22"/>
  <c r="BB72" i="22"/>
  <c r="BV82" i="24"/>
  <c r="BV111" i="24"/>
  <c r="BB39" i="25"/>
  <c r="BC76" i="22"/>
  <c r="BC106" i="22"/>
  <c r="BC80" i="22"/>
  <c r="BC82" i="22"/>
  <c r="BC59" i="22"/>
  <c r="BC112" i="22"/>
  <c r="BC30" i="22"/>
  <c r="BV93" i="24"/>
  <c r="BB44" i="22"/>
  <c r="BB79" i="22"/>
  <c r="BV117" i="24"/>
  <c r="BV62" i="24"/>
  <c r="BV38" i="24"/>
  <c r="BB49" i="25"/>
  <c r="BB30" i="25"/>
  <c r="BV112" i="19"/>
  <c r="BV125" i="19"/>
  <c r="BT96" i="19"/>
  <c r="BU61" i="22"/>
  <c r="BB80" i="22"/>
  <c r="BV54" i="24"/>
  <c r="BU47" i="24"/>
  <c r="BV96" i="24"/>
  <c r="BB82" i="22"/>
  <c r="BU125" i="22"/>
  <c r="BV87" i="19"/>
  <c r="BV84" i="19"/>
  <c r="BT122" i="19"/>
  <c r="BV91" i="19"/>
  <c r="BV82" i="19"/>
  <c r="BV47" i="19"/>
  <c r="BV48" i="19"/>
  <c r="BV31" i="19"/>
  <c r="BV98" i="19"/>
  <c r="BV71" i="19"/>
  <c r="BV53" i="19"/>
  <c r="BV118" i="19"/>
  <c r="BV93" i="19"/>
  <c r="BV79" i="19"/>
  <c r="BV94" i="19"/>
  <c r="BV110" i="19"/>
  <c r="BV123" i="19"/>
  <c r="BV100" i="19"/>
  <c r="BV66" i="19"/>
  <c r="BV78" i="19"/>
  <c r="BV107" i="19"/>
  <c r="BV52" i="19"/>
  <c r="BV42" i="19"/>
  <c r="BV69" i="19"/>
  <c r="BV29" i="19"/>
  <c r="BV77" i="19"/>
  <c r="BV49" i="19"/>
  <c r="BV96" i="19"/>
  <c r="BV56" i="19"/>
  <c r="BV119" i="19"/>
  <c r="BV39" i="19"/>
  <c r="BV46" i="19"/>
  <c r="BV74" i="19"/>
  <c r="BV104" i="19"/>
  <c r="BV51" i="19"/>
  <c r="BV54" i="19"/>
  <c r="BV61" i="19"/>
  <c r="BV34" i="19"/>
  <c r="BV114" i="19"/>
  <c r="BV92" i="19"/>
  <c r="BV41" i="19"/>
  <c r="BV43" i="19"/>
  <c r="BV36" i="19"/>
  <c r="BV40" i="19"/>
  <c r="BV45" i="19"/>
  <c r="BV28" i="19"/>
  <c r="BV120" i="19"/>
  <c r="BV95" i="19"/>
  <c r="BV35" i="19"/>
  <c r="BV108" i="19"/>
  <c r="BV117" i="25"/>
  <c r="BV115" i="25"/>
  <c r="BV108" i="25"/>
  <c r="BV29" i="25"/>
  <c r="BV39" i="25"/>
  <c r="BV27" i="25"/>
  <c r="BV113" i="25"/>
  <c r="BV30" i="25"/>
  <c r="BV42" i="25"/>
  <c r="BV88" i="25"/>
  <c r="BV93" i="25"/>
  <c r="BV41" i="25"/>
  <c r="BV67" i="25"/>
  <c r="BV35" i="25"/>
  <c r="BV62" i="25"/>
  <c r="BV118" i="25"/>
  <c r="BV71" i="25"/>
  <c r="BV89" i="25"/>
  <c r="BV36" i="25"/>
  <c r="BV106" i="25"/>
  <c r="BV80" i="25"/>
  <c r="BV109" i="25"/>
  <c r="BV50" i="25"/>
  <c r="BV49" i="25"/>
  <c r="BV70" i="25"/>
  <c r="BV107" i="25"/>
  <c r="BV64" i="25"/>
  <c r="BV121" i="25"/>
  <c r="BV77" i="25"/>
  <c r="BV31" i="25"/>
  <c r="BV99" i="25"/>
  <c r="BV60" i="25"/>
  <c r="BV97" i="25"/>
  <c r="BV82" i="25"/>
  <c r="BV125" i="25"/>
  <c r="BV69" i="25"/>
  <c r="BV52" i="25"/>
  <c r="BV37" i="25"/>
  <c r="BV81" i="25"/>
  <c r="BV112" i="25"/>
  <c r="BV56" i="25"/>
  <c r="BV116" i="25"/>
  <c r="BV91" i="25"/>
  <c r="BV58" i="25"/>
  <c r="BV73" i="25"/>
  <c r="BV55" i="25"/>
  <c r="BV53" i="25"/>
  <c r="BV46" i="25"/>
  <c r="BV101" i="25"/>
  <c r="BT107" i="22"/>
  <c r="BT120" i="22"/>
  <c r="BT41" i="22"/>
  <c r="BT62" i="22"/>
  <c r="BT33" i="22"/>
  <c r="BT48" i="22"/>
  <c r="BT74" i="22"/>
  <c r="BT28" i="22"/>
  <c r="BT59" i="22"/>
  <c r="BT109" i="22"/>
  <c r="BT36" i="22"/>
  <c r="BT91" i="22"/>
  <c r="BT94" i="22"/>
  <c r="BT69" i="22"/>
  <c r="BT56" i="22"/>
  <c r="BT106" i="22"/>
  <c r="BT103" i="22"/>
  <c r="BT78" i="22"/>
  <c r="BT54" i="22"/>
  <c r="BT43" i="22"/>
  <c r="BT119" i="22"/>
  <c r="BT88" i="22"/>
  <c r="BT72" i="22"/>
  <c r="BT61" i="22"/>
  <c r="BT92" i="22"/>
  <c r="BT66" i="22"/>
  <c r="BT26" i="22"/>
  <c r="BT79" i="22"/>
  <c r="BT46" i="22"/>
  <c r="BT70" i="22"/>
  <c r="BT98" i="22"/>
  <c r="BT75" i="22"/>
  <c r="BT57" i="22"/>
  <c r="BT52" i="22"/>
  <c r="BT117" i="22"/>
  <c r="BT85" i="22"/>
  <c r="BT125" i="22"/>
  <c r="BT118" i="22"/>
  <c r="BT101" i="22"/>
  <c r="BT116" i="22"/>
  <c r="BT60" i="22"/>
  <c r="BT65" i="22"/>
  <c r="BT122" i="22"/>
  <c r="BT71" i="22"/>
  <c r="BT37" i="22"/>
  <c r="BT64" i="22"/>
  <c r="BT108" i="22"/>
  <c r="BT80" i="22"/>
  <c r="BT112" i="22"/>
  <c r="BT40" i="22"/>
  <c r="BT39" i="22"/>
  <c r="BT63" i="22"/>
  <c r="BT29" i="22"/>
  <c r="BT113" i="22"/>
  <c r="BT97" i="22"/>
  <c r="BT53" i="22"/>
  <c r="BT111" i="22"/>
  <c r="BT96" i="22"/>
  <c r="BT50" i="22"/>
  <c r="BT89" i="22"/>
  <c r="BT47" i="22"/>
  <c r="BT73" i="22"/>
  <c r="BT104" i="22"/>
  <c r="BT105" i="22"/>
  <c r="BC62" i="19"/>
  <c r="BC114" i="22"/>
  <c r="BU85" i="24"/>
  <c r="BC94" i="19"/>
  <c r="BV63" i="24"/>
  <c r="BV40" i="24"/>
  <c r="BB53" i="22"/>
  <c r="BB73" i="22"/>
  <c r="BC84" i="19"/>
  <c r="G141" i="21"/>
  <c r="BV84" i="24"/>
  <c r="BV38" i="25"/>
  <c r="BU58" i="22"/>
  <c r="BB68" i="22"/>
  <c r="BC38" i="19"/>
  <c r="BV87" i="25"/>
  <c r="BU116" i="22"/>
  <c r="BU81" i="22"/>
  <c r="BC30" i="19"/>
  <c r="BC87" i="22"/>
  <c r="BU79" i="22"/>
  <c r="BV65" i="24"/>
  <c r="BV92" i="25"/>
  <c r="BV98" i="25"/>
  <c r="BV47" i="24"/>
  <c r="BV72" i="25"/>
  <c r="BC112" i="19"/>
  <c r="BB47" i="25"/>
  <c r="BV119" i="24"/>
  <c r="BT83" i="22"/>
  <c r="BC41" i="19"/>
  <c r="BU43" i="24"/>
  <c r="BC39" i="19"/>
  <c r="BV33" i="25"/>
  <c r="BC68" i="19"/>
  <c r="BU91" i="19"/>
  <c r="BC117" i="19"/>
  <c r="BC34" i="19"/>
  <c r="BU39" i="24"/>
  <c r="BB31" i="25"/>
  <c r="BT69" i="19"/>
  <c r="BU40" i="22"/>
  <c r="BV32" i="25"/>
  <c r="BT51" i="22"/>
  <c r="BT99" i="22"/>
  <c r="BU70" i="25"/>
  <c r="BV97" i="19"/>
  <c r="BU71" i="24"/>
  <c r="BB117" i="25"/>
  <c r="BT78" i="19"/>
  <c r="BT123" i="22"/>
  <c r="BC102" i="24"/>
  <c r="BB87" i="24"/>
  <c r="BC65" i="24"/>
  <c r="BT110" i="25"/>
  <c r="BT96" i="25"/>
  <c r="BV34" i="24"/>
  <c r="BB46" i="22"/>
  <c r="BU81" i="24"/>
  <c r="BB96" i="22"/>
  <c r="BC69" i="19"/>
  <c r="BB55" i="22"/>
  <c r="BC72" i="19"/>
  <c r="BB124" i="22"/>
  <c r="BU37" i="22"/>
  <c r="BU30" i="22"/>
  <c r="BU80" i="22"/>
  <c r="BU77" i="22"/>
  <c r="BV123" i="24"/>
  <c r="BV61" i="25"/>
  <c r="BV54" i="25"/>
  <c r="BU35" i="24"/>
  <c r="BB59" i="25"/>
  <c r="BC99" i="19"/>
  <c r="BB104" i="25"/>
  <c r="BB54" i="25"/>
  <c r="BT58" i="22"/>
  <c r="BV83" i="19"/>
  <c r="BU83" i="22"/>
  <c r="BC34" i="22"/>
  <c r="BU95" i="24"/>
  <c r="BU51" i="24"/>
  <c r="BC75" i="24"/>
  <c r="BT27" i="19"/>
  <c r="BU84" i="22"/>
  <c r="BV102" i="25"/>
  <c r="BU46" i="22"/>
  <c r="BT84" i="22"/>
  <c r="BB98" i="22"/>
  <c r="BV33" i="19"/>
  <c r="BB33" i="24"/>
  <c r="BT58" i="25"/>
  <c r="BB99" i="22"/>
  <c r="BC70" i="24"/>
  <c r="BC41" i="24"/>
  <c r="BT62" i="19"/>
  <c r="BC67" i="24"/>
  <c r="BU125" i="19"/>
  <c r="BU65" i="19"/>
  <c r="BU55" i="19"/>
  <c r="BU58" i="19"/>
  <c r="BU52" i="19"/>
  <c r="BU119" i="19"/>
  <c r="BU120" i="19"/>
  <c r="BU26" i="19"/>
  <c r="BU84" i="19"/>
  <c r="BU28" i="19"/>
  <c r="BU100" i="19"/>
  <c r="BU41" i="19"/>
  <c r="BU27" i="19"/>
  <c r="BU53" i="19"/>
  <c r="BU73" i="19"/>
  <c r="BU106" i="19"/>
  <c r="BU54" i="19"/>
  <c r="BU124" i="19"/>
  <c r="BU102" i="19"/>
  <c r="BU47" i="19"/>
  <c r="BU34" i="19"/>
  <c r="BU112" i="19"/>
  <c r="BU93" i="19"/>
  <c r="BU98" i="19"/>
  <c r="BU36" i="19"/>
  <c r="BU66" i="19"/>
  <c r="BU33" i="19"/>
  <c r="BU29" i="19"/>
  <c r="BU86" i="19"/>
  <c r="BU81" i="19"/>
  <c r="BU94" i="19"/>
  <c r="BU85" i="19"/>
  <c r="BU83" i="19"/>
  <c r="BU38" i="19"/>
  <c r="BU92" i="19"/>
  <c r="BU70" i="19"/>
  <c r="BU105" i="22"/>
  <c r="BB111" i="22"/>
  <c r="BC118" i="19"/>
  <c r="BC71" i="22"/>
  <c r="BU106" i="24"/>
  <c r="BB86" i="22"/>
  <c r="BU111" i="22"/>
  <c r="BB35" i="22"/>
  <c r="BU118" i="24"/>
  <c r="BV57" i="24"/>
  <c r="BV112" i="24"/>
  <c r="BV123" i="25"/>
  <c r="BV102" i="24"/>
  <c r="BC117" i="24"/>
  <c r="BC124" i="19"/>
  <c r="BV87" i="22"/>
  <c r="BT77" i="22"/>
  <c r="BU121" i="24"/>
  <c r="BB122" i="24"/>
  <c r="BU103" i="19"/>
  <c r="BV102" i="19"/>
  <c r="BU99" i="19"/>
  <c r="BU59" i="24"/>
  <c r="BB44" i="25"/>
  <c r="BU83" i="24"/>
  <c r="BB59" i="22"/>
  <c r="BU27" i="22"/>
  <c r="BU37" i="24"/>
  <c r="BU100" i="25"/>
  <c r="BV124" i="19"/>
  <c r="BB47" i="22"/>
  <c r="BU99" i="22"/>
  <c r="BB32" i="25"/>
  <c r="BB26" i="25"/>
  <c r="BU120" i="22"/>
  <c r="BT90" i="22"/>
  <c r="BC69" i="24"/>
  <c r="BT65" i="25"/>
  <c r="BT79" i="19"/>
  <c r="BT90" i="19"/>
  <c r="BT37" i="19"/>
  <c r="BT101" i="19"/>
  <c r="BT103" i="19"/>
  <c r="BT80" i="19"/>
  <c r="BT42" i="19"/>
  <c r="BT74" i="19"/>
  <c r="BT54" i="19"/>
  <c r="BT56" i="19"/>
  <c r="BT89" i="19"/>
  <c r="BT38" i="19"/>
  <c r="BT92" i="19"/>
  <c r="BT31" i="19"/>
  <c r="BT41" i="19"/>
  <c r="BT125" i="19"/>
  <c r="BT100" i="19"/>
  <c r="BT32" i="19"/>
  <c r="BT58" i="19"/>
  <c r="BT28" i="19"/>
  <c r="BT55" i="19"/>
  <c r="BT29" i="19"/>
  <c r="BT51" i="19"/>
  <c r="BT44" i="19"/>
  <c r="BT121" i="19"/>
  <c r="BT30" i="19"/>
  <c r="BT52" i="19"/>
  <c r="BT48" i="19"/>
  <c r="BT57" i="19"/>
  <c r="BT119" i="19"/>
  <c r="BT109" i="19"/>
  <c r="BT68" i="19"/>
  <c r="BT39" i="19"/>
  <c r="BT118" i="19"/>
  <c r="BT49" i="19"/>
  <c r="BT85" i="19"/>
  <c r="BT97" i="19"/>
  <c r="BT120" i="19"/>
  <c r="BT88" i="19"/>
  <c r="BT93" i="19"/>
  <c r="BT106" i="19"/>
  <c r="BT33" i="19"/>
  <c r="BT117" i="19"/>
  <c r="BT107" i="19"/>
  <c r="BT53" i="19"/>
  <c r="BT98" i="19"/>
  <c r="BT73" i="19"/>
  <c r="BT94" i="19"/>
  <c r="BT64" i="19"/>
  <c r="BT99" i="19"/>
  <c r="BT67" i="19"/>
  <c r="BT105" i="19"/>
  <c r="BT86" i="19"/>
  <c r="BT59" i="19"/>
  <c r="BT123" i="19"/>
  <c r="BT45" i="19"/>
  <c r="BT60" i="19"/>
  <c r="BT66" i="19"/>
  <c r="BT40" i="19"/>
  <c r="BT110" i="19"/>
  <c r="BT111" i="19"/>
  <c r="BT71" i="19"/>
  <c r="BT81" i="19"/>
  <c r="BU36" i="22"/>
  <c r="BC90" i="24"/>
  <c r="BU110" i="22"/>
  <c r="BB100" i="25"/>
  <c r="BV103" i="25"/>
  <c r="BV104" i="25"/>
  <c r="BT31" i="22"/>
  <c r="BT87" i="25"/>
  <c r="BC91" i="24"/>
  <c r="BB63" i="24"/>
  <c r="BB99" i="24"/>
  <c r="BB61" i="24"/>
  <c r="BB74" i="24"/>
  <c r="BB46" i="24"/>
  <c r="BB32" i="24"/>
  <c r="BB49" i="24"/>
  <c r="BB95" i="24"/>
  <c r="BB66" i="24"/>
  <c r="BB78" i="24"/>
  <c r="BB121" i="24"/>
  <c r="BB47" i="24"/>
  <c r="BB31" i="24"/>
  <c r="BB58" i="24"/>
  <c r="BB51" i="24"/>
  <c r="BB28" i="24"/>
  <c r="BB98" i="24"/>
  <c r="BB105" i="24"/>
  <c r="BB50" i="24"/>
  <c r="BB81" i="24"/>
  <c r="BB79" i="24"/>
  <c r="BB84" i="24"/>
  <c r="BB30" i="24"/>
  <c r="BB101" i="24"/>
  <c r="BB55" i="24"/>
  <c r="BB92" i="24"/>
  <c r="BB70" i="24"/>
  <c r="BB109" i="24"/>
  <c r="BB71" i="24"/>
  <c r="BB83" i="24"/>
  <c r="BB91" i="24"/>
  <c r="BB77" i="24"/>
  <c r="BB94" i="24"/>
  <c r="BB120" i="24"/>
  <c r="BB86" i="24"/>
  <c r="BB115" i="24"/>
  <c r="BB80" i="24"/>
  <c r="BB45" i="24"/>
  <c r="BB68" i="24"/>
  <c r="BB117" i="24"/>
  <c r="BB104" i="24"/>
  <c r="BB88" i="24"/>
  <c r="BB26" i="24"/>
  <c r="BB112" i="24"/>
  <c r="BB34" i="24"/>
  <c r="BB73" i="24"/>
  <c r="BB118" i="24"/>
  <c r="BB103" i="24"/>
  <c r="BB54" i="24"/>
  <c r="BB100" i="24"/>
  <c r="BB64" i="24"/>
  <c r="BB53" i="24"/>
  <c r="BB110" i="24"/>
  <c r="BB82" i="24"/>
  <c r="BB52" i="24"/>
  <c r="BB75" i="24"/>
  <c r="BB35" i="24"/>
  <c r="BB72" i="24"/>
  <c r="BB67" i="24"/>
  <c r="BB39" i="24"/>
  <c r="BB37" i="24"/>
  <c r="BB97" i="24"/>
  <c r="BB89" i="24"/>
  <c r="BB114" i="24"/>
  <c r="BB124" i="24"/>
  <c r="BB85" i="24"/>
  <c r="BB40" i="24"/>
  <c r="BB29" i="24"/>
  <c r="BB44" i="24"/>
  <c r="BV56" i="24"/>
  <c r="BV113" i="24"/>
  <c r="BV95" i="25"/>
  <c r="BB30" i="22"/>
  <c r="BU38" i="24"/>
  <c r="BV122" i="24"/>
  <c r="BV31" i="24"/>
  <c r="BV104" i="24"/>
  <c r="BV44" i="25"/>
  <c r="BV51" i="25"/>
  <c r="BU69" i="22"/>
  <c r="BC77" i="19"/>
  <c r="BC96" i="19"/>
  <c r="BB100" i="22"/>
  <c r="BV116" i="24"/>
  <c r="BV94" i="25"/>
  <c r="BU116" i="24"/>
  <c r="BB110" i="22"/>
  <c r="BU29" i="24"/>
  <c r="BV101" i="24"/>
  <c r="BC70" i="22"/>
  <c r="BV118" i="24"/>
  <c r="BV90" i="25"/>
  <c r="BB74" i="25"/>
  <c r="BB87" i="25"/>
  <c r="BV111" i="25"/>
  <c r="BT95" i="22"/>
  <c r="BB43" i="24"/>
  <c r="BB108" i="25"/>
  <c r="BT32" i="22"/>
  <c r="BU94" i="24"/>
  <c r="BV57" i="25"/>
  <c r="BV119" i="25"/>
  <c r="BU61" i="19"/>
  <c r="BV75" i="19"/>
  <c r="BV26" i="19"/>
  <c r="BV84" i="25"/>
  <c r="BT67" i="22"/>
  <c r="BB80" i="25"/>
  <c r="BT98" i="25"/>
  <c r="BU41" i="22"/>
  <c r="BU118" i="19"/>
  <c r="BU116" i="25"/>
  <c r="BU44" i="19"/>
  <c r="BV86" i="19"/>
  <c r="BU41" i="25"/>
  <c r="BT91" i="19"/>
  <c r="BU63" i="22"/>
  <c r="BV87" i="24"/>
  <c r="BV69" i="24"/>
  <c r="BB49" i="22"/>
  <c r="BU50" i="24"/>
  <c r="BC78" i="19"/>
  <c r="BB109" i="22"/>
  <c r="BV45" i="24"/>
  <c r="BV47" i="25"/>
  <c r="BU60" i="22"/>
  <c r="BV72" i="24"/>
  <c r="BV124" i="25"/>
  <c r="BU42" i="24"/>
  <c r="BC26" i="22"/>
  <c r="BV68" i="24"/>
  <c r="BV79" i="25"/>
  <c r="BV44" i="24"/>
  <c r="BC120" i="19"/>
  <c r="BC122" i="19"/>
  <c r="BB51" i="25"/>
  <c r="BT102" i="22"/>
  <c r="BB88" i="25"/>
  <c r="BT38" i="22"/>
  <c r="BU48" i="24"/>
  <c r="BC125" i="19"/>
  <c r="BU100" i="24"/>
  <c r="BU72" i="24"/>
  <c r="BU88" i="24"/>
  <c r="BB38" i="24"/>
  <c r="BC31" i="24"/>
  <c r="BU107" i="25"/>
  <c r="BV114" i="22"/>
  <c r="BT35" i="22"/>
  <c r="BT124" i="22"/>
  <c r="BB69" i="22"/>
  <c r="BU72" i="19"/>
  <c r="BU41" i="24"/>
  <c r="BC115" i="19"/>
  <c r="BU104" i="22"/>
  <c r="BT116" i="19"/>
  <c r="BB106" i="24"/>
  <c r="BB85" i="25"/>
  <c r="BT93" i="25"/>
  <c r="BB28" i="25"/>
  <c r="BU71" i="19"/>
  <c r="BV78" i="25"/>
  <c r="BV85" i="22"/>
  <c r="BU65" i="22"/>
  <c r="BT113" i="19"/>
  <c r="BU76" i="25"/>
  <c r="BV101" i="22"/>
  <c r="BB124" i="25"/>
  <c r="BB110" i="25"/>
  <c r="BS73" i="19"/>
  <c r="BB62" i="25"/>
  <c r="BB53" i="25"/>
  <c r="BS76" i="19"/>
  <c r="BB78" i="25"/>
  <c r="BB33" i="25"/>
  <c r="BS121" i="19"/>
  <c r="BS42" i="19"/>
  <c r="BS103" i="19"/>
  <c r="BS108" i="19"/>
  <c r="BB29" i="25"/>
  <c r="BS65" i="19"/>
  <c r="BS90" i="19"/>
  <c r="BB97" i="25"/>
  <c r="BB112" i="25"/>
  <c r="BS116" i="19"/>
  <c r="BB111" i="25"/>
  <c r="BB72" i="25"/>
  <c r="BS71" i="19"/>
  <c r="BS46" i="19"/>
  <c r="BS57" i="19"/>
  <c r="BA75" i="24"/>
  <c r="BA74" i="24"/>
  <c r="BA82" i="24"/>
  <c r="BA37" i="24"/>
  <c r="BA111" i="24"/>
  <c r="BA60" i="24"/>
  <c r="BA49" i="24"/>
  <c r="BU104" i="24"/>
  <c r="BU107" i="24"/>
  <c r="BT59" i="25"/>
  <c r="BB37" i="25"/>
  <c r="BB101" i="25"/>
  <c r="BB48" i="25"/>
  <c r="BB46" i="25"/>
  <c r="BB95" i="25"/>
  <c r="BB82" i="25"/>
  <c r="BB27" i="25"/>
  <c r="BB93" i="25"/>
  <c r="BB75" i="25"/>
  <c r="BS98" i="19"/>
  <c r="BS64" i="19"/>
  <c r="BS28" i="19"/>
  <c r="BS55" i="19"/>
  <c r="BS81" i="19"/>
  <c r="BS100" i="19"/>
  <c r="BS101" i="19"/>
  <c r="BS92" i="19"/>
  <c r="BS124" i="19"/>
  <c r="BS27" i="19"/>
  <c r="BS48" i="19"/>
  <c r="BS107" i="19"/>
  <c r="BS86" i="19"/>
  <c r="BB76" i="25"/>
  <c r="BS72" i="19"/>
  <c r="BB58" i="25"/>
  <c r="BB114" i="25"/>
  <c r="BB35" i="25"/>
  <c r="BS70" i="19"/>
  <c r="BS80" i="19"/>
  <c r="BS115" i="19"/>
  <c r="BB86" i="25"/>
  <c r="BS88" i="19"/>
  <c r="BB102" i="25"/>
  <c r="BS114" i="19"/>
  <c r="BB98" i="25"/>
  <c r="BB119" i="25"/>
  <c r="BS53" i="19"/>
  <c r="BS54" i="19"/>
  <c r="BS40" i="19"/>
  <c r="BS68" i="19"/>
  <c r="BT76" i="19"/>
  <c r="BT47" i="19"/>
  <c r="BU75" i="22"/>
  <c r="BT75" i="19"/>
  <c r="BT50" i="19"/>
  <c r="BT124" i="19"/>
  <c r="BV59" i="22"/>
  <c r="BT102" i="19"/>
  <c r="BT108" i="19"/>
  <c r="BV44" i="19"/>
  <c r="BT72" i="19"/>
  <c r="BT32" i="25"/>
  <c r="BT115" i="25"/>
  <c r="BT62" i="25"/>
  <c r="BT83" i="19"/>
  <c r="BT87" i="19"/>
  <c r="BT104" i="19"/>
  <c r="BT34" i="19"/>
  <c r="BA116" i="24"/>
  <c r="BA117" i="24"/>
  <c r="BT95" i="19"/>
  <c r="BA61" i="24"/>
  <c r="BT100" i="25"/>
  <c r="BB124" i="19"/>
  <c r="BV107" i="22"/>
  <c r="BV56" i="22"/>
  <c r="BV62" i="19"/>
  <c r="BT95" i="25"/>
  <c r="BV101" i="19"/>
  <c r="BT72" i="25"/>
  <c r="BU67" i="22"/>
  <c r="BS74" i="19"/>
  <c r="BS113" i="19"/>
  <c r="BT75" i="25"/>
  <c r="BU44" i="25"/>
  <c r="BB43" i="19"/>
  <c r="BB100" i="19"/>
  <c r="BU79" i="24"/>
  <c r="BU80" i="24"/>
  <c r="BU43" i="25"/>
  <c r="BU59" i="25"/>
  <c r="BB89" i="19"/>
  <c r="BB44" i="19"/>
  <c r="BU65" i="25"/>
  <c r="BV79" i="22"/>
  <c r="BT68" i="25"/>
  <c r="BW68" i="25" s="1"/>
  <c r="BT54" i="25"/>
  <c r="BS45" i="19"/>
  <c r="BU74" i="24"/>
  <c r="BB28" i="19"/>
  <c r="BB120" i="19"/>
  <c r="BV109" i="22"/>
  <c r="BV65" i="19"/>
  <c r="BV39" i="22"/>
  <c r="BU67" i="25"/>
  <c r="BV67" i="19"/>
  <c r="BV59" i="19"/>
  <c r="BT46" i="25"/>
  <c r="BT36" i="25"/>
  <c r="BT38" i="25"/>
  <c r="BB90" i="24"/>
  <c r="BS58" i="19"/>
  <c r="BT105" i="25"/>
  <c r="BT119" i="25"/>
  <c r="BT106" i="25"/>
  <c r="BT122" i="25"/>
  <c r="BB74" i="19"/>
  <c r="BV59" i="24"/>
  <c r="BB102" i="19"/>
  <c r="BB114" i="19"/>
  <c r="BU89" i="24"/>
  <c r="BU65" i="24"/>
  <c r="BU86" i="24"/>
  <c r="BB104" i="19"/>
  <c r="BU64" i="25"/>
  <c r="BV67" i="22"/>
  <c r="BV27" i="22"/>
  <c r="AF29" i="24"/>
  <c r="AH29" i="24" s="1"/>
  <c r="AH40" i="24" s="1"/>
  <c r="BV57" i="22"/>
  <c r="BV52" i="22"/>
  <c r="BV80" i="22"/>
  <c r="BV42" i="22"/>
  <c r="BV43" i="25"/>
  <c r="BU71" i="25"/>
  <c r="BV80" i="19"/>
  <c r="BU62" i="25"/>
  <c r="BU45" i="24"/>
  <c r="BV65" i="25"/>
  <c r="BV71" i="22"/>
  <c r="BV123" i="22"/>
  <c r="BV99" i="19"/>
  <c r="BV73" i="19"/>
  <c r="BU95" i="25"/>
  <c r="BU35" i="25"/>
  <c r="BV115" i="19"/>
  <c r="BV90" i="19"/>
  <c r="BV121" i="19"/>
  <c r="BV55" i="19"/>
  <c r="BT99" i="25"/>
  <c r="BT83" i="25"/>
  <c r="BT52" i="25"/>
  <c r="BB38" i="25"/>
  <c r="BB106" i="25"/>
  <c r="BV83" i="25"/>
  <c r="BA95" i="19"/>
  <c r="BB107" i="25"/>
  <c r="BA71" i="19"/>
  <c r="BA103" i="19"/>
  <c r="BA74" i="19"/>
  <c r="BB65" i="19"/>
  <c r="BV86" i="25"/>
  <c r="BV40" i="22"/>
  <c r="BV73" i="22"/>
  <c r="BV112" i="22"/>
  <c r="BV81" i="19"/>
  <c r="BU117" i="22"/>
  <c r="BS62" i="19"/>
  <c r="BV50" i="19"/>
  <c r="BS36" i="19"/>
  <c r="BT92" i="25"/>
  <c r="BT97" i="25"/>
  <c r="BV68" i="19"/>
  <c r="BS51" i="19"/>
  <c r="BS91" i="19"/>
  <c r="BU40" i="24"/>
  <c r="BU103" i="24"/>
  <c r="BU120" i="24"/>
  <c r="BB46" i="19"/>
  <c r="BB73" i="19"/>
  <c r="BU84" i="24"/>
  <c r="BU69" i="24"/>
  <c r="BU36" i="24"/>
  <c r="BB42" i="19"/>
  <c r="BB83" i="19"/>
  <c r="BU96" i="25"/>
  <c r="BU87" i="25"/>
  <c r="BU46" i="24"/>
  <c r="BU101" i="25"/>
  <c r="BU99" i="25"/>
  <c r="BV58" i="24"/>
  <c r="BV78" i="22"/>
  <c r="BV91" i="22"/>
  <c r="BU112" i="25"/>
  <c r="BV85" i="19"/>
  <c r="BU124" i="25"/>
  <c r="BU66" i="25"/>
  <c r="BT26" i="19"/>
  <c r="BU85" i="25"/>
  <c r="BU88" i="25"/>
  <c r="BU75" i="25"/>
  <c r="BT63" i="19"/>
  <c r="BT61" i="19"/>
  <c r="BU83" i="25"/>
  <c r="BU55" i="25"/>
  <c r="BU117" i="25"/>
  <c r="BU36" i="25"/>
  <c r="BU50" i="25"/>
  <c r="BU79" i="25"/>
  <c r="BU111" i="25"/>
  <c r="BU48" i="25"/>
  <c r="BU122" i="25"/>
  <c r="BV122" i="19"/>
  <c r="AF18" i="19"/>
  <c r="AH18" i="19" s="1"/>
  <c r="AF30" i="25"/>
  <c r="M83" i="16" s="1"/>
  <c r="AF28" i="19"/>
  <c r="AF39" i="19" s="1"/>
  <c r="AF31" i="19"/>
  <c r="AH31" i="19" s="1"/>
  <c r="AF31" i="22"/>
  <c r="AH31" i="22" s="1"/>
  <c r="G50" i="17"/>
  <c r="V77" i="17"/>
  <c r="AF40" i="25"/>
  <c r="N38" i="17"/>
  <c r="I153" i="21"/>
  <c r="AH29" i="25"/>
  <c r="AH40" i="25" s="1"/>
  <c r="G49" i="17"/>
  <c r="L50" i="17"/>
  <c r="AF18" i="25"/>
  <c r="AH18" i="25" s="1"/>
  <c r="X38" i="17"/>
  <c r="AF31" i="24"/>
  <c r="AH31" i="24" s="1"/>
  <c r="AF18" i="24"/>
  <c r="AH18" i="24" s="1"/>
  <c r="V51" i="17"/>
  <c r="E101" i="21"/>
  <c r="E102" i="21" s="1"/>
  <c r="E153" i="21" s="1"/>
  <c r="L51" i="17"/>
  <c r="AF29" i="19"/>
  <c r="AH29" i="19" s="1"/>
  <c r="AH40" i="19" s="1"/>
  <c r="H99" i="21"/>
  <c r="H100" i="21" s="1"/>
  <c r="H152" i="21" s="1"/>
  <c r="AI19" i="24"/>
  <c r="L72" i="16" s="1"/>
  <c r="AI19" i="25"/>
  <c r="AK19" i="25" s="1"/>
  <c r="AI21" i="25"/>
  <c r="AK21" i="25" s="1"/>
  <c r="X40" i="17"/>
  <c r="X42" i="17"/>
  <c r="AI27" i="25"/>
  <c r="AK27" i="25" s="1"/>
  <c r="AI27" i="24"/>
  <c r="AK27" i="24" s="1"/>
  <c r="V47" i="17"/>
  <c r="X54" i="17"/>
  <c r="E141" i="21"/>
  <c r="S42" i="17"/>
  <c r="AI31" i="22"/>
  <c r="AK31" i="22" s="1"/>
  <c r="AI23" i="25"/>
  <c r="AK23" i="25" s="1"/>
  <c r="AK36" i="25" s="1"/>
  <c r="AI27" i="19"/>
  <c r="H80" i="16" s="1"/>
  <c r="AI24" i="25"/>
  <c r="X47" i="17"/>
  <c r="X48" i="17"/>
  <c r="AI26" i="25"/>
  <c r="AI23" i="24"/>
  <c r="AK23" i="24" s="1"/>
  <c r="AK36" i="24" s="1"/>
  <c r="S48" i="17"/>
  <c r="AI26" i="24"/>
  <c r="AK26" i="24" s="1"/>
  <c r="AK38" i="24" s="1"/>
  <c r="X57" i="17"/>
  <c r="AI31" i="25"/>
  <c r="N103" i="16"/>
  <c r="N106" i="16" s="1"/>
  <c r="AI21" i="24"/>
  <c r="L74" i="16" s="1"/>
  <c r="L101" i="21"/>
  <c r="L102" i="21" s="1"/>
  <c r="L99" i="21"/>
  <c r="L100" i="21" s="1"/>
  <c r="BQ25" i="25"/>
  <c r="H103" i="16"/>
  <c r="H106" i="16" s="1"/>
  <c r="J99" i="21"/>
  <c r="J100" i="21" s="1"/>
  <c r="J101" i="21"/>
  <c r="J102" i="21" s="1"/>
  <c r="N54" i="17"/>
  <c r="S54" i="17"/>
  <c r="L103" i="16"/>
  <c r="L106" i="16" s="1"/>
  <c r="BQ25" i="24"/>
  <c r="AI19" i="22"/>
  <c r="J72" i="16" s="1"/>
  <c r="N42" i="17"/>
  <c r="S40" i="17"/>
  <c r="AI24" i="24"/>
  <c r="AI21" i="19"/>
  <c r="H74" i="16" s="1"/>
  <c r="I42" i="17"/>
  <c r="S57" i="17"/>
  <c r="AI31" i="24"/>
  <c r="S38" i="17"/>
  <c r="S47" i="17"/>
  <c r="H153" i="21"/>
  <c r="H160" i="21"/>
  <c r="J112" i="16" s="1"/>
  <c r="AI24" i="22"/>
  <c r="N40" i="17"/>
  <c r="AI21" i="22"/>
  <c r="N47" i="17"/>
  <c r="BQ25" i="19"/>
  <c r="BQ90" i="19" s="1"/>
  <c r="BR90" i="19" s="1"/>
  <c r="AI23" i="22"/>
  <c r="BQ25" i="22"/>
  <c r="J103" i="16"/>
  <c r="J106" i="16" s="1"/>
  <c r="AI27" i="22"/>
  <c r="AI26" i="22"/>
  <c r="N48" i="17"/>
  <c r="AI23" i="19"/>
  <c r="I38" i="17"/>
  <c r="I57" i="17"/>
  <c r="AI31" i="19"/>
  <c r="I48" i="17"/>
  <c r="AI26" i="19"/>
  <c r="I47" i="17"/>
  <c r="I40" i="17"/>
  <c r="AI24" i="19"/>
  <c r="AI19" i="19"/>
  <c r="F101" i="21"/>
  <c r="F102" i="21" s="1"/>
  <c r="F99" i="21"/>
  <c r="F100" i="21" s="1"/>
  <c r="I54" i="17"/>
  <c r="K153" i="21"/>
  <c r="AF30" i="22"/>
  <c r="I83" i="16" s="1"/>
  <c r="AF21" i="19"/>
  <c r="G74" i="16" s="1"/>
  <c r="AF22" i="25"/>
  <c r="AH22" i="25" s="1"/>
  <c r="G41" i="17"/>
  <c r="AF30" i="24"/>
  <c r="AH30" i="24" s="1"/>
  <c r="AF23" i="19"/>
  <c r="AH23" i="19" s="1"/>
  <c r="AH36" i="19" s="1"/>
  <c r="I141" i="21"/>
  <c r="I241" i="21" s="1"/>
  <c r="Q50" i="17"/>
  <c r="V40" i="17"/>
  <c r="AF22" i="19"/>
  <c r="G75" i="16" s="1"/>
  <c r="AF31" i="25"/>
  <c r="M84" i="16" s="1"/>
  <c r="AF28" i="25"/>
  <c r="AH28" i="25" s="1"/>
  <c r="AH39" i="25" s="1"/>
  <c r="AF26" i="25"/>
  <c r="AF38" i="25" s="1"/>
  <c r="AF27" i="22"/>
  <c r="AH27" i="22" s="1"/>
  <c r="G40" i="17"/>
  <c r="AF27" i="25"/>
  <c r="AH27" i="25" s="1"/>
  <c r="AF28" i="24"/>
  <c r="AF39" i="24" s="1"/>
  <c r="AF18" i="22"/>
  <c r="I71" i="16" s="1"/>
  <c r="AF19" i="22"/>
  <c r="AH19" i="22" s="1"/>
  <c r="AF29" i="22"/>
  <c r="AF30" i="19"/>
  <c r="G83" i="16" s="1"/>
  <c r="Q40" i="17"/>
  <c r="I99" i="21"/>
  <c r="I100" i="21" s="1"/>
  <c r="V49" i="17"/>
  <c r="L41" i="17"/>
  <c r="G47" i="17"/>
  <c r="AF23" i="24"/>
  <c r="AH23" i="24" s="1"/>
  <c r="AH36" i="24" s="1"/>
  <c r="AF26" i="22"/>
  <c r="I79" i="16" s="1"/>
  <c r="AF21" i="24"/>
  <c r="AH21" i="24" s="1"/>
  <c r="Q47" i="17"/>
  <c r="L47" i="17"/>
  <c r="AF22" i="22"/>
  <c r="AH22" i="22" s="1"/>
  <c r="AF26" i="19"/>
  <c r="G79" i="16" s="1"/>
  <c r="L49" i="17"/>
  <c r="AF23" i="22"/>
  <c r="AH23" i="22" s="1"/>
  <c r="AH36" i="22" s="1"/>
  <c r="Q49" i="17"/>
  <c r="AF22" i="24"/>
  <c r="AH22" i="24" s="1"/>
  <c r="AF24" i="25"/>
  <c r="M77" i="16" s="1"/>
  <c r="AF24" i="22"/>
  <c r="AH24" i="22" s="1"/>
  <c r="L42" i="17"/>
  <c r="K141" i="21"/>
  <c r="K241" i="21" s="1"/>
  <c r="K138" i="21" s="1"/>
  <c r="K151" i="21" s="1"/>
  <c r="E156" i="25"/>
  <c r="W102" i="17" s="1"/>
  <c r="AF19" i="25"/>
  <c r="AH19" i="25" s="1"/>
  <c r="G103" i="16"/>
  <c r="G106" i="16" s="1"/>
  <c r="AF27" i="19"/>
  <c r="G80" i="16" s="1"/>
  <c r="AF27" i="24"/>
  <c r="AH27" i="24" s="1"/>
  <c r="AX25" i="19"/>
  <c r="AX45" i="19" s="1"/>
  <c r="AY45" i="19" s="1"/>
  <c r="AF19" i="24"/>
  <c r="K72" i="16" s="1"/>
  <c r="V41" i="17"/>
  <c r="AX25" i="22"/>
  <c r="AX82" i="22" s="1"/>
  <c r="AY82" i="22" s="1"/>
  <c r="G54" i="17"/>
  <c r="L40" i="17"/>
  <c r="K99" i="21"/>
  <c r="K100" i="21" s="1"/>
  <c r="K159" i="21" s="1"/>
  <c r="M111" i="16" s="1"/>
  <c r="V50" i="17"/>
  <c r="AF24" i="24"/>
  <c r="AH24" i="24" s="1"/>
  <c r="Q42" i="17"/>
  <c r="G42" i="17"/>
  <c r="AF21" i="25"/>
  <c r="AH21" i="25" s="1"/>
  <c r="G51" i="17"/>
  <c r="V42" i="17"/>
  <c r="Q51" i="17"/>
  <c r="AX25" i="24"/>
  <c r="AX43" i="24" s="1"/>
  <c r="AY43" i="24" s="1"/>
  <c r="E156" i="24"/>
  <c r="M157" i="24" s="1"/>
  <c r="K87" i="16" s="1"/>
  <c r="Q41" i="17"/>
  <c r="AF19" i="19"/>
  <c r="G72" i="16" s="1"/>
  <c r="BW70" i="24"/>
  <c r="AF28" i="22"/>
  <c r="AF39" i="22" s="1"/>
  <c r="AF23" i="25"/>
  <c r="AF36" i="25" s="1"/>
  <c r="AF24" i="19"/>
  <c r="G77" i="16" s="1"/>
  <c r="AF26" i="24"/>
  <c r="AH26" i="24" s="1"/>
  <c r="AH38" i="24" s="1"/>
  <c r="AF21" i="22"/>
  <c r="I74" i="16" s="1"/>
  <c r="L54" i="17"/>
  <c r="I103" i="16"/>
  <c r="I106" i="16" s="1"/>
  <c r="AX25" i="25"/>
  <c r="AX95" i="25" s="1"/>
  <c r="AY95" i="25" s="1"/>
  <c r="K103" i="16"/>
  <c r="K106" i="16" s="1"/>
  <c r="E156" i="19"/>
  <c r="H102" i="17" s="1"/>
  <c r="Q54" i="17"/>
  <c r="M103" i="16"/>
  <c r="M106" i="16" s="1"/>
  <c r="V54" i="17"/>
  <c r="E159" i="21"/>
  <c r="G111" i="16" s="1"/>
  <c r="AQ45" i="19"/>
  <c r="BP55" i="22"/>
  <c r="BP115" i="22"/>
  <c r="BE25" i="25" a="1"/>
  <c r="BC25" i="25" a="1"/>
  <c r="BV63" i="19" l="1"/>
  <c r="BC93" i="19"/>
  <c r="BV80" i="24"/>
  <c r="BV66" i="22"/>
  <c r="BV48" i="22"/>
  <c r="BV111" i="22"/>
  <c r="BU105" i="25"/>
  <c r="BU47" i="25"/>
  <c r="BU103" i="25"/>
  <c r="BU60" i="25"/>
  <c r="BT90" i="24"/>
  <c r="BT72" i="24"/>
  <c r="BT74" i="24"/>
  <c r="BV89" i="19"/>
  <c r="BV32" i="19"/>
  <c r="BC57" i="22"/>
  <c r="BU30" i="19"/>
  <c r="BU37" i="19"/>
  <c r="BU104" i="19"/>
  <c r="BU101" i="19"/>
  <c r="BU49" i="19"/>
  <c r="BU69" i="19"/>
  <c r="BV104" i="22"/>
  <c r="BV55" i="22"/>
  <c r="BV60" i="19"/>
  <c r="BT48" i="24"/>
  <c r="BT54" i="24"/>
  <c r="BT66" i="24"/>
  <c r="BB113" i="19"/>
  <c r="BB82" i="19"/>
  <c r="BB84" i="19"/>
  <c r="BV44" i="22"/>
  <c r="BV88" i="19"/>
  <c r="BV117" i="19"/>
  <c r="BU97" i="19"/>
  <c r="BU121" i="25"/>
  <c r="BV105" i="22"/>
  <c r="BU87" i="19"/>
  <c r="BU108" i="19"/>
  <c r="BU122" i="19"/>
  <c r="BU115" i="19"/>
  <c r="BU72" i="25"/>
  <c r="BV99" i="22"/>
  <c r="BV105" i="19"/>
  <c r="BV116" i="19"/>
  <c r="BV38" i="19"/>
  <c r="BV109" i="19"/>
  <c r="BU102" i="25"/>
  <c r="BV36" i="22"/>
  <c r="BV75" i="22"/>
  <c r="BV60" i="22"/>
  <c r="BU39" i="25"/>
  <c r="BU77" i="25"/>
  <c r="BU93" i="25"/>
  <c r="BU114" i="25"/>
  <c r="BT48" i="25"/>
  <c r="BW48" i="25" s="1"/>
  <c r="BT55" i="25"/>
  <c r="BT47" i="25"/>
  <c r="BT84" i="25"/>
  <c r="BU110" i="19"/>
  <c r="BU108" i="25"/>
  <c r="BC55" i="22"/>
  <c r="BU74" i="25"/>
  <c r="BT124" i="24"/>
  <c r="BT31" i="24"/>
  <c r="BB33" i="19"/>
  <c r="BB78" i="19"/>
  <c r="BB105" i="19"/>
  <c r="BU45" i="19"/>
  <c r="BU123" i="19"/>
  <c r="BU116" i="19"/>
  <c r="BU111" i="19"/>
  <c r="BU56" i="19"/>
  <c r="BV49" i="22"/>
  <c r="BV97" i="22"/>
  <c r="BU56" i="25"/>
  <c r="BU40" i="25"/>
  <c r="BU69" i="25"/>
  <c r="BU57" i="25"/>
  <c r="BT115" i="24"/>
  <c r="BT122" i="24"/>
  <c r="BB68" i="19"/>
  <c r="BV36" i="24"/>
  <c r="BV64" i="24"/>
  <c r="BC70" i="19"/>
  <c r="BC90" i="19"/>
  <c r="BC35" i="19"/>
  <c r="BC29" i="19"/>
  <c r="BC31" i="22"/>
  <c r="BC116" i="19"/>
  <c r="BV90" i="22"/>
  <c r="BV51" i="22"/>
  <c r="BV45" i="22"/>
  <c r="BC107" i="19"/>
  <c r="BB58" i="19"/>
  <c r="BC75" i="19"/>
  <c r="BC46" i="19"/>
  <c r="BC26" i="19"/>
  <c r="BC94" i="22"/>
  <c r="BC66" i="22"/>
  <c r="BV115" i="22"/>
  <c r="BV30" i="22"/>
  <c r="BV81" i="22"/>
  <c r="BC89" i="19"/>
  <c r="BC84" i="22"/>
  <c r="BB98" i="19"/>
  <c r="BB60" i="19"/>
  <c r="BB31" i="19"/>
  <c r="BW100" i="24"/>
  <c r="BC42" i="22"/>
  <c r="BV38" i="22"/>
  <c r="BC104" i="19"/>
  <c r="BU121" i="19"/>
  <c r="BC79" i="19"/>
  <c r="BU89" i="19"/>
  <c r="BU32" i="19"/>
  <c r="BU46" i="19"/>
  <c r="BU68" i="19"/>
  <c r="BC59" i="19"/>
  <c r="BC120" i="22"/>
  <c r="BV46" i="22"/>
  <c r="BV103" i="22"/>
  <c r="BU95" i="19"/>
  <c r="BV32" i="22"/>
  <c r="BV43" i="22"/>
  <c r="BV70" i="22"/>
  <c r="BC111" i="19"/>
  <c r="BT33" i="24"/>
  <c r="BB81" i="19"/>
  <c r="BC109" i="19"/>
  <c r="BB51" i="19"/>
  <c r="BV84" i="22"/>
  <c r="BT124" i="25"/>
  <c r="BW124" i="25" s="1"/>
  <c r="BA26" i="25"/>
  <c r="BA51" i="24"/>
  <c r="BU54" i="24"/>
  <c r="BW106" i="24"/>
  <c r="BU72" i="22"/>
  <c r="BA95" i="25"/>
  <c r="BV113" i="19"/>
  <c r="BB79" i="19"/>
  <c r="BB116" i="22"/>
  <c r="BC92" i="22"/>
  <c r="BC33" i="22"/>
  <c r="BC111" i="22"/>
  <c r="BC67" i="22"/>
  <c r="BC95" i="22"/>
  <c r="BC50" i="22"/>
  <c r="BC93" i="22"/>
  <c r="BC103" i="22"/>
  <c r="BC51" i="22"/>
  <c r="BC117" i="22"/>
  <c r="BC39" i="22"/>
  <c r="BC104" i="22"/>
  <c r="BC113" i="22"/>
  <c r="BC72" i="22"/>
  <c r="BC110" i="22"/>
  <c r="BC54" i="22"/>
  <c r="BC52" i="22"/>
  <c r="BC44" i="22"/>
  <c r="BC101" i="22"/>
  <c r="BC97" i="22"/>
  <c r="BC90" i="22"/>
  <c r="BC65" i="22"/>
  <c r="BC107" i="22"/>
  <c r="BC60" i="22"/>
  <c r="BA27" i="22"/>
  <c r="BA124" i="22"/>
  <c r="BA62" i="22"/>
  <c r="BA63" i="22"/>
  <c r="BA43" i="22"/>
  <c r="BA49" i="22"/>
  <c r="BA41" i="22"/>
  <c r="BA39" i="22"/>
  <c r="BA120" i="22"/>
  <c r="BA65" i="22"/>
  <c r="BA123" i="22"/>
  <c r="BA33" i="22"/>
  <c r="BA55" i="22"/>
  <c r="BA40" i="22"/>
  <c r="BA35" i="22"/>
  <c r="BA125" i="22"/>
  <c r="BA94" i="22"/>
  <c r="BA93" i="22"/>
  <c r="BA79" i="22"/>
  <c r="BA83" i="22"/>
  <c r="BA112" i="22"/>
  <c r="BA48" i="22"/>
  <c r="BA117" i="22"/>
  <c r="BA66" i="22"/>
  <c r="BC106" i="19"/>
  <c r="BC82" i="19"/>
  <c r="BC51" i="19"/>
  <c r="BC32" i="19"/>
  <c r="BC60" i="19"/>
  <c r="BC45" i="19"/>
  <c r="BC55" i="19"/>
  <c r="BC73" i="19"/>
  <c r="BC85" i="19"/>
  <c r="BC86" i="19"/>
  <c r="BC57" i="19"/>
  <c r="BC71" i="19"/>
  <c r="BC105" i="19"/>
  <c r="BC37" i="19"/>
  <c r="BC27" i="22"/>
  <c r="BC99" i="22"/>
  <c r="BC109" i="22"/>
  <c r="BC125" i="22"/>
  <c r="BC122" i="22"/>
  <c r="BC91" i="22"/>
  <c r="BC64" i="22"/>
  <c r="BC37" i="22"/>
  <c r="BC74" i="22"/>
  <c r="BC123" i="22"/>
  <c r="BC83" i="22"/>
  <c r="BC46" i="22"/>
  <c r="E156" i="22"/>
  <c r="M102" i="17" s="1"/>
  <c r="BC29" i="22"/>
  <c r="BC61" i="22"/>
  <c r="BC121" i="22"/>
  <c r="BC86" i="22"/>
  <c r="BC53" i="22"/>
  <c r="BC43" i="22"/>
  <c r="BU42" i="19"/>
  <c r="BC69" i="22"/>
  <c r="BT112" i="19"/>
  <c r="BT70" i="19"/>
  <c r="BT35" i="19"/>
  <c r="BT115" i="19"/>
  <c r="BT84" i="19"/>
  <c r="BT77" i="19"/>
  <c r="BT43" i="19"/>
  <c r="BB108" i="24"/>
  <c r="BB57" i="24"/>
  <c r="BB48" i="24"/>
  <c r="BB125" i="24"/>
  <c r="BB60" i="24"/>
  <c r="BB56" i="24"/>
  <c r="BB116" i="24"/>
  <c r="BC102" i="22"/>
  <c r="BC96" i="22"/>
  <c r="BC124" i="22"/>
  <c r="BC48" i="22"/>
  <c r="BC78" i="22"/>
  <c r="BC115" i="22"/>
  <c r="BC89" i="22"/>
  <c r="BC28" i="22"/>
  <c r="BC88" i="22"/>
  <c r="BC75" i="22"/>
  <c r="BC40" i="22"/>
  <c r="BC118" i="22"/>
  <c r="BV34" i="22"/>
  <c r="BV77" i="22"/>
  <c r="BV116" i="22"/>
  <c r="BC53" i="19"/>
  <c r="BC44" i="19"/>
  <c r="BU78" i="19"/>
  <c r="BC56" i="19"/>
  <c r="BV74" i="22"/>
  <c r="BC38" i="22"/>
  <c r="BC103" i="19"/>
  <c r="BU117" i="19"/>
  <c r="BU90" i="19"/>
  <c r="BU107" i="19"/>
  <c r="BV64" i="22"/>
  <c r="BC91" i="19"/>
  <c r="BC65" i="19"/>
  <c r="BC45" i="22"/>
  <c r="BC62" i="22"/>
  <c r="BC32" i="22"/>
  <c r="BC58" i="22"/>
  <c r="BV41" i="22"/>
  <c r="BV83" i="22"/>
  <c r="BV47" i="22"/>
  <c r="BW47" i="22" s="1"/>
  <c r="BC61" i="19"/>
  <c r="BC114" i="19"/>
  <c r="BC100" i="22"/>
  <c r="BC110" i="19"/>
  <c r="BU40" i="19"/>
  <c r="BU59" i="19"/>
  <c r="BU63" i="19"/>
  <c r="BU79" i="19"/>
  <c r="BU76" i="19"/>
  <c r="BU35" i="19"/>
  <c r="BU109" i="19"/>
  <c r="BV108" i="22"/>
  <c r="BV69" i="22"/>
  <c r="BV50" i="22"/>
  <c r="BV53" i="22"/>
  <c r="BV58" i="22"/>
  <c r="BV119" i="22"/>
  <c r="BV98" i="22"/>
  <c r="BV76" i="22"/>
  <c r="BV54" i="22"/>
  <c r="BV102" i="22"/>
  <c r="BV113" i="22"/>
  <c r="BV125" i="22"/>
  <c r="BV35" i="22"/>
  <c r="BW35" i="22" s="1"/>
  <c r="BV95" i="22"/>
  <c r="BV93" i="22"/>
  <c r="BC85" i="22"/>
  <c r="BC77" i="22"/>
  <c r="BC105" i="22"/>
  <c r="BC81" i="22"/>
  <c r="BC63" i="22"/>
  <c r="BC108" i="22"/>
  <c r="BC35" i="22"/>
  <c r="BC73" i="22"/>
  <c r="BC63" i="19"/>
  <c r="BC79" i="22"/>
  <c r="BC31" i="19"/>
  <c r="BV72" i="22"/>
  <c r="BV89" i="22"/>
  <c r="BV61" i="22"/>
  <c r="BC36" i="19"/>
  <c r="BC87" i="19"/>
  <c r="BB90" i="19"/>
  <c r="BB54" i="19"/>
  <c r="BT53" i="25"/>
  <c r="BB26" i="22"/>
  <c r="BT66" i="25"/>
  <c r="BB41" i="22"/>
  <c r="BB87" i="22"/>
  <c r="BB122" i="22"/>
  <c r="BT57" i="25"/>
  <c r="BU99" i="24"/>
  <c r="BU68" i="22"/>
  <c r="BB118" i="22"/>
  <c r="BU102" i="24"/>
  <c r="BB125" i="22"/>
  <c r="BB112" i="22"/>
  <c r="BB84" i="22"/>
  <c r="BU96" i="22"/>
  <c r="BU28" i="22"/>
  <c r="BU71" i="22"/>
  <c r="BU94" i="22"/>
  <c r="BT37" i="25"/>
  <c r="BT64" i="25"/>
  <c r="BT107" i="25"/>
  <c r="BT86" i="25"/>
  <c r="BT117" i="25"/>
  <c r="BU28" i="24"/>
  <c r="BU117" i="24"/>
  <c r="BU101" i="24"/>
  <c r="BT65" i="24"/>
  <c r="BT71" i="24"/>
  <c r="BT102" i="24"/>
  <c r="BA109" i="25"/>
  <c r="BT85" i="24"/>
  <c r="BA84" i="25"/>
  <c r="BA90" i="25"/>
  <c r="BU33" i="24"/>
  <c r="BW33" i="24" s="1"/>
  <c r="BA87" i="25"/>
  <c r="BA102" i="24"/>
  <c r="BA36" i="25"/>
  <c r="BT79" i="24"/>
  <c r="BA63" i="25"/>
  <c r="BB32" i="19"/>
  <c r="BC119" i="19"/>
  <c r="BA62" i="25"/>
  <c r="BV37" i="24"/>
  <c r="BV124" i="24"/>
  <c r="BW124" i="24" s="1"/>
  <c r="BA103" i="25"/>
  <c r="BA30" i="25"/>
  <c r="BA34" i="25"/>
  <c r="BA47" i="25"/>
  <c r="BT105" i="24"/>
  <c r="BW105" i="24" s="1"/>
  <c r="BA98" i="25"/>
  <c r="BA82" i="25"/>
  <c r="BV66" i="24"/>
  <c r="BW66" i="24" s="1"/>
  <c r="BA121" i="25"/>
  <c r="BB35" i="19"/>
  <c r="BB48" i="19"/>
  <c r="BA57" i="25"/>
  <c r="BT125" i="25"/>
  <c r="BB27" i="22"/>
  <c r="BB81" i="22"/>
  <c r="BB97" i="22"/>
  <c r="BU88" i="22"/>
  <c r="BU31" i="22"/>
  <c r="BW31" i="22" s="1"/>
  <c r="BU113" i="22"/>
  <c r="BT101" i="25"/>
  <c r="BT26" i="25"/>
  <c r="BW26" i="25" s="1"/>
  <c r="BT79" i="25"/>
  <c r="BT80" i="25"/>
  <c r="BT31" i="25"/>
  <c r="BU109" i="24"/>
  <c r="BU60" i="24"/>
  <c r="BU44" i="24"/>
  <c r="BB64" i="19"/>
  <c r="BT27" i="24"/>
  <c r="BW27" i="24" s="1"/>
  <c r="BT68" i="24"/>
  <c r="BW68" i="24" s="1"/>
  <c r="BA56" i="25"/>
  <c r="BT60" i="24"/>
  <c r="BA48" i="25"/>
  <c r="BA110" i="25"/>
  <c r="BB99" i="19"/>
  <c r="BB118" i="19"/>
  <c r="BB108" i="19"/>
  <c r="BT26" i="24"/>
  <c r="BB42" i="22"/>
  <c r="BU73" i="22"/>
  <c r="BB112" i="19"/>
  <c r="BT35" i="25"/>
  <c r="BW35" i="25" s="1"/>
  <c r="BT95" i="24"/>
  <c r="BT75" i="24"/>
  <c r="BW75" i="24" s="1"/>
  <c r="BT99" i="24"/>
  <c r="BT80" i="24"/>
  <c r="BW80" i="24" s="1"/>
  <c r="BT84" i="24"/>
  <c r="BW84" i="24" s="1"/>
  <c r="BT112" i="24"/>
  <c r="BT41" i="24"/>
  <c r="BW41" i="24" s="1"/>
  <c r="BT92" i="24"/>
  <c r="BW92" i="24" s="1"/>
  <c r="BT96" i="24"/>
  <c r="BB71" i="25"/>
  <c r="BB103" i="22"/>
  <c r="BT110" i="24"/>
  <c r="BV57" i="19"/>
  <c r="BB90" i="22"/>
  <c r="BB59" i="24"/>
  <c r="BB93" i="24"/>
  <c r="BB106" i="22"/>
  <c r="BV52" i="24"/>
  <c r="BT40" i="24"/>
  <c r="BW40" i="24" s="1"/>
  <c r="BU60" i="19"/>
  <c r="BU108" i="22"/>
  <c r="BU97" i="22"/>
  <c r="BB96" i="24"/>
  <c r="BT67" i="24"/>
  <c r="BT113" i="24"/>
  <c r="BW113" i="24" s="1"/>
  <c r="BT86" i="24"/>
  <c r="BW86" i="24" s="1"/>
  <c r="BV28" i="22"/>
  <c r="BB62" i="24"/>
  <c r="BB75" i="19"/>
  <c r="BB59" i="19"/>
  <c r="BT98" i="24"/>
  <c r="BW98" i="24" s="1"/>
  <c r="BV53" i="24"/>
  <c r="BB38" i="19"/>
  <c r="BB96" i="19"/>
  <c r="BA92" i="25"/>
  <c r="BV60" i="24"/>
  <c r="BV79" i="24"/>
  <c r="BB94" i="19"/>
  <c r="BB53" i="19"/>
  <c r="BC121" i="19"/>
  <c r="BU118" i="22"/>
  <c r="BW118" i="22" s="1"/>
  <c r="BC116" i="22"/>
  <c r="BU43" i="22"/>
  <c r="BU93" i="22"/>
  <c r="BU39" i="22"/>
  <c r="BU92" i="22"/>
  <c r="BU29" i="22"/>
  <c r="BT69" i="24"/>
  <c r="BT119" i="24"/>
  <c r="BW119" i="24" s="1"/>
  <c r="BT62" i="24"/>
  <c r="BV30" i="19"/>
  <c r="BB41" i="24"/>
  <c r="BV115" i="24"/>
  <c r="BW115" i="24" s="1"/>
  <c r="BB117" i="19"/>
  <c r="BB72" i="19"/>
  <c r="BB88" i="19"/>
  <c r="BC41" i="22"/>
  <c r="BT120" i="24"/>
  <c r="BW120" i="24" s="1"/>
  <c r="BV97" i="24"/>
  <c r="BW97" i="24" s="1"/>
  <c r="BU74" i="22"/>
  <c r="BB108" i="22"/>
  <c r="BT43" i="24"/>
  <c r="BB41" i="19"/>
  <c r="BC76" i="19"/>
  <c r="BU55" i="22"/>
  <c r="BU119" i="22"/>
  <c r="BU123" i="22"/>
  <c r="BW123" i="22" s="1"/>
  <c r="BU64" i="22"/>
  <c r="BU44" i="22"/>
  <c r="BT117" i="24"/>
  <c r="BT91" i="24"/>
  <c r="BW91" i="24" s="1"/>
  <c r="BU49" i="24"/>
  <c r="BT93" i="24"/>
  <c r="BW93" i="24" s="1"/>
  <c r="BT52" i="24"/>
  <c r="BT64" i="24"/>
  <c r="BW64" i="24" s="1"/>
  <c r="BB62" i="19"/>
  <c r="BV106" i="19"/>
  <c r="BB71" i="19"/>
  <c r="BB86" i="19"/>
  <c r="BU48" i="22"/>
  <c r="BW48" i="22" s="1"/>
  <c r="BB56" i="19"/>
  <c r="BA31" i="25"/>
  <c r="BV76" i="25"/>
  <c r="BW76" i="25" s="1"/>
  <c r="BB103" i="19"/>
  <c r="BB47" i="19"/>
  <c r="BB97" i="19"/>
  <c r="BC28" i="19"/>
  <c r="BB121" i="22"/>
  <c r="BA100" i="24"/>
  <c r="BA45" i="19"/>
  <c r="BA100" i="19"/>
  <c r="BA116" i="19"/>
  <c r="BA94" i="19"/>
  <c r="BA92" i="19"/>
  <c r="BA36" i="19"/>
  <c r="BA49" i="19"/>
  <c r="BA109" i="19"/>
  <c r="BA31" i="19"/>
  <c r="BA76" i="19"/>
  <c r="BA72" i="19"/>
  <c r="BA119" i="19"/>
  <c r="BA91" i="19"/>
  <c r="BA73" i="19"/>
  <c r="BA75" i="19"/>
  <c r="BA125" i="19"/>
  <c r="BA102" i="19"/>
  <c r="BA67" i="19"/>
  <c r="BA90" i="19"/>
  <c r="BA63" i="19"/>
  <c r="BA117" i="19"/>
  <c r="BB90" i="25"/>
  <c r="BU80" i="19"/>
  <c r="BW80" i="19" s="1"/>
  <c r="BB76" i="24"/>
  <c r="BT65" i="19"/>
  <c r="BB115" i="22"/>
  <c r="BC47" i="19"/>
  <c r="BC92" i="19"/>
  <c r="BC49" i="22"/>
  <c r="BB40" i="25"/>
  <c r="BA36" i="22"/>
  <c r="BA87" i="22"/>
  <c r="BA30" i="22"/>
  <c r="BA109" i="22"/>
  <c r="BA82" i="22"/>
  <c r="BA96" i="22"/>
  <c r="BA81" i="22"/>
  <c r="BA78" i="22"/>
  <c r="BA73" i="22"/>
  <c r="BA52" i="22"/>
  <c r="BA115" i="22"/>
  <c r="BA103" i="22"/>
  <c r="BA29" i="22"/>
  <c r="BA47" i="22"/>
  <c r="BA100" i="22"/>
  <c r="BA31" i="22"/>
  <c r="BA104" i="22"/>
  <c r="BA108" i="22"/>
  <c r="BA110" i="22"/>
  <c r="BA46" i="22"/>
  <c r="BA72" i="22"/>
  <c r="BA118" i="22"/>
  <c r="BA86" i="22"/>
  <c r="BA97" i="22"/>
  <c r="BA37" i="22"/>
  <c r="BA90" i="22"/>
  <c r="BA44" i="22"/>
  <c r="BA51" i="22"/>
  <c r="BA32" i="22"/>
  <c r="BA56" i="22"/>
  <c r="BA105" i="22"/>
  <c r="BA60" i="22"/>
  <c r="BA58" i="22"/>
  <c r="BA111" i="22"/>
  <c r="BA114" i="22"/>
  <c r="BA70" i="22"/>
  <c r="BA102" i="22"/>
  <c r="BA50" i="22"/>
  <c r="BA34" i="22"/>
  <c r="BA107" i="22"/>
  <c r="BA116" i="22"/>
  <c r="BU62" i="19"/>
  <c r="BW62" i="19" s="1"/>
  <c r="BU48" i="19"/>
  <c r="BB111" i="24"/>
  <c r="BU82" i="19"/>
  <c r="BU64" i="19"/>
  <c r="BW64" i="19" s="1"/>
  <c r="BU57" i="19"/>
  <c r="BT58" i="24"/>
  <c r="BW58" i="24" s="1"/>
  <c r="BT37" i="24"/>
  <c r="BW37" i="24" s="1"/>
  <c r="BT35" i="24"/>
  <c r="BT87" i="24"/>
  <c r="BW87" i="24" s="1"/>
  <c r="BT78" i="24"/>
  <c r="BW78" i="24" s="1"/>
  <c r="BT29" i="24"/>
  <c r="BW29" i="24" s="1"/>
  <c r="BT32" i="24"/>
  <c r="BW32" i="24" s="1"/>
  <c r="BV122" i="22"/>
  <c r="BW122" i="22" s="1"/>
  <c r="BB45" i="19"/>
  <c r="BB109" i="19"/>
  <c r="BB42" i="24"/>
  <c r="BB49" i="19"/>
  <c r="BC43" i="19"/>
  <c r="BC101" i="19"/>
  <c r="BB95" i="19"/>
  <c r="BU67" i="19"/>
  <c r="BB113" i="22"/>
  <c r="BB115" i="19"/>
  <c r="BB116" i="19"/>
  <c r="BV77" i="24"/>
  <c r="BW77" i="24" s="1"/>
  <c r="BB39" i="19"/>
  <c r="BT109" i="24"/>
  <c r="BW109" i="24" s="1"/>
  <c r="BV90" i="24"/>
  <c r="BW90" i="24" s="1"/>
  <c r="BV94" i="24"/>
  <c r="BW94" i="24" s="1"/>
  <c r="BT56" i="24"/>
  <c r="BW56" i="24" s="1"/>
  <c r="BC52" i="19"/>
  <c r="BU39" i="19"/>
  <c r="BU74" i="19"/>
  <c r="BU31" i="19"/>
  <c r="BU50" i="19"/>
  <c r="BU113" i="19"/>
  <c r="BW113" i="19" s="1"/>
  <c r="BU77" i="19"/>
  <c r="BU51" i="19"/>
  <c r="BC56" i="22"/>
  <c r="BU105" i="19"/>
  <c r="BV29" i="22"/>
  <c r="BV100" i="22"/>
  <c r="BW100" i="22" s="1"/>
  <c r="BV120" i="22"/>
  <c r="BW120" i="22" s="1"/>
  <c r="BV92" i="22"/>
  <c r="BW92" i="22" s="1"/>
  <c r="BC100" i="19"/>
  <c r="BC98" i="19"/>
  <c r="BC80" i="19"/>
  <c r="BB58" i="22"/>
  <c r="BB51" i="22"/>
  <c r="BB43" i="22"/>
  <c r="BB39" i="22"/>
  <c r="BC98" i="22"/>
  <c r="BT116" i="24"/>
  <c r="BW116" i="24" s="1"/>
  <c r="BT30" i="24"/>
  <c r="BW30" i="24" s="1"/>
  <c r="BT45" i="24"/>
  <c r="BW45" i="24" s="1"/>
  <c r="BT49" i="24"/>
  <c r="BV65" i="22"/>
  <c r="BW65" i="22" s="1"/>
  <c r="BU96" i="19"/>
  <c r="BB119" i="24"/>
  <c r="BB119" i="19"/>
  <c r="BB26" i="19"/>
  <c r="BV100" i="25"/>
  <c r="BW100" i="25" s="1"/>
  <c r="BB76" i="19"/>
  <c r="BB70" i="19"/>
  <c r="BC49" i="19"/>
  <c r="BC42" i="19"/>
  <c r="BB84" i="25"/>
  <c r="BT70" i="25"/>
  <c r="BW70" i="25" s="1"/>
  <c r="BV74" i="25"/>
  <c r="BW74" i="25" s="1"/>
  <c r="BC97" i="19"/>
  <c r="BS63" i="19"/>
  <c r="BS50" i="19"/>
  <c r="BS26" i="19"/>
  <c r="BW26" i="19" s="1"/>
  <c r="BS75" i="19"/>
  <c r="BS87" i="19"/>
  <c r="BW87" i="19" s="1"/>
  <c r="BS49" i="19"/>
  <c r="BW49" i="19" s="1"/>
  <c r="BS35" i="19"/>
  <c r="BW35" i="19" s="1"/>
  <c r="BS109" i="19"/>
  <c r="BW109" i="19" s="1"/>
  <c r="BS104" i="19"/>
  <c r="BW104" i="19" s="1"/>
  <c r="BS89" i="19"/>
  <c r="BW89" i="19" s="1"/>
  <c r="BS102" i="19"/>
  <c r="BW102" i="19" s="1"/>
  <c r="BS69" i="19"/>
  <c r="BW69" i="19" s="1"/>
  <c r="BS82" i="19"/>
  <c r="BS95" i="19"/>
  <c r="BW95" i="19" s="1"/>
  <c r="BS112" i="19"/>
  <c r="BW112" i="19" s="1"/>
  <c r="BS41" i="19"/>
  <c r="BW41" i="19" s="1"/>
  <c r="BS96" i="19"/>
  <c r="BW96" i="19" s="1"/>
  <c r="BS61" i="19"/>
  <c r="BS119" i="19"/>
  <c r="BW119" i="19" s="1"/>
  <c r="BS120" i="19"/>
  <c r="BW120" i="19" s="1"/>
  <c r="BS30" i="19"/>
  <c r="BW30" i="19" s="1"/>
  <c r="BS79" i="19"/>
  <c r="BW79" i="19" s="1"/>
  <c r="BS31" i="19"/>
  <c r="BS60" i="19"/>
  <c r="BS111" i="19"/>
  <c r="BW111" i="19" s="1"/>
  <c r="BS39" i="19"/>
  <c r="BS94" i="19"/>
  <c r="BW94" i="19" s="1"/>
  <c r="BS93" i="19"/>
  <c r="BW93" i="19" s="1"/>
  <c r="BS123" i="19"/>
  <c r="BW123" i="19" s="1"/>
  <c r="BS78" i="19"/>
  <c r="BW78" i="19" s="1"/>
  <c r="BS105" i="19"/>
  <c r="BS47" i="19"/>
  <c r="BS33" i="19"/>
  <c r="BW33" i="19" s="1"/>
  <c r="BS117" i="19"/>
  <c r="BW117" i="19" s="1"/>
  <c r="BS38" i="19"/>
  <c r="BS122" i="19"/>
  <c r="BS29" i="19"/>
  <c r="BW29" i="19" s="1"/>
  <c r="BS85" i="19"/>
  <c r="BW85" i="19" s="1"/>
  <c r="BS67" i="19"/>
  <c r="BS34" i="19"/>
  <c r="BW34" i="19" s="1"/>
  <c r="BS84" i="19"/>
  <c r="BW84" i="19" s="1"/>
  <c r="BS99" i="19"/>
  <c r="BS59" i="19"/>
  <c r="BS56" i="19"/>
  <c r="BW56" i="19" s="1"/>
  <c r="BS43" i="19"/>
  <c r="BW43" i="19" s="1"/>
  <c r="BS125" i="19"/>
  <c r="BW125" i="19" s="1"/>
  <c r="BS83" i="19"/>
  <c r="BW83" i="19" s="1"/>
  <c r="BS66" i="19"/>
  <c r="BS118" i="19"/>
  <c r="BW118" i="19" s="1"/>
  <c r="BS110" i="19"/>
  <c r="BW110" i="19" s="1"/>
  <c r="BS32" i="19"/>
  <c r="BW32" i="19" s="1"/>
  <c r="BS97" i="19"/>
  <c r="BW97" i="19" s="1"/>
  <c r="BS37" i="19"/>
  <c r="BS77" i="19"/>
  <c r="BS44" i="19"/>
  <c r="BW44" i="19" s="1"/>
  <c r="BB50" i="19"/>
  <c r="BB91" i="19"/>
  <c r="BB80" i="19"/>
  <c r="BB66" i="19"/>
  <c r="BB110" i="19"/>
  <c r="BB61" i="19"/>
  <c r="BB69" i="19"/>
  <c r="BB34" i="19"/>
  <c r="BC80" i="24"/>
  <c r="BC72" i="24"/>
  <c r="BC66" i="24"/>
  <c r="BC84" i="24"/>
  <c r="BC40" i="24"/>
  <c r="BC68" i="24"/>
  <c r="BC81" i="19"/>
  <c r="BW95" i="24"/>
  <c r="BU114" i="19"/>
  <c r="BW114" i="19" s="1"/>
  <c r="BU75" i="19"/>
  <c r="BT53" i="24"/>
  <c r="BT36" i="24"/>
  <c r="BW36" i="24" s="1"/>
  <c r="BT38" i="24"/>
  <c r="BW38" i="24" s="1"/>
  <c r="BT89" i="24"/>
  <c r="BT59" i="24"/>
  <c r="BT51" i="24"/>
  <c r="BW51" i="24" s="1"/>
  <c r="BC50" i="19"/>
  <c r="BB123" i="19"/>
  <c r="BB67" i="19"/>
  <c r="BB30" i="19"/>
  <c r="BB102" i="24"/>
  <c r="BB77" i="19"/>
  <c r="BB107" i="19"/>
  <c r="BB85" i="19"/>
  <c r="BB123" i="24"/>
  <c r="BC47" i="22"/>
  <c r="BC33" i="19"/>
  <c r="BC36" i="22"/>
  <c r="BB36" i="24"/>
  <c r="BW81" i="25"/>
  <c r="BW63" i="25"/>
  <c r="BW49" i="22"/>
  <c r="BW78" i="25"/>
  <c r="BW90" i="22"/>
  <c r="BW42" i="24"/>
  <c r="BW41" i="25"/>
  <c r="BW96" i="24"/>
  <c r="BW73" i="24"/>
  <c r="BW34" i="24"/>
  <c r="BW49" i="25"/>
  <c r="BW112" i="24"/>
  <c r="BW31" i="24"/>
  <c r="BW115" i="22"/>
  <c r="BW55" i="24"/>
  <c r="BW45" i="22"/>
  <c r="BW117" i="22"/>
  <c r="BW53" i="25"/>
  <c r="BW123" i="24"/>
  <c r="BW60" i="24"/>
  <c r="BW87" i="22"/>
  <c r="BW69" i="22"/>
  <c r="BW102" i="24"/>
  <c r="AH30" i="25"/>
  <c r="BW54" i="24"/>
  <c r="BW57" i="25"/>
  <c r="BW96" i="25"/>
  <c r="BW72" i="22"/>
  <c r="BW77" i="22"/>
  <c r="BW125" i="22"/>
  <c r="BW28" i="24"/>
  <c r="BW120" i="25"/>
  <c r="BW105" i="25"/>
  <c r="BW48" i="24"/>
  <c r="BW70" i="22"/>
  <c r="BW91" i="25"/>
  <c r="BW86" i="22"/>
  <c r="BW125" i="24"/>
  <c r="BW119" i="25"/>
  <c r="BW98" i="25"/>
  <c r="BW92" i="25"/>
  <c r="BW65" i="24"/>
  <c r="BW107" i="22"/>
  <c r="BW103" i="25"/>
  <c r="BW56" i="22"/>
  <c r="BW39" i="24"/>
  <c r="BW82" i="25"/>
  <c r="BW103" i="22"/>
  <c r="BW93" i="22"/>
  <c r="BW115" i="25"/>
  <c r="BW72" i="24"/>
  <c r="BW47" i="24"/>
  <c r="BW104" i="22"/>
  <c r="BW108" i="19"/>
  <c r="BW39" i="22"/>
  <c r="BW28" i="22"/>
  <c r="BW85" i="25"/>
  <c r="BW104" i="24"/>
  <c r="BW97" i="22"/>
  <c r="BW98" i="22"/>
  <c r="BW54" i="22"/>
  <c r="BW76" i="24"/>
  <c r="BW54" i="25"/>
  <c r="BW34" i="25"/>
  <c r="BW92" i="19"/>
  <c r="BW56" i="25"/>
  <c r="BW110" i="25"/>
  <c r="BW43" i="24"/>
  <c r="BW73" i="25"/>
  <c r="BW80" i="25"/>
  <c r="BW121" i="19"/>
  <c r="BW111" i="22"/>
  <c r="BW37" i="22"/>
  <c r="BW59" i="22"/>
  <c r="BW124" i="22"/>
  <c r="BW62" i="22"/>
  <c r="BW61" i="24"/>
  <c r="BW94" i="22"/>
  <c r="BW61" i="25"/>
  <c r="BW34" i="22"/>
  <c r="BW114" i="24"/>
  <c r="BW87" i="25"/>
  <c r="BW124" i="19"/>
  <c r="BW71" i="24"/>
  <c r="BW39" i="25"/>
  <c r="BW114" i="25"/>
  <c r="BW102" i="22"/>
  <c r="BW54" i="19"/>
  <c r="BW57" i="22"/>
  <c r="BW96" i="22"/>
  <c r="BW62" i="24"/>
  <c r="BW26" i="22"/>
  <c r="BW44" i="24"/>
  <c r="BW108" i="24"/>
  <c r="BW35" i="24"/>
  <c r="BW30" i="22"/>
  <c r="BW89" i="25"/>
  <c r="BW57" i="24"/>
  <c r="BW121" i="22"/>
  <c r="BW38" i="25"/>
  <c r="BW29" i="25"/>
  <c r="BW67" i="24"/>
  <c r="BW100" i="19"/>
  <c r="BW101" i="22"/>
  <c r="BW37" i="19"/>
  <c r="BW40" i="22"/>
  <c r="BW63" i="24"/>
  <c r="BW89" i="22"/>
  <c r="BW110" i="24"/>
  <c r="BW36" i="22"/>
  <c r="BW85" i="24"/>
  <c r="BW90" i="25"/>
  <c r="BW118" i="25"/>
  <c r="BW50" i="22"/>
  <c r="BW76" i="22"/>
  <c r="BW37" i="25"/>
  <c r="BW107" i="25"/>
  <c r="BW117" i="24"/>
  <c r="BW101" i="24"/>
  <c r="BW88" i="25"/>
  <c r="BW46" i="24"/>
  <c r="BW91" i="19"/>
  <c r="BW109" i="22"/>
  <c r="BW59" i="25"/>
  <c r="BW86" i="19"/>
  <c r="BW52" i="19"/>
  <c r="BW103" i="19"/>
  <c r="BW74" i="22"/>
  <c r="BW66" i="22"/>
  <c r="BW88" i="22"/>
  <c r="BW77" i="25"/>
  <c r="BW53" i="22"/>
  <c r="BW42" i="25"/>
  <c r="BW60" i="25"/>
  <c r="BW94" i="25"/>
  <c r="BW107" i="24"/>
  <c r="BW111" i="24"/>
  <c r="BW103" i="24"/>
  <c r="BW27" i="19"/>
  <c r="BW125" i="25"/>
  <c r="BW86" i="25"/>
  <c r="BW64" i="25"/>
  <c r="BW107" i="19"/>
  <c r="BW76" i="19"/>
  <c r="BW71" i="19"/>
  <c r="BW50" i="24"/>
  <c r="BW40" i="19"/>
  <c r="BW58" i="22"/>
  <c r="BW81" i="22"/>
  <c r="BW113" i="22"/>
  <c r="BW113" i="25"/>
  <c r="BW121" i="24"/>
  <c r="BW51" i="22"/>
  <c r="BW109" i="25"/>
  <c r="BW121" i="25"/>
  <c r="BW84" i="25"/>
  <c r="BW89" i="24"/>
  <c r="BW46" i="19"/>
  <c r="BW38" i="22"/>
  <c r="BW66" i="19"/>
  <c r="BW28" i="19"/>
  <c r="BW84" i="22"/>
  <c r="BW60" i="22"/>
  <c r="BW46" i="22"/>
  <c r="BW33" i="22"/>
  <c r="BW31" i="25"/>
  <c r="BW27" i="25"/>
  <c r="BW61" i="22"/>
  <c r="BW123" i="25"/>
  <c r="BW83" i="24"/>
  <c r="BW83" i="22"/>
  <c r="BW43" i="22"/>
  <c r="BW97" i="25"/>
  <c r="BW74" i="24"/>
  <c r="BW62" i="25"/>
  <c r="BW75" i="22"/>
  <c r="BW93" i="25"/>
  <c r="BW32" i="22"/>
  <c r="BW58" i="25"/>
  <c r="BW72" i="25"/>
  <c r="BW105" i="22"/>
  <c r="BW116" i="22"/>
  <c r="BW106" i="22"/>
  <c r="BW82" i="24"/>
  <c r="BW110" i="22"/>
  <c r="BW30" i="25"/>
  <c r="BW82" i="22"/>
  <c r="BW106" i="25"/>
  <c r="BW33" i="25"/>
  <c r="BW32" i="25"/>
  <c r="BW55" i="22"/>
  <c r="BW64" i="22"/>
  <c r="BW69" i="25"/>
  <c r="BW45" i="25"/>
  <c r="BW102" i="25"/>
  <c r="BW99" i="24"/>
  <c r="BW81" i="24"/>
  <c r="BW69" i="24"/>
  <c r="BW38" i="19"/>
  <c r="BW99" i="22"/>
  <c r="BW41" i="22"/>
  <c r="BW112" i="25"/>
  <c r="BW47" i="25"/>
  <c r="BW40" i="25"/>
  <c r="BW108" i="25"/>
  <c r="BW51" i="25"/>
  <c r="BW28" i="25"/>
  <c r="BW88" i="24"/>
  <c r="BW26" i="24"/>
  <c r="BW55" i="25"/>
  <c r="BW46" i="25"/>
  <c r="BW122" i="24"/>
  <c r="BW112" i="22"/>
  <c r="BW68" i="22"/>
  <c r="BW114" i="22"/>
  <c r="BW51" i="19"/>
  <c r="BW117" i="25"/>
  <c r="BW36" i="19"/>
  <c r="BW66" i="25"/>
  <c r="G159" i="21"/>
  <c r="BW50" i="25"/>
  <c r="BW71" i="25"/>
  <c r="BW91" i="22"/>
  <c r="BW44" i="25"/>
  <c r="BW116" i="19"/>
  <c r="BW73" i="19"/>
  <c r="BW52" i="22"/>
  <c r="BW59" i="24"/>
  <c r="BW111" i="25"/>
  <c r="BW70" i="19"/>
  <c r="BW67" i="25"/>
  <c r="BW44" i="22"/>
  <c r="BW74" i="19"/>
  <c r="BW42" i="22"/>
  <c r="BW101" i="25"/>
  <c r="BW104" i="25"/>
  <c r="BW63" i="22"/>
  <c r="BW95" i="22"/>
  <c r="BW78" i="22"/>
  <c r="BW79" i="22"/>
  <c r="BW73" i="22"/>
  <c r="BW52" i="25"/>
  <c r="BW71" i="22"/>
  <c r="BW27" i="22"/>
  <c r="BW65" i="19"/>
  <c r="BW85" i="22"/>
  <c r="BW72" i="19"/>
  <c r="BW116" i="25"/>
  <c r="BW118" i="24"/>
  <c r="BW48" i="19"/>
  <c r="BW61" i="19"/>
  <c r="BW99" i="25"/>
  <c r="BW81" i="19"/>
  <c r="BW99" i="19"/>
  <c r="BW88" i="19"/>
  <c r="BW53" i="19"/>
  <c r="BW42" i="19"/>
  <c r="BW106" i="19"/>
  <c r="BW98" i="19"/>
  <c r="BW45" i="19"/>
  <c r="BW47" i="19"/>
  <c r="BW101" i="19"/>
  <c r="BW79" i="25"/>
  <c r="BW68" i="19"/>
  <c r="BW55" i="19"/>
  <c r="BW58" i="19"/>
  <c r="BW90" i="19"/>
  <c r="BW115" i="19"/>
  <c r="BW80" i="22"/>
  <c r="BW59" i="19"/>
  <c r="BW122" i="19"/>
  <c r="BW65" i="25"/>
  <c r="BW122" i="25"/>
  <c r="BW83" i="25"/>
  <c r="BW75" i="25"/>
  <c r="BW67" i="22"/>
  <c r="BW43" i="25"/>
  <c r="BW95" i="25"/>
  <c r="BW36" i="25"/>
  <c r="K82" i="16"/>
  <c r="G71" i="16"/>
  <c r="AF40" i="24"/>
  <c r="AU25" i="24" s="1"/>
  <c r="AU22" i="24" s="1"/>
  <c r="M71" i="16"/>
  <c r="E160" i="21"/>
  <c r="AH28" i="19"/>
  <c r="AH39" i="19" s="1"/>
  <c r="AT25" i="19" s="1"/>
  <c r="AT22" i="19" s="1"/>
  <c r="G81" i="16"/>
  <c r="I84" i="16"/>
  <c r="G84" i="16"/>
  <c r="K84" i="16"/>
  <c r="AU25" i="25"/>
  <c r="AU75" i="25" s="1"/>
  <c r="AW75" i="25" s="1"/>
  <c r="K71" i="16"/>
  <c r="G82" i="16"/>
  <c r="AF40" i="19"/>
  <c r="AU25" i="19" s="1"/>
  <c r="AU22" i="19" s="1"/>
  <c r="AK21" i="19"/>
  <c r="BQ36" i="19"/>
  <c r="BR36" i="19" s="1"/>
  <c r="BQ72" i="19"/>
  <c r="BR72" i="19" s="1"/>
  <c r="BQ54" i="19"/>
  <c r="BR54" i="19" s="1"/>
  <c r="H159" i="21"/>
  <c r="L79" i="16"/>
  <c r="BQ58" i="19"/>
  <c r="BR58" i="19" s="1"/>
  <c r="BQ81" i="19"/>
  <c r="BR81" i="19" s="1"/>
  <c r="N80" i="16"/>
  <c r="BQ117" i="19"/>
  <c r="BR117" i="19" s="1"/>
  <c r="BQ98" i="19"/>
  <c r="BR98" i="19" s="1"/>
  <c r="AK27" i="19"/>
  <c r="BQ39" i="19"/>
  <c r="BR39" i="19" s="1"/>
  <c r="L80" i="16"/>
  <c r="N72" i="16"/>
  <c r="N74" i="16"/>
  <c r="AK19" i="24"/>
  <c r="AI38" i="24"/>
  <c r="BL25" i="24" s="1"/>
  <c r="BL22" i="24" s="1"/>
  <c r="J84" i="16"/>
  <c r="AI33" i="25"/>
  <c r="N76" i="16"/>
  <c r="AI36" i="25"/>
  <c r="BJ25" i="25" s="1"/>
  <c r="BJ22" i="25" s="1"/>
  <c r="AH21" i="19"/>
  <c r="BQ95" i="19"/>
  <c r="BR95" i="19" s="1"/>
  <c r="AI36" i="24"/>
  <c r="BJ25" i="24" s="1"/>
  <c r="BJ22" i="24" s="1"/>
  <c r="BQ56" i="19"/>
  <c r="BR56" i="19" s="1"/>
  <c r="L76" i="16"/>
  <c r="AI35" i="25"/>
  <c r="BQ106" i="19"/>
  <c r="BR106" i="19" s="1"/>
  <c r="BQ28" i="19"/>
  <c r="BR28" i="19" s="1"/>
  <c r="BQ114" i="25"/>
  <c r="BR114" i="25" s="1"/>
  <c r="BQ58" i="25"/>
  <c r="BR58" i="25" s="1"/>
  <c r="BQ26" i="25"/>
  <c r="BR26" i="25" s="1"/>
  <c r="BQ103" i="25"/>
  <c r="BR103" i="25" s="1"/>
  <c r="BQ108" i="25"/>
  <c r="BR108" i="25" s="1"/>
  <c r="BQ38" i="25"/>
  <c r="BR38" i="25" s="1"/>
  <c r="BQ70" i="25"/>
  <c r="BR70" i="25" s="1"/>
  <c r="BQ85" i="25"/>
  <c r="BR85" i="25" s="1"/>
  <c r="BQ125" i="25"/>
  <c r="BR125" i="25" s="1"/>
  <c r="BQ30" i="25"/>
  <c r="BR30" i="25" s="1"/>
  <c r="BQ98" i="25"/>
  <c r="BR98" i="25" s="1"/>
  <c r="BQ68" i="25"/>
  <c r="BR68" i="25" s="1"/>
  <c r="BQ62" i="25"/>
  <c r="BR62" i="25" s="1"/>
  <c r="BQ50" i="25"/>
  <c r="BR50" i="25" s="1"/>
  <c r="BQ107" i="25"/>
  <c r="BR107" i="25" s="1"/>
  <c r="BQ45" i="25"/>
  <c r="BR45" i="25" s="1"/>
  <c r="BQ29" i="25"/>
  <c r="BR29" i="25" s="1"/>
  <c r="BQ123" i="25"/>
  <c r="BR123" i="25" s="1"/>
  <c r="BQ72" i="25"/>
  <c r="BR72" i="25" s="1"/>
  <c r="BQ116" i="25"/>
  <c r="BR116" i="25" s="1"/>
  <c r="BQ81" i="25"/>
  <c r="BR81" i="25" s="1"/>
  <c r="BQ60" i="25"/>
  <c r="BR60" i="25" s="1"/>
  <c r="BQ111" i="25"/>
  <c r="BR111" i="25" s="1"/>
  <c r="BQ43" i="25"/>
  <c r="BR43" i="25" s="1"/>
  <c r="BQ96" i="25"/>
  <c r="BR96" i="25" s="1"/>
  <c r="BQ84" i="25"/>
  <c r="BR84" i="25" s="1"/>
  <c r="BQ40" i="25"/>
  <c r="BR40" i="25" s="1"/>
  <c r="BQ91" i="25"/>
  <c r="BR91" i="25" s="1"/>
  <c r="BQ80" i="25"/>
  <c r="BR80" i="25" s="1"/>
  <c r="BQ69" i="25"/>
  <c r="BR69" i="25" s="1"/>
  <c r="BQ122" i="25"/>
  <c r="BR122" i="25" s="1"/>
  <c r="BQ65" i="25"/>
  <c r="BR65" i="25" s="1"/>
  <c r="BQ74" i="25"/>
  <c r="BR74" i="25" s="1"/>
  <c r="BQ57" i="25"/>
  <c r="BR57" i="25" s="1"/>
  <c r="BQ27" i="25"/>
  <c r="BR27" i="25" s="1"/>
  <c r="BQ53" i="25"/>
  <c r="BR53" i="25" s="1"/>
  <c r="BQ64" i="25"/>
  <c r="BR64" i="25" s="1"/>
  <c r="BQ104" i="25"/>
  <c r="BR104" i="25" s="1"/>
  <c r="BQ56" i="25"/>
  <c r="BR56" i="25" s="1"/>
  <c r="BQ77" i="25"/>
  <c r="BR77" i="25" s="1"/>
  <c r="BQ46" i="25"/>
  <c r="BR46" i="25" s="1"/>
  <c r="BQ95" i="25"/>
  <c r="BR95" i="25" s="1"/>
  <c r="BQ82" i="25"/>
  <c r="BR82" i="25" s="1"/>
  <c r="BQ76" i="25"/>
  <c r="BR76" i="25" s="1"/>
  <c r="BQ54" i="25"/>
  <c r="BR54" i="25" s="1"/>
  <c r="BQ92" i="25"/>
  <c r="BR92" i="25" s="1"/>
  <c r="BQ106" i="25"/>
  <c r="BR106" i="25" s="1"/>
  <c r="BQ49" i="25"/>
  <c r="BR49" i="25" s="1"/>
  <c r="BQ63" i="25"/>
  <c r="BR63" i="25" s="1"/>
  <c r="BQ112" i="25"/>
  <c r="BR112" i="25" s="1"/>
  <c r="BQ52" i="25"/>
  <c r="BR52" i="25" s="1"/>
  <c r="BQ110" i="25"/>
  <c r="BR110" i="25" s="1"/>
  <c r="BQ75" i="25"/>
  <c r="BR75" i="25" s="1"/>
  <c r="BQ37" i="25"/>
  <c r="BR37" i="25" s="1"/>
  <c r="BQ113" i="25"/>
  <c r="BR113" i="25" s="1"/>
  <c r="BQ33" i="25"/>
  <c r="BR33" i="25" s="1"/>
  <c r="BQ71" i="25"/>
  <c r="BR71" i="25" s="1"/>
  <c r="BQ34" i="25"/>
  <c r="BR34" i="25" s="1"/>
  <c r="BQ35" i="25"/>
  <c r="BR35" i="25" s="1"/>
  <c r="BQ88" i="25"/>
  <c r="BR88" i="25" s="1"/>
  <c r="BQ83" i="25"/>
  <c r="BR83" i="25" s="1"/>
  <c r="BQ109" i="25"/>
  <c r="BR109" i="25" s="1"/>
  <c r="BQ94" i="25"/>
  <c r="BR94" i="25" s="1"/>
  <c r="BQ99" i="25"/>
  <c r="BR99" i="25" s="1"/>
  <c r="BQ100" i="25"/>
  <c r="BR100" i="25" s="1"/>
  <c r="BQ28" i="25"/>
  <c r="BR28" i="25" s="1"/>
  <c r="BQ51" i="25"/>
  <c r="BR51" i="25" s="1"/>
  <c r="BQ42" i="25"/>
  <c r="BR42" i="25" s="1"/>
  <c r="BQ78" i="25"/>
  <c r="BR78" i="25" s="1"/>
  <c r="BQ41" i="25"/>
  <c r="BR41" i="25" s="1"/>
  <c r="BQ115" i="25"/>
  <c r="BR115" i="25" s="1"/>
  <c r="BQ67" i="25"/>
  <c r="BR67" i="25" s="1"/>
  <c r="BQ117" i="25"/>
  <c r="BR117" i="25" s="1"/>
  <c r="BQ61" i="25"/>
  <c r="BR61" i="25" s="1"/>
  <c r="BQ44" i="25"/>
  <c r="BR44" i="25" s="1"/>
  <c r="BQ36" i="25"/>
  <c r="BR36" i="25" s="1"/>
  <c r="BQ47" i="25"/>
  <c r="BR47" i="25" s="1"/>
  <c r="BQ55" i="25"/>
  <c r="BR55" i="25" s="1"/>
  <c r="BQ31" i="25"/>
  <c r="BR31" i="25" s="1"/>
  <c r="BQ118" i="25"/>
  <c r="BR118" i="25" s="1"/>
  <c r="BQ90" i="25"/>
  <c r="BR90" i="25" s="1"/>
  <c r="BQ105" i="25"/>
  <c r="BR105" i="25" s="1"/>
  <c r="BQ87" i="25"/>
  <c r="BR87" i="25" s="1"/>
  <c r="BQ73" i="25"/>
  <c r="BR73" i="25" s="1"/>
  <c r="BQ120" i="25"/>
  <c r="BR120" i="25" s="1"/>
  <c r="BQ89" i="25"/>
  <c r="BR89" i="25" s="1"/>
  <c r="BQ93" i="25"/>
  <c r="BR93" i="25" s="1"/>
  <c r="BQ119" i="25"/>
  <c r="BR119" i="25" s="1"/>
  <c r="BQ124" i="25"/>
  <c r="BR124" i="25" s="1"/>
  <c r="BQ66" i="25"/>
  <c r="BR66" i="25" s="1"/>
  <c r="BQ97" i="25"/>
  <c r="BR97" i="25" s="1"/>
  <c r="BQ32" i="25"/>
  <c r="BR32" i="25" s="1"/>
  <c r="BQ59" i="25"/>
  <c r="BR59" i="25" s="1"/>
  <c r="BQ121" i="25"/>
  <c r="BR121" i="25" s="1"/>
  <c r="BQ86" i="25"/>
  <c r="BR86" i="25" s="1"/>
  <c r="BQ79" i="25"/>
  <c r="BR79" i="25" s="1"/>
  <c r="BQ101" i="25"/>
  <c r="BR101" i="25" s="1"/>
  <c r="BQ48" i="25"/>
  <c r="BR48" i="25" s="1"/>
  <c r="BQ39" i="25"/>
  <c r="BR39" i="25" s="1"/>
  <c r="BQ102" i="25"/>
  <c r="BR102" i="25" s="1"/>
  <c r="L152" i="21"/>
  <c r="L159" i="21"/>
  <c r="L153" i="21"/>
  <c r="L160" i="21"/>
  <c r="N112" i="16" s="1"/>
  <c r="AK31" i="25"/>
  <c r="N84" i="16"/>
  <c r="BQ45" i="19"/>
  <c r="BR45" i="19" s="1"/>
  <c r="BQ60" i="19"/>
  <c r="BR60" i="19" s="1"/>
  <c r="BQ82" i="19"/>
  <c r="BR82" i="19" s="1"/>
  <c r="AK21" i="24"/>
  <c r="AI38" i="25"/>
  <c r="AK26" i="25"/>
  <c r="AK38" i="25" s="1"/>
  <c r="N79" i="16"/>
  <c r="AI35" i="22"/>
  <c r="AK24" i="25"/>
  <c r="N77" i="16"/>
  <c r="AK31" i="24"/>
  <c r="L84" i="16"/>
  <c r="J153" i="21"/>
  <c r="J160" i="21"/>
  <c r="L112" i="16" s="1"/>
  <c r="J159" i="21"/>
  <c r="J152" i="21"/>
  <c r="AK24" i="24"/>
  <c r="L77" i="16"/>
  <c r="AI33" i="24"/>
  <c r="BQ95" i="24"/>
  <c r="BR95" i="24" s="1"/>
  <c r="BQ28" i="24"/>
  <c r="BR28" i="24" s="1"/>
  <c r="BQ90" i="24"/>
  <c r="BR90" i="24" s="1"/>
  <c r="BQ58" i="24"/>
  <c r="BR58" i="24" s="1"/>
  <c r="BQ49" i="24"/>
  <c r="BR49" i="24" s="1"/>
  <c r="BQ99" i="24"/>
  <c r="BR99" i="24" s="1"/>
  <c r="BQ102" i="24"/>
  <c r="BR102" i="24" s="1"/>
  <c r="BQ51" i="24"/>
  <c r="BR51" i="24" s="1"/>
  <c r="BQ70" i="24"/>
  <c r="BR70" i="24" s="1"/>
  <c r="BQ41" i="24"/>
  <c r="BR41" i="24" s="1"/>
  <c r="BQ43" i="24"/>
  <c r="BR43" i="24" s="1"/>
  <c r="BQ73" i="24"/>
  <c r="BR73" i="24" s="1"/>
  <c r="BQ94" i="24"/>
  <c r="BR94" i="24" s="1"/>
  <c r="BQ97" i="24"/>
  <c r="BR97" i="24" s="1"/>
  <c r="BQ36" i="24"/>
  <c r="BR36" i="24" s="1"/>
  <c r="BQ108" i="24"/>
  <c r="BR108" i="24" s="1"/>
  <c r="BQ93" i="24"/>
  <c r="BR93" i="24" s="1"/>
  <c r="BQ64" i="24"/>
  <c r="BR64" i="24" s="1"/>
  <c r="BQ104" i="24"/>
  <c r="BR104" i="24" s="1"/>
  <c r="BQ55" i="24"/>
  <c r="BR55" i="24" s="1"/>
  <c r="BQ31" i="24"/>
  <c r="BR31" i="24" s="1"/>
  <c r="BQ35" i="24"/>
  <c r="BR35" i="24" s="1"/>
  <c r="BQ38" i="24"/>
  <c r="BR38" i="24" s="1"/>
  <c r="BQ33" i="24"/>
  <c r="BR33" i="24" s="1"/>
  <c r="BQ107" i="24"/>
  <c r="BR107" i="24" s="1"/>
  <c r="BQ40" i="24"/>
  <c r="BR40" i="24" s="1"/>
  <c r="BQ86" i="24"/>
  <c r="BR86" i="24" s="1"/>
  <c r="BQ42" i="24"/>
  <c r="BR42" i="24" s="1"/>
  <c r="BQ68" i="24"/>
  <c r="BR68" i="24" s="1"/>
  <c r="BQ37" i="24"/>
  <c r="BR37" i="24" s="1"/>
  <c r="BQ32" i="24"/>
  <c r="BR32" i="24" s="1"/>
  <c r="BQ92" i="24"/>
  <c r="BR92" i="24" s="1"/>
  <c r="BQ74" i="24"/>
  <c r="BR74" i="24" s="1"/>
  <c r="BQ81" i="24"/>
  <c r="BR81" i="24" s="1"/>
  <c r="BQ115" i="24"/>
  <c r="BR115" i="24" s="1"/>
  <c r="BQ47" i="24"/>
  <c r="BR47" i="24" s="1"/>
  <c r="BQ109" i="24"/>
  <c r="BR109" i="24" s="1"/>
  <c r="BQ54" i="24"/>
  <c r="BR54" i="24" s="1"/>
  <c r="BQ114" i="24"/>
  <c r="BR114" i="24" s="1"/>
  <c r="BQ120" i="24"/>
  <c r="BR120" i="24" s="1"/>
  <c r="BQ123" i="24"/>
  <c r="BR123" i="24" s="1"/>
  <c r="BQ65" i="24"/>
  <c r="BR65" i="24" s="1"/>
  <c r="BQ30" i="24"/>
  <c r="BR30" i="24" s="1"/>
  <c r="BQ91" i="24"/>
  <c r="BR91" i="24" s="1"/>
  <c r="BQ34" i="24"/>
  <c r="BR34" i="24" s="1"/>
  <c r="BQ57" i="24"/>
  <c r="BR57" i="24" s="1"/>
  <c r="BQ76" i="24"/>
  <c r="BR76" i="24" s="1"/>
  <c r="BQ103" i="24"/>
  <c r="BR103" i="24" s="1"/>
  <c r="BQ45" i="24"/>
  <c r="BR45" i="24" s="1"/>
  <c r="BQ118" i="24"/>
  <c r="BR118" i="24" s="1"/>
  <c r="BQ39" i="24"/>
  <c r="BR39" i="24" s="1"/>
  <c r="BQ66" i="24"/>
  <c r="BR66" i="24" s="1"/>
  <c r="BQ62" i="24"/>
  <c r="BR62" i="24" s="1"/>
  <c r="BQ48" i="24"/>
  <c r="BR48" i="24" s="1"/>
  <c r="BQ122" i="24"/>
  <c r="BR122" i="24" s="1"/>
  <c r="BQ117" i="24"/>
  <c r="BR117" i="24" s="1"/>
  <c r="BQ60" i="24"/>
  <c r="BR60" i="24" s="1"/>
  <c r="BQ27" i="24"/>
  <c r="BR27" i="24" s="1"/>
  <c r="BQ113" i="24"/>
  <c r="BR113" i="24" s="1"/>
  <c r="BQ106" i="24"/>
  <c r="BR106" i="24" s="1"/>
  <c r="BQ88" i="24"/>
  <c r="BR88" i="24" s="1"/>
  <c r="BQ89" i="24"/>
  <c r="BR89" i="24" s="1"/>
  <c r="BQ59" i="24"/>
  <c r="BR59" i="24" s="1"/>
  <c r="BQ101" i="24"/>
  <c r="BR101" i="24" s="1"/>
  <c r="BQ119" i="24"/>
  <c r="BR119" i="24" s="1"/>
  <c r="BQ69" i="24"/>
  <c r="BR69" i="24" s="1"/>
  <c r="BQ46" i="24"/>
  <c r="BR46" i="24" s="1"/>
  <c r="BQ98" i="24"/>
  <c r="BR98" i="24" s="1"/>
  <c r="BQ112" i="24"/>
  <c r="BR112" i="24" s="1"/>
  <c r="BQ100" i="24"/>
  <c r="BR100" i="24" s="1"/>
  <c r="BQ26" i="24"/>
  <c r="BR26" i="24" s="1"/>
  <c r="BQ87" i="24"/>
  <c r="BR87" i="24" s="1"/>
  <c r="BQ96" i="24"/>
  <c r="BR96" i="24" s="1"/>
  <c r="BQ61" i="24"/>
  <c r="BR61" i="24" s="1"/>
  <c r="BQ56" i="24"/>
  <c r="BR56" i="24" s="1"/>
  <c r="BQ29" i="24"/>
  <c r="BR29" i="24" s="1"/>
  <c r="BQ63" i="24"/>
  <c r="BR63" i="24" s="1"/>
  <c r="BQ105" i="24"/>
  <c r="BR105" i="24" s="1"/>
  <c r="BQ50" i="24"/>
  <c r="BR50" i="24" s="1"/>
  <c r="BQ116" i="24"/>
  <c r="BR116" i="24" s="1"/>
  <c r="BQ83" i="24"/>
  <c r="BR83" i="24" s="1"/>
  <c r="BQ85" i="24"/>
  <c r="BR85" i="24" s="1"/>
  <c r="BQ80" i="24"/>
  <c r="BR80" i="24" s="1"/>
  <c r="BQ82" i="24"/>
  <c r="BR82" i="24" s="1"/>
  <c r="BQ67" i="24"/>
  <c r="BR67" i="24" s="1"/>
  <c r="BQ52" i="24"/>
  <c r="BR52" i="24" s="1"/>
  <c r="BQ53" i="24"/>
  <c r="BR53" i="24" s="1"/>
  <c r="BQ44" i="24"/>
  <c r="BR44" i="24" s="1"/>
  <c r="BQ121" i="24"/>
  <c r="BR121" i="24" s="1"/>
  <c r="BQ71" i="24"/>
  <c r="BR71" i="24" s="1"/>
  <c r="BQ77" i="24"/>
  <c r="BR77" i="24" s="1"/>
  <c r="BQ125" i="24"/>
  <c r="BR125" i="24" s="1"/>
  <c r="BQ111" i="24"/>
  <c r="BR111" i="24" s="1"/>
  <c r="BQ79" i="24"/>
  <c r="BR79" i="24" s="1"/>
  <c r="BQ124" i="24"/>
  <c r="BR124" i="24" s="1"/>
  <c r="BQ72" i="24"/>
  <c r="BR72" i="24" s="1"/>
  <c r="BQ84" i="24"/>
  <c r="BR84" i="24" s="1"/>
  <c r="BQ78" i="24"/>
  <c r="BR78" i="24" s="1"/>
  <c r="BQ110" i="24"/>
  <c r="BR110" i="24" s="1"/>
  <c r="BQ75" i="24"/>
  <c r="BR75" i="24" s="1"/>
  <c r="BQ66" i="19"/>
  <c r="BR66" i="19" s="1"/>
  <c r="H154" i="21"/>
  <c r="AK19" i="22"/>
  <c r="AI35" i="24"/>
  <c r="BQ118" i="19"/>
  <c r="BR118" i="19" s="1"/>
  <c r="BQ50" i="19"/>
  <c r="BR50" i="19" s="1"/>
  <c r="BQ115" i="19"/>
  <c r="BR115" i="19" s="1"/>
  <c r="BQ35" i="19"/>
  <c r="BR35" i="19" s="1"/>
  <c r="BQ62" i="19"/>
  <c r="BR62" i="19" s="1"/>
  <c r="BQ49" i="19"/>
  <c r="BR49" i="19" s="1"/>
  <c r="BQ84" i="19"/>
  <c r="BR84" i="19" s="1"/>
  <c r="BQ107" i="19"/>
  <c r="BR107" i="19" s="1"/>
  <c r="BQ26" i="19"/>
  <c r="BR26" i="19" s="1"/>
  <c r="J111" i="16"/>
  <c r="J114" i="16" s="1"/>
  <c r="BQ76" i="19"/>
  <c r="BR76" i="19" s="1"/>
  <c r="BQ101" i="19"/>
  <c r="BR101" i="19" s="1"/>
  <c r="BQ43" i="19"/>
  <c r="BR43" i="19" s="1"/>
  <c r="BQ112" i="19"/>
  <c r="BR112" i="19" s="1"/>
  <c r="BQ96" i="19"/>
  <c r="BR96" i="19" s="1"/>
  <c r="BQ59" i="19"/>
  <c r="BR59" i="19" s="1"/>
  <c r="BQ65" i="19"/>
  <c r="BR65" i="19" s="1"/>
  <c r="BQ88" i="19"/>
  <c r="BR88" i="19" s="1"/>
  <c r="BQ63" i="19"/>
  <c r="BR63" i="19" s="1"/>
  <c r="BQ68" i="19"/>
  <c r="BR68" i="19" s="1"/>
  <c r="BQ108" i="19"/>
  <c r="BR108" i="19" s="1"/>
  <c r="BQ33" i="19"/>
  <c r="BR33" i="19" s="1"/>
  <c r="BQ70" i="19"/>
  <c r="BR70" i="19" s="1"/>
  <c r="BQ61" i="19"/>
  <c r="BR61" i="19" s="1"/>
  <c r="BQ124" i="19"/>
  <c r="BR124" i="19" s="1"/>
  <c r="BQ102" i="19"/>
  <c r="BR102" i="19" s="1"/>
  <c r="AI33" i="22"/>
  <c r="BQ27" i="19"/>
  <c r="BR27" i="19" s="1"/>
  <c r="BQ99" i="19"/>
  <c r="BR99" i="19" s="1"/>
  <c r="BQ91" i="19"/>
  <c r="BR91" i="19" s="1"/>
  <c r="BQ32" i="19"/>
  <c r="BR32" i="19" s="1"/>
  <c r="BQ121" i="19"/>
  <c r="BR121" i="19" s="1"/>
  <c r="BQ125" i="19"/>
  <c r="BR125" i="19" s="1"/>
  <c r="BQ64" i="19"/>
  <c r="BR64" i="19" s="1"/>
  <c r="BQ97" i="19"/>
  <c r="BR97" i="19" s="1"/>
  <c r="BQ38" i="19"/>
  <c r="BR38" i="19" s="1"/>
  <c r="BQ110" i="19"/>
  <c r="BR110" i="19" s="1"/>
  <c r="BQ123" i="19"/>
  <c r="BR123" i="19" s="1"/>
  <c r="BQ105" i="19"/>
  <c r="BR105" i="19" s="1"/>
  <c r="BQ120" i="19"/>
  <c r="BR120" i="19" s="1"/>
  <c r="BQ83" i="19"/>
  <c r="BR83" i="19" s="1"/>
  <c r="BQ119" i="19"/>
  <c r="BR119" i="19" s="1"/>
  <c r="BQ42" i="19"/>
  <c r="BR42" i="19" s="1"/>
  <c r="AK26" i="22"/>
  <c r="AK38" i="22" s="1"/>
  <c r="AI38" i="22"/>
  <c r="J79" i="16"/>
  <c r="BQ31" i="19"/>
  <c r="BR31" i="19" s="1"/>
  <c r="BQ79" i="19"/>
  <c r="BR79" i="19" s="1"/>
  <c r="BQ52" i="19"/>
  <c r="BR52" i="19" s="1"/>
  <c r="BQ111" i="19"/>
  <c r="BR111" i="19" s="1"/>
  <c r="BQ40" i="19"/>
  <c r="BR40" i="19" s="1"/>
  <c r="BQ57" i="19"/>
  <c r="BR57" i="19" s="1"/>
  <c r="BQ86" i="19"/>
  <c r="BR86" i="19" s="1"/>
  <c r="BQ122" i="19"/>
  <c r="BR122" i="19" s="1"/>
  <c r="AK27" i="22"/>
  <c r="J80" i="16"/>
  <c r="J74" i="16"/>
  <c r="AK21" i="22"/>
  <c r="BQ113" i="19"/>
  <c r="BR113" i="19" s="1"/>
  <c r="BQ44" i="19"/>
  <c r="BR44" i="19" s="1"/>
  <c r="BQ78" i="19"/>
  <c r="BR78" i="19" s="1"/>
  <c r="BQ73" i="19"/>
  <c r="BR73" i="19" s="1"/>
  <c r="BQ48" i="19"/>
  <c r="BR48" i="19" s="1"/>
  <c r="BQ92" i="19"/>
  <c r="BR92" i="19" s="1"/>
  <c r="BQ87" i="19"/>
  <c r="BR87" i="19" s="1"/>
  <c r="BQ94" i="19"/>
  <c r="BR94" i="19" s="1"/>
  <c r="BQ37" i="19"/>
  <c r="BR37" i="19" s="1"/>
  <c r="BQ109" i="19"/>
  <c r="BR109" i="19" s="1"/>
  <c r="BQ89" i="19"/>
  <c r="BR89" i="19" s="1"/>
  <c r="BQ53" i="19"/>
  <c r="BR53" i="19" s="1"/>
  <c r="BQ67" i="19"/>
  <c r="BR67" i="19" s="1"/>
  <c r="BQ30" i="19"/>
  <c r="BR30" i="19" s="1"/>
  <c r="BQ55" i="19"/>
  <c r="BR55" i="19" s="1"/>
  <c r="BQ75" i="19"/>
  <c r="BR75" i="19" s="1"/>
  <c r="BQ114" i="19"/>
  <c r="BR114" i="19" s="1"/>
  <c r="BQ105" i="22"/>
  <c r="BR105" i="22" s="1"/>
  <c r="BQ100" i="22"/>
  <c r="BR100" i="22" s="1"/>
  <c r="BQ30" i="22"/>
  <c r="BR30" i="22" s="1"/>
  <c r="BQ66" i="22"/>
  <c r="BR66" i="22" s="1"/>
  <c r="BQ26" i="22"/>
  <c r="BR26" i="22" s="1"/>
  <c r="BQ124" i="22"/>
  <c r="BR124" i="22" s="1"/>
  <c r="BQ123" i="22"/>
  <c r="BR123" i="22" s="1"/>
  <c r="BQ89" i="22"/>
  <c r="BR89" i="22" s="1"/>
  <c r="BQ79" i="22"/>
  <c r="BR79" i="22" s="1"/>
  <c r="BQ87" i="22"/>
  <c r="BR87" i="22" s="1"/>
  <c r="BQ98" i="22"/>
  <c r="BR98" i="22" s="1"/>
  <c r="BQ112" i="22"/>
  <c r="BR112" i="22" s="1"/>
  <c r="BQ110" i="22"/>
  <c r="BR110" i="22" s="1"/>
  <c r="BQ60" i="22"/>
  <c r="BR60" i="22" s="1"/>
  <c r="BQ54" i="22"/>
  <c r="BR54" i="22" s="1"/>
  <c r="BQ71" i="22"/>
  <c r="BR71" i="22" s="1"/>
  <c r="BQ34" i="22"/>
  <c r="BR34" i="22" s="1"/>
  <c r="BQ40" i="22"/>
  <c r="BR40" i="22" s="1"/>
  <c r="BQ101" i="22"/>
  <c r="BR101" i="22" s="1"/>
  <c r="BQ107" i="22"/>
  <c r="BR107" i="22" s="1"/>
  <c r="BQ49" i="22"/>
  <c r="BR49" i="22" s="1"/>
  <c r="BQ27" i="22"/>
  <c r="BR27" i="22" s="1"/>
  <c r="BQ75" i="22"/>
  <c r="BR75" i="22" s="1"/>
  <c r="BQ77" i="22"/>
  <c r="BR77" i="22" s="1"/>
  <c r="BQ45" i="22"/>
  <c r="BR45" i="22" s="1"/>
  <c r="BQ103" i="22"/>
  <c r="BR103" i="22" s="1"/>
  <c r="BQ81" i="22"/>
  <c r="BR81" i="22" s="1"/>
  <c r="BQ42" i="22"/>
  <c r="BR42" i="22" s="1"/>
  <c r="BQ70" i="22"/>
  <c r="BR70" i="22" s="1"/>
  <c r="BQ72" i="22"/>
  <c r="BR72" i="22" s="1"/>
  <c r="BQ43" i="22"/>
  <c r="BR43" i="22" s="1"/>
  <c r="BQ90" i="22"/>
  <c r="BR90" i="22" s="1"/>
  <c r="BQ37" i="22"/>
  <c r="BR37" i="22" s="1"/>
  <c r="BQ94" i="22"/>
  <c r="BR94" i="22" s="1"/>
  <c r="BQ62" i="22"/>
  <c r="BR62" i="22" s="1"/>
  <c r="BQ125" i="22"/>
  <c r="BR125" i="22" s="1"/>
  <c r="BQ106" i="22"/>
  <c r="BR106" i="22" s="1"/>
  <c r="BQ51" i="22"/>
  <c r="BR51" i="22" s="1"/>
  <c r="BQ99" i="22"/>
  <c r="BR99" i="22" s="1"/>
  <c r="BQ61" i="22"/>
  <c r="BR61" i="22" s="1"/>
  <c r="BQ78" i="22"/>
  <c r="BR78" i="22" s="1"/>
  <c r="BQ117" i="22"/>
  <c r="BR117" i="22" s="1"/>
  <c r="BQ55" i="22"/>
  <c r="BR55" i="22" s="1"/>
  <c r="BQ36" i="22"/>
  <c r="BR36" i="22" s="1"/>
  <c r="BQ109" i="22"/>
  <c r="BR109" i="22" s="1"/>
  <c r="BQ119" i="22"/>
  <c r="BR119" i="22" s="1"/>
  <c r="BQ122" i="22"/>
  <c r="BR122" i="22" s="1"/>
  <c r="BQ41" i="22"/>
  <c r="BR41" i="22" s="1"/>
  <c r="BQ104" i="22"/>
  <c r="BR104" i="22" s="1"/>
  <c r="BQ113" i="22"/>
  <c r="BR113" i="22" s="1"/>
  <c r="BQ111" i="22"/>
  <c r="BR111" i="22" s="1"/>
  <c r="BQ86" i="22"/>
  <c r="BR86" i="22" s="1"/>
  <c r="BQ69" i="22"/>
  <c r="BR69" i="22" s="1"/>
  <c r="BQ39" i="22"/>
  <c r="BR39" i="22" s="1"/>
  <c r="BQ28" i="22"/>
  <c r="BR28" i="22" s="1"/>
  <c r="BQ118" i="22"/>
  <c r="BR118" i="22" s="1"/>
  <c r="BQ67" i="22"/>
  <c r="BR67" i="22" s="1"/>
  <c r="BQ52" i="22"/>
  <c r="BR52" i="22" s="1"/>
  <c r="BQ64" i="22"/>
  <c r="BR64" i="22" s="1"/>
  <c r="BQ84" i="22"/>
  <c r="BR84" i="22" s="1"/>
  <c r="BQ47" i="22"/>
  <c r="BR47" i="22" s="1"/>
  <c r="BQ56" i="22"/>
  <c r="BR56" i="22" s="1"/>
  <c r="BQ80" i="22"/>
  <c r="BR80" i="22" s="1"/>
  <c r="BQ53" i="22"/>
  <c r="BR53" i="22" s="1"/>
  <c r="BQ73" i="22"/>
  <c r="BR73" i="22" s="1"/>
  <c r="BQ97" i="22"/>
  <c r="BR97" i="22" s="1"/>
  <c r="BQ82" i="22"/>
  <c r="BR82" i="22" s="1"/>
  <c r="BQ57" i="22"/>
  <c r="BR57" i="22" s="1"/>
  <c r="BQ116" i="22"/>
  <c r="BR116" i="22" s="1"/>
  <c r="BQ88" i="22"/>
  <c r="BR88" i="22" s="1"/>
  <c r="BQ65" i="22"/>
  <c r="BR65" i="22" s="1"/>
  <c r="BQ115" i="22"/>
  <c r="BR115" i="22" s="1"/>
  <c r="BQ35" i="22"/>
  <c r="BR35" i="22" s="1"/>
  <c r="BQ68" i="22"/>
  <c r="BR68" i="22" s="1"/>
  <c r="BQ32" i="22"/>
  <c r="BR32" i="22" s="1"/>
  <c r="BQ102" i="22"/>
  <c r="BR102" i="22" s="1"/>
  <c r="BQ44" i="22"/>
  <c r="BR44" i="22" s="1"/>
  <c r="BQ85" i="22"/>
  <c r="BR85" i="22" s="1"/>
  <c r="BQ63" i="22"/>
  <c r="BR63" i="22" s="1"/>
  <c r="BQ92" i="22"/>
  <c r="BR92" i="22" s="1"/>
  <c r="BQ38" i="22"/>
  <c r="BR38" i="22" s="1"/>
  <c r="BQ120" i="22"/>
  <c r="BR120" i="22" s="1"/>
  <c r="BQ121" i="22"/>
  <c r="BR121" i="22" s="1"/>
  <c r="BQ48" i="22"/>
  <c r="BR48" i="22" s="1"/>
  <c r="BQ31" i="22"/>
  <c r="BR31" i="22" s="1"/>
  <c r="BQ108" i="22"/>
  <c r="BR108" i="22" s="1"/>
  <c r="BQ76" i="22"/>
  <c r="BR76" i="22" s="1"/>
  <c r="BQ59" i="22"/>
  <c r="BR59" i="22" s="1"/>
  <c r="BQ83" i="22"/>
  <c r="BR83" i="22" s="1"/>
  <c r="BQ74" i="22"/>
  <c r="BR74" i="22" s="1"/>
  <c r="BQ58" i="22"/>
  <c r="BR58" i="22" s="1"/>
  <c r="BQ50" i="22"/>
  <c r="BR50" i="22" s="1"/>
  <c r="BQ46" i="22"/>
  <c r="BR46" i="22" s="1"/>
  <c r="BQ114" i="22"/>
  <c r="BR114" i="22" s="1"/>
  <c r="BQ33" i="22"/>
  <c r="BR33" i="22" s="1"/>
  <c r="BQ91" i="22"/>
  <c r="BR91" i="22" s="1"/>
  <c r="BQ29" i="22"/>
  <c r="BR29" i="22" s="1"/>
  <c r="BQ96" i="22"/>
  <c r="BR96" i="22" s="1"/>
  <c r="BQ95" i="22"/>
  <c r="BR95" i="22" s="1"/>
  <c r="BQ93" i="22"/>
  <c r="BR93" i="22" s="1"/>
  <c r="J77" i="16"/>
  <c r="AK24" i="22"/>
  <c r="BQ29" i="19"/>
  <c r="BR29" i="19" s="1"/>
  <c r="BQ103" i="19"/>
  <c r="BR103" i="19" s="1"/>
  <c r="BQ85" i="19"/>
  <c r="BR85" i="19" s="1"/>
  <c r="BQ51" i="19"/>
  <c r="BR51" i="19" s="1"/>
  <c r="BQ104" i="19"/>
  <c r="BR104" i="19" s="1"/>
  <c r="BQ47" i="19"/>
  <c r="BR47" i="19" s="1"/>
  <c r="BQ116" i="19"/>
  <c r="BR116" i="19" s="1"/>
  <c r="BQ80" i="19"/>
  <c r="BR80" i="19" s="1"/>
  <c r="BQ41" i="19"/>
  <c r="BR41" i="19" s="1"/>
  <c r="J76" i="16"/>
  <c r="AI36" i="22"/>
  <c r="AK23" i="22"/>
  <c r="AK36" i="22" s="1"/>
  <c r="BQ69" i="19"/>
  <c r="BR69" i="19" s="1"/>
  <c r="BQ34" i="19"/>
  <c r="BR34" i="19" s="1"/>
  <c r="BQ74" i="19"/>
  <c r="BR74" i="19" s="1"/>
  <c r="BQ93" i="19"/>
  <c r="BR93" i="19" s="1"/>
  <c r="BQ77" i="19"/>
  <c r="BR77" i="19" s="1"/>
  <c r="BQ46" i="19"/>
  <c r="BR46" i="19" s="1"/>
  <c r="BQ71" i="19"/>
  <c r="BR71" i="19" s="1"/>
  <c r="BQ100" i="19"/>
  <c r="BR100" i="19" s="1"/>
  <c r="AK24" i="19"/>
  <c r="H77" i="16"/>
  <c r="AK26" i="19"/>
  <c r="AK38" i="19" s="1"/>
  <c r="H79" i="16"/>
  <c r="AI38" i="19"/>
  <c r="F152" i="21"/>
  <c r="F159" i="21"/>
  <c r="AH30" i="22"/>
  <c r="F153" i="21"/>
  <c r="F160" i="21"/>
  <c r="H112" i="16" s="1"/>
  <c r="H84" i="16"/>
  <c r="AK31" i="19"/>
  <c r="AK19" i="19"/>
  <c r="AI35" i="19"/>
  <c r="H72" i="16"/>
  <c r="AI33" i="19"/>
  <c r="H76" i="16"/>
  <c r="AI36" i="19"/>
  <c r="AK23" i="19"/>
  <c r="AK36" i="19" s="1"/>
  <c r="G76" i="16"/>
  <c r="M75" i="16"/>
  <c r="K83" i="16"/>
  <c r="AF36" i="19"/>
  <c r="AQ25" i="19" s="1"/>
  <c r="AQ55" i="19" s="1"/>
  <c r="I72" i="16"/>
  <c r="AH22" i="19"/>
  <c r="AF39" i="25"/>
  <c r="AT25" i="25" s="1"/>
  <c r="AT55" i="25" s="1"/>
  <c r="K75" i="16"/>
  <c r="M81" i="16"/>
  <c r="AH26" i="25"/>
  <c r="AH38" i="25" s="1"/>
  <c r="AS25" i="25" s="1"/>
  <c r="AS22" i="25" s="1"/>
  <c r="AH31" i="25"/>
  <c r="M79" i="16"/>
  <c r="I80" i="16"/>
  <c r="AF38" i="22"/>
  <c r="K81" i="16"/>
  <c r="AH24" i="25"/>
  <c r="K74" i="16"/>
  <c r="AH18" i="22"/>
  <c r="M80" i="16"/>
  <c r="AX91" i="22"/>
  <c r="AY91" i="22" s="1"/>
  <c r="AH28" i="24"/>
  <c r="AH39" i="24" s="1"/>
  <c r="AT25" i="24" s="1"/>
  <c r="AT22" i="24" s="1"/>
  <c r="AX66" i="22"/>
  <c r="AY66" i="22" s="1"/>
  <c r="E142" i="21"/>
  <c r="E143" i="21" s="1"/>
  <c r="E144" i="21" s="1"/>
  <c r="E158" i="21" s="1"/>
  <c r="G110" i="16" s="1"/>
  <c r="AX101" i="22"/>
  <c r="AY101" i="22" s="1"/>
  <c r="AX78" i="22"/>
  <c r="AY78" i="22" s="1"/>
  <c r="AH29" i="22"/>
  <c r="AH40" i="22" s="1"/>
  <c r="AF40" i="22"/>
  <c r="I82" i="16"/>
  <c r="AH26" i="22"/>
  <c r="AH38" i="22" s="1"/>
  <c r="AX97" i="22"/>
  <c r="AY97" i="22" s="1"/>
  <c r="K76" i="16"/>
  <c r="AX55" i="24"/>
  <c r="AY55" i="24" s="1"/>
  <c r="AF36" i="24"/>
  <c r="AQ25" i="24" s="1"/>
  <c r="AQ55" i="24" s="1"/>
  <c r="AX35" i="22"/>
  <c r="AY35" i="22" s="1"/>
  <c r="AX85" i="22"/>
  <c r="AY85" i="22" s="1"/>
  <c r="AX57" i="22"/>
  <c r="AY57" i="22" s="1"/>
  <c r="AH30" i="19"/>
  <c r="I152" i="21"/>
  <c r="I159" i="21"/>
  <c r="AX80" i="22"/>
  <c r="AY80" i="22" s="1"/>
  <c r="AX110" i="22"/>
  <c r="AY110" i="22" s="1"/>
  <c r="AX100" i="22"/>
  <c r="AY100" i="22" s="1"/>
  <c r="AX39" i="22"/>
  <c r="AY39" i="22" s="1"/>
  <c r="AX90" i="22"/>
  <c r="AY90" i="22" s="1"/>
  <c r="AX64" i="22"/>
  <c r="AY64" i="22" s="1"/>
  <c r="AF32" i="24"/>
  <c r="AF33" i="24" s="1"/>
  <c r="AX98" i="22"/>
  <c r="AY98" i="22" s="1"/>
  <c r="AX70" i="22"/>
  <c r="AY70" i="22" s="1"/>
  <c r="AX117" i="22"/>
  <c r="AY117" i="22" s="1"/>
  <c r="AX48" i="25"/>
  <c r="AY48" i="25" s="1"/>
  <c r="AX81" i="19"/>
  <c r="AY81" i="19" s="1"/>
  <c r="I75" i="16"/>
  <c r="AX112" i="19"/>
  <c r="AY112" i="19" s="1"/>
  <c r="AX62" i="24"/>
  <c r="AY62" i="24" s="1"/>
  <c r="R103" i="17"/>
  <c r="AX114" i="22"/>
  <c r="AY114" i="22" s="1"/>
  <c r="AX121" i="22"/>
  <c r="AY121" i="22" s="1"/>
  <c r="AX77" i="22"/>
  <c r="AY77" i="22" s="1"/>
  <c r="AX65" i="22"/>
  <c r="AY65" i="22" s="1"/>
  <c r="AX76" i="22"/>
  <c r="AY76" i="22" s="1"/>
  <c r="AX63" i="22"/>
  <c r="AY63" i="22" s="1"/>
  <c r="AX104" i="22"/>
  <c r="AY104" i="22" s="1"/>
  <c r="AX115" i="22"/>
  <c r="AY115" i="22" s="1"/>
  <c r="AX109" i="22"/>
  <c r="AY109" i="22" s="1"/>
  <c r="AX32" i="22"/>
  <c r="AY32" i="22" s="1"/>
  <c r="AX112" i="22"/>
  <c r="AY112" i="22" s="1"/>
  <c r="AX55" i="22"/>
  <c r="AY55" i="22" s="1"/>
  <c r="AX53" i="22"/>
  <c r="AY53" i="22" s="1"/>
  <c r="AX60" i="22"/>
  <c r="AY60" i="22" s="1"/>
  <c r="I77" i="16"/>
  <c r="AX30" i="22"/>
  <c r="AY30" i="22" s="1"/>
  <c r="AX59" i="22"/>
  <c r="AY59" i="22" s="1"/>
  <c r="AX47" i="22"/>
  <c r="AY47" i="22" s="1"/>
  <c r="AX102" i="22"/>
  <c r="AY102" i="22" s="1"/>
  <c r="AX113" i="22"/>
  <c r="AY113" i="22" s="1"/>
  <c r="AX51" i="22"/>
  <c r="AY51" i="22" s="1"/>
  <c r="AX92" i="22"/>
  <c r="AY92" i="22" s="1"/>
  <c r="AX74" i="22"/>
  <c r="AY74" i="22" s="1"/>
  <c r="AX84" i="22"/>
  <c r="AY84" i="22" s="1"/>
  <c r="AX45" i="22"/>
  <c r="AY45" i="22" s="1"/>
  <c r="AX67" i="22"/>
  <c r="AY67" i="22" s="1"/>
  <c r="AX86" i="22"/>
  <c r="AY86" i="22" s="1"/>
  <c r="AX123" i="22"/>
  <c r="AY123" i="22" s="1"/>
  <c r="AX103" i="22"/>
  <c r="AY103" i="22" s="1"/>
  <c r="AX75" i="22"/>
  <c r="AY75" i="22" s="1"/>
  <c r="AX31" i="22"/>
  <c r="AY31" i="22" s="1"/>
  <c r="AX42" i="22"/>
  <c r="AY42" i="22" s="1"/>
  <c r="AX54" i="22"/>
  <c r="AY54" i="22" s="1"/>
  <c r="AX29" i="22"/>
  <c r="AY29" i="22" s="1"/>
  <c r="AX83" i="22"/>
  <c r="AY83" i="22" s="1"/>
  <c r="AX95" i="22"/>
  <c r="AY95" i="22" s="1"/>
  <c r="AX56" i="22"/>
  <c r="AY56" i="22" s="1"/>
  <c r="AX48" i="22"/>
  <c r="AY48" i="22" s="1"/>
  <c r="AX44" i="22"/>
  <c r="AY44" i="22" s="1"/>
  <c r="M74" i="16"/>
  <c r="I76" i="16"/>
  <c r="AF36" i="22"/>
  <c r="AQ25" i="22" s="1"/>
  <c r="AQ115" i="22" s="1"/>
  <c r="K157" i="21"/>
  <c r="M109" i="16" s="1"/>
  <c r="AX93" i="24"/>
  <c r="AY93" i="24" s="1"/>
  <c r="AH26" i="19"/>
  <c r="AH38" i="19" s="1"/>
  <c r="AX111" i="19"/>
  <c r="AY111" i="19" s="1"/>
  <c r="AX95" i="19"/>
  <c r="AY95" i="19" s="1"/>
  <c r="AX110" i="19"/>
  <c r="AY110" i="19" s="1"/>
  <c r="AX32" i="19"/>
  <c r="AY32" i="19" s="1"/>
  <c r="AX101" i="19"/>
  <c r="AY101" i="19" s="1"/>
  <c r="AH27" i="19"/>
  <c r="AF38" i="19"/>
  <c r="AX41" i="19"/>
  <c r="AY41" i="19" s="1"/>
  <c r="AX92" i="19"/>
  <c r="AY92" i="19" s="1"/>
  <c r="AX107" i="19"/>
  <c r="AY107" i="19" s="1"/>
  <c r="AX57" i="19"/>
  <c r="AY57" i="19" s="1"/>
  <c r="AX71" i="19"/>
  <c r="AY71" i="19" s="1"/>
  <c r="AX50" i="19"/>
  <c r="AY50" i="19" s="1"/>
  <c r="AX62" i="19"/>
  <c r="AY62" i="19" s="1"/>
  <c r="AX96" i="19"/>
  <c r="AY96" i="19" s="1"/>
  <c r="AX40" i="19"/>
  <c r="AY40" i="19" s="1"/>
  <c r="AX33" i="19"/>
  <c r="AY33" i="19" s="1"/>
  <c r="AX60" i="19"/>
  <c r="AY60" i="19" s="1"/>
  <c r="AX27" i="22"/>
  <c r="AY27" i="22" s="1"/>
  <c r="AX93" i="22"/>
  <c r="AY93" i="22" s="1"/>
  <c r="AX52" i="22"/>
  <c r="AY52" i="22" s="1"/>
  <c r="AX46" i="22"/>
  <c r="AY46" i="22" s="1"/>
  <c r="AX124" i="22"/>
  <c r="AY124" i="22" s="1"/>
  <c r="AX38" i="22"/>
  <c r="AY38" i="22" s="1"/>
  <c r="AX106" i="22"/>
  <c r="AY106" i="22" s="1"/>
  <c r="AX116" i="22"/>
  <c r="AY116" i="22" s="1"/>
  <c r="AX63" i="19"/>
  <c r="AY63" i="19" s="1"/>
  <c r="AX116" i="19"/>
  <c r="AY116" i="19" s="1"/>
  <c r="AX83" i="19"/>
  <c r="AY83" i="19" s="1"/>
  <c r="AX37" i="19"/>
  <c r="AY37" i="19" s="1"/>
  <c r="AX89" i="19"/>
  <c r="AY89" i="19" s="1"/>
  <c r="AX114" i="19"/>
  <c r="AY114" i="19" s="1"/>
  <c r="AX31" i="19"/>
  <c r="AY31" i="19" s="1"/>
  <c r="AX29" i="19"/>
  <c r="AY29" i="19" s="1"/>
  <c r="AX100" i="19"/>
  <c r="AY100" i="19" s="1"/>
  <c r="AX79" i="19"/>
  <c r="AY79" i="19" s="1"/>
  <c r="AX34" i="19"/>
  <c r="AY34" i="19" s="1"/>
  <c r="M72" i="16"/>
  <c r="AX97" i="19"/>
  <c r="AY97" i="19" s="1"/>
  <c r="AX93" i="19"/>
  <c r="AY93" i="19" s="1"/>
  <c r="AX122" i="22"/>
  <c r="AY122" i="22" s="1"/>
  <c r="AX34" i="22"/>
  <c r="AY34" i="22" s="1"/>
  <c r="AX125" i="22"/>
  <c r="AY125" i="22" s="1"/>
  <c r="AX36" i="22"/>
  <c r="AY36" i="22" s="1"/>
  <c r="AX26" i="22"/>
  <c r="AY26" i="22" s="1"/>
  <c r="AX111" i="22"/>
  <c r="AY111" i="22" s="1"/>
  <c r="AX108" i="22"/>
  <c r="AY108" i="22" s="1"/>
  <c r="AX58" i="19"/>
  <c r="AY58" i="19" s="1"/>
  <c r="AX69" i="19"/>
  <c r="AY69" i="19" s="1"/>
  <c r="AX120" i="19"/>
  <c r="AY120" i="19" s="1"/>
  <c r="AX94" i="19"/>
  <c r="AY94" i="19" s="1"/>
  <c r="AX95" i="24"/>
  <c r="AY95" i="24" s="1"/>
  <c r="AX105" i="22"/>
  <c r="AY105" i="22" s="1"/>
  <c r="AX94" i="22"/>
  <c r="AY94" i="22" s="1"/>
  <c r="AX62" i="22"/>
  <c r="AY62" i="22" s="1"/>
  <c r="AX96" i="22"/>
  <c r="AY96" i="22" s="1"/>
  <c r="AX99" i="22"/>
  <c r="AY99" i="22" s="1"/>
  <c r="AX33" i="22"/>
  <c r="AY33" i="22" s="1"/>
  <c r="AX88" i="22"/>
  <c r="AY88" i="22" s="1"/>
  <c r="AX41" i="22"/>
  <c r="AY41" i="22" s="1"/>
  <c r="AX104" i="19"/>
  <c r="AY104" i="19" s="1"/>
  <c r="AX46" i="19"/>
  <c r="AY46" i="19" s="1"/>
  <c r="AX26" i="19"/>
  <c r="AY26" i="19" s="1"/>
  <c r="AX90" i="19"/>
  <c r="AY90" i="19" s="1"/>
  <c r="AX72" i="19"/>
  <c r="AY72" i="19" s="1"/>
  <c r="AX125" i="19"/>
  <c r="AY125" i="19" s="1"/>
  <c r="AX56" i="19"/>
  <c r="AY56" i="19" s="1"/>
  <c r="AX100" i="24"/>
  <c r="AY100" i="24" s="1"/>
  <c r="AX117" i="19"/>
  <c r="AY117" i="19" s="1"/>
  <c r="AX35" i="19"/>
  <c r="AY35" i="19" s="1"/>
  <c r="AX105" i="19"/>
  <c r="AY105" i="19" s="1"/>
  <c r="AX88" i="19"/>
  <c r="AY88" i="19" s="1"/>
  <c r="AX73" i="19"/>
  <c r="AY73" i="19" s="1"/>
  <c r="AX52" i="19"/>
  <c r="AY52" i="19" s="1"/>
  <c r="M157" i="25"/>
  <c r="M87" i="16" s="1"/>
  <c r="AX40" i="22"/>
  <c r="AY40" i="22" s="1"/>
  <c r="AX87" i="22"/>
  <c r="AY87" i="22" s="1"/>
  <c r="AX107" i="22"/>
  <c r="AY107" i="22" s="1"/>
  <c r="AX69" i="22"/>
  <c r="AY69" i="22" s="1"/>
  <c r="AX71" i="22"/>
  <c r="AY71" i="22" s="1"/>
  <c r="AX76" i="24"/>
  <c r="AY76" i="24" s="1"/>
  <c r="AX82" i="25"/>
  <c r="AY82" i="25" s="1"/>
  <c r="AX79" i="22"/>
  <c r="AY79" i="22" s="1"/>
  <c r="AX49" i="19"/>
  <c r="AY49" i="19" s="1"/>
  <c r="AX91" i="19"/>
  <c r="AY91" i="19" s="1"/>
  <c r="AX99" i="19"/>
  <c r="AY99" i="19" s="1"/>
  <c r="AX98" i="19"/>
  <c r="AY98" i="19" s="1"/>
  <c r="AX59" i="19"/>
  <c r="AY59" i="19" s="1"/>
  <c r="AX78" i="19"/>
  <c r="AY78" i="19" s="1"/>
  <c r="AX85" i="19"/>
  <c r="AY85" i="19" s="1"/>
  <c r="AX74" i="19"/>
  <c r="AY74" i="19" s="1"/>
  <c r="AX28" i="19"/>
  <c r="AY28" i="19" s="1"/>
  <c r="AX102" i="19"/>
  <c r="AY102" i="19" s="1"/>
  <c r="AX66" i="19"/>
  <c r="AY66" i="19" s="1"/>
  <c r="AX123" i="19"/>
  <c r="AY123" i="19" s="1"/>
  <c r="AX124" i="19"/>
  <c r="AY124" i="19" s="1"/>
  <c r="AX115" i="19"/>
  <c r="AY115" i="19" s="1"/>
  <c r="BC25" i="25"/>
  <c r="BC29" i="25" s="1"/>
  <c r="M157" i="22"/>
  <c r="M103" i="17" s="1"/>
  <c r="M104" i="17" s="1"/>
  <c r="M106" i="17" s="1"/>
  <c r="AX44" i="19"/>
  <c r="AY44" i="19" s="1"/>
  <c r="AX122" i="19"/>
  <c r="AY122" i="19" s="1"/>
  <c r="AX36" i="19"/>
  <c r="AY36" i="19" s="1"/>
  <c r="AX75" i="19"/>
  <c r="AY75" i="19" s="1"/>
  <c r="K152" i="21"/>
  <c r="AX118" i="19"/>
  <c r="AY118" i="19" s="1"/>
  <c r="AX48" i="19"/>
  <c r="AY48" i="19" s="1"/>
  <c r="AX56" i="24"/>
  <c r="AY56" i="24" s="1"/>
  <c r="AX84" i="19"/>
  <c r="AY84" i="19" s="1"/>
  <c r="AX103" i="19"/>
  <c r="AY103" i="19" s="1"/>
  <c r="AX77" i="19"/>
  <c r="AY77" i="19" s="1"/>
  <c r="AX76" i="19"/>
  <c r="AY76" i="19" s="1"/>
  <c r="AX27" i="19"/>
  <c r="AY27" i="19" s="1"/>
  <c r="K80" i="16"/>
  <c r="AX77" i="24"/>
  <c r="AY77" i="24" s="1"/>
  <c r="AX74" i="24"/>
  <c r="AY74" i="24" s="1"/>
  <c r="AX67" i="19"/>
  <c r="AY67" i="19" s="1"/>
  <c r="AX37" i="22"/>
  <c r="AY37" i="22" s="1"/>
  <c r="AX117" i="24"/>
  <c r="AY117" i="24" s="1"/>
  <c r="AX68" i="22"/>
  <c r="AY68" i="22" s="1"/>
  <c r="AX120" i="22"/>
  <c r="AY120" i="22" s="1"/>
  <c r="AX119" i="22"/>
  <c r="AY119" i="22" s="1"/>
  <c r="AX72" i="22"/>
  <c r="AY72" i="22" s="1"/>
  <c r="AX58" i="22"/>
  <c r="AY58" i="22" s="1"/>
  <c r="AX118" i="22"/>
  <c r="AY118" i="22" s="1"/>
  <c r="AX49" i="22"/>
  <c r="AY49" i="22" s="1"/>
  <c r="AX55" i="19"/>
  <c r="AY55" i="19" s="1"/>
  <c r="AX54" i="19"/>
  <c r="AY54" i="19" s="1"/>
  <c r="AX43" i="19"/>
  <c r="AY43" i="19" s="1"/>
  <c r="AX87" i="19"/>
  <c r="AY87" i="19" s="1"/>
  <c r="AX82" i="19"/>
  <c r="AY82" i="19" s="1"/>
  <c r="AX70" i="19"/>
  <c r="AY70" i="19" s="1"/>
  <c r="AX30" i="19"/>
  <c r="AY30" i="19" s="1"/>
  <c r="AX53" i="19"/>
  <c r="AY53" i="19" s="1"/>
  <c r="AX31" i="24"/>
  <c r="AY31" i="24" s="1"/>
  <c r="AX53" i="24"/>
  <c r="AY53" i="24" s="1"/>
  <c r="AX89" i="22"/>
  <c r="AY89" i="22" s="1"/>
  <c r="AX50" i="22"/>
  <c r="AY50" i="22" s="1"/>
  <c r="AX28" i="22"/>
  <c r="AY28" i="22" s="1"/>
  <c r="AX81" i="22"/>
  <c r="AY81" i="22" s="1"/>
  <c r="AX61" i="22"/>
  <c r="AY61" i="22" s="1"/>
  <c r="AX43" i="22"/>
  <c r="AY43" i="22" s="1"/>
  <c r="AX73" i="22"/>
  <c r="AY73" i="22" s="1"/>
  <c r="AX111" i="24"/>
  <c r="AY111" i="24" s="1"/>
  <c r="AX105" i="24"/>
  <c r="AY105" i="24" s="1"/>
  <c r="R102" i="17"/>
  <c r="AX54" i="24"/>
  <c r="AY54" i="24" s="1"/>
  <c r="AX29" i="24"/>
  <c r="AY29" i="24" s="1"/>
  <c r="AX101" i="24"/>
  <c r="AY101" i="24" s="1"/>
  <c r="AX91" i="24"/>
  <c r="AY91" i="24" s="1"/>
  <c r="AX107" i="24"/>
  <c r="AY107" i="24" s="1"/>
  <c r="AX121" i="19"/>
  <c r="AY121" i="19" s="1"/>
  <c r="AX119" i="19"/>
  <c r="AY119" i="19" s="1"/>
  <c r="AX64" i="19"/>
  <c r="AY64" i="19" s="1"/>
  <c r="AX109" i="19"/>
  <c r="AY109" i="19" s="1"/>
  <c r="AX108" i="19"/>
  <c r="AY108" i="19" s="1"/>
  <c r="AX51" i="19"/>
  <c r="AY51" i="19" s="1"/>
  <c r="AX42" i="19"/>
  <c r="AY42" i="19" s="1"/>
  <c r="AX39" i="19"/>
  <c r="AY39" i="19" s="1"/>
  <c r="AX64" i="24"/>
  <c r="AY64" i="24" s="1"/>
  <c r="AX106" i="24"/>
  <c r="AY106" i="24" s="1"/>
  <c r="AX85" i="24"/>
  <c r="AY85" i="24" s="1"/>
  <c r="AX68" i="19"/>
  <c r="AY68" i="19" s="1"/>
  <c r="AX61" i="19"/>
  <c r="AY61" i="19" s="1"/>
  <c r="AX113" i="19"/>
  <c r="AY113" i="19" s="1"/>
  <c r="AX86" i="19"/>
  <c r="AY86" i="19" s="1"/>
  <c r="AX65" i="19"/>
  <c r="AY65" i="19" s="1"/>
  <c r="AX106" i="19"/>
  <c r="AY106" i="19" s="1"/>
  <c r="AX38" i="19"/>
  <c r="AY38" i="19" s="1"/>
  <c r="AX80" i="19"/>
  <c r="AY80" i="19" s="1"/>
  <c r="AX47" i="19"/>
  <c r="AY47" i="19" s="1"/>
  <c r="AH19" i="24"/>
  <c r="AX38" i="24"/>
  <c r="AY38" i="24" s="1"/>
  <c r="AX92" i="24"/>
  <c r="AY92" i="24" s="1"/>
  <c r="AX44" i="25"/>
  <c r="AY44" i="25" s="1"/>
  <c r="AH24" i="19"/>
  <c r="AX49" i="24"/>
  <c r="AY49" i="24" s="1"/>
  <c r="AX85" i="25"/>
  <c r="AY85" i="25" s="1"/>
  <c r="AX105" i="25"/>
  <c r="AY105" i="25" s="1"/>
  <c r="BE25" i="25"/>
  <c r="BE124" i="25" s="1"/>
  <c r="BF124" i="25" s="1"/>
  <c r="AX124" i="24"/>
  <c r="AY124" i="24" s="1"/>
  <c r="AX86" i="24"/>
  <c r="AY86" i="24" s="1"/>
  <c r="AX51" i="24"/>
  <c r="AY51" i="24" s="1"/>
  <c r="AX28" i="24"/>
  <c r="AY28" i="24" s="1"/>
  <c r="AX46" i="24"/>
  <c r="AY46" i="24" s="1"/>
  <c r="AX102" i="24"/>
  <c r="AY102" i="24" s="1"/>
  <c r="AX59" i="24"/>
  <c r="AY59" i="24" s="1"/>
  <c r="AX75" i="24"/>
  <c r="AY75" i="24" s="1"/>
  <c r="AX114" i="24"/>
  <c r="AY114" i="24" s="1"/>
  <c r="AX47" i="24"/>
  <c r="AY47" i="24" s="1"/>
  <c r="AX125" i="24"/>
  <c r="AY125" i="24" s="1"/>
  <c r="AX119" i="24"/>
  <c r="AY119" i="24" s="1"/>
  <c r="AX34" i="24"/>
  <c r="AY34" i="24" s="1"/>
  <c r="AX45" i="24"/>
  <c r="AY45" i="24" s="1"/>
  <c r="AX98" i="24"/>
  <c r="AY98" i="24" s="1"/>
  <c r="AX107" i="25"/>
  <c r="AY107" i="25" s="1"/>
  <c r="AX65" i="25"/>
  <c r="AY65" i="25" s="1"/>
  <c r="AX87" i="25"/>
  <c r="AY87" i="25" s="1"/>
  <c r="AX99" i="24"/>
  <c r="AY99" i="24" s="1"/>
  <c r="AX97" i="25"/>
  <c r="AY97" i="25" s="1"/>
  <c r="AX61" i="24"/>
  <c r="AY61" i="24" s="1"/>
  <c r="AX34" i="25"/>
  <c r="AY34" i="25" s="1"/>
  <c r="AX43" i="25"/>
  <c r="AY43" i="25" s="1"/>
  <c r="AX35" i="24"/>
  <c r="AY35" i="24" s="1"/>
  <c r="AX60" i="24"/>
  <c r="AY60" i="24" s="1"/>
  <c r="AX30" i="24"/>
  <c r="AY30" i="24" s="1"/>
  <c r="AX109" i="24"/>
  <c r="AY109" i="24" s="1"/>
  <c r="AX100" i="25"/>
  <c r="AY100" i="25" s="1"/>
  <c r="AX57" i="24"/>
  <c r="AY57" i="24" s="1"/>
  <c r="AX66" i="24"/>
  <c r="AY66" i="24" s="1"/>
  <c r="AX79" i="24"/>
  <c r="AY79" i="24" s="1"/>
  <c r="AX27" i="24"/>
  <c r="AY27" i="24" s="1"/>
  <c r="AX31" i="25"/>
  <c r="AY31" i="25" s="1"/>
  <c r="AX125" i="25"/>
  <c r="AY125" i="25" s="1"/>
  <c r="AX50" i="25"/>
  <c r="AY50" i="25" s="1"/>
  <c r="K77" i="16"/>
  <c r="AX89" i="24"/>
  <c r="AY89" i="24" s="1"/>
  <c r="AX40" i="24"/>
  <c r="AY40" i="24" s="1"/>
  <c r="AX63" i="24"/>
  <c r="AY63" i="24" s="1"/>
  <c r="AX44" i="24"/>
  <c r="AY44" i="24" s="1"/>
  <c r="AX29" i="25"/>
  <c r="AY29" i="25" s="1"/>
  <c r="AX79" i="25"/>
  <c r="AY79" i="25" s="1"/>
  <c r="I81" i="16"/>
  <c r="AX78" i="25"/>
  <c r="AY78" i="25" s="1"/>
  <c r="AH19" i="19"/>
  <c r="AX98" i="25"/>
  <c r="AY98" i="25" s="1"/>
  <c r="AX81" i="25"/>
  <c r="AY81" i="25" s="1"/>
  <c r="AX83" i="24"/>
  <c r="AY83" i="24" s="1"/>
  <c r="AX103" i="24"/>
  <c r="AY103" i="24" s="1"/>
  <c r="AX81" i="24"/>
  <c r="AY81" i="24" s="1"/>
  <c r="AX26" i="24"/>
  <c r="AY26" i="24" s="1"/>
  <c r="AX33" i="24"/>
  <c r="AY33" i="24" s="1"/>
  <c r="AX68" i="24"/>
  <c r="AY68" i="24" s="1"/>
  <c r="AX78" i="24"/>
  <c r="AY78" i="24" s="1"/>
  <c r="AX115" i="24"/>
  <c r="AY115" i="24" s="1"/>
  <c r="AX96" i="25"/>
  <c r="AY96" i="25" s="1"/>
  <c r="AX64" i="25"/>
  <c r="AY64" i="25" s="1"/>
  <c r="AX110" i="25"/>
  <c r="AY110" i="25" s="1"/>
  <c r="AX77" i="25"/>
  <c r="AY77" i="25" s="1"/>
  <c r="AX121" i="24"/>
  <c r="AY121" i="24" s="1"/>
  <c r="AX116" i="24"/>
  <c r="AY116" i="24" s="1"/>
  <c r="AX36" i="24"/>
  <c r="AY36" i="24" s="1"/>
  <c r="AX69" i="24"/>
  <c r="AY69" i="24" s="1"/>
  <c r="AX108" i="24"/>
  <c r="AY108" i="24" s="1"/>
  <c r="AX37" i="24"/>
  <c r="AY37" i="24" s="1"/>
  <c r="AX73" i="24"/>
  <c r="AY73" i="24" s="1"/>
  <c r="AX52" i="24"/>
  <c r="AY52" i="24" s="1"/>
  <c r="AX120" i="24"/>
  <c r="AY120" i="24" s="1"/>
  <c r="AX115" i="25"/>
  <c r="AY115" i="25" s="1"/>
  <c r="AX123" i="25"/>
  <c r="AY123" i="25" s="1"/>
  <c r="AX48" i="24"/>
  <c r="AY48" i="24" s="1"/>
  <c r="M76" i="16"/>
  <c r="AX56" i="25"/>
  <c r="AY56" i="25" s="1"/>
  <c r="AX65" i="24"/>
  <c r="AY65" i="24" s="1"/>
  <c r="AX82" i="24"/>
  <c r="AY82" i="24" s="1"/>
  <c r="AX42" i="24"/>
  <c r="AY42" i="24" s="1"/>
  <c r="AX123" i="24"/>
  <c r="AY123" i="24" s="1"/>
  <c r="AX41" i="24"/>
  <c r="AY41" i="24" s="1"/>
  <c r="AX94" i="24"/>
  <c r="AY94" i="24" s="1"/>
  <c r="AX122" i="24"/>
  <c r="AY122" i="24" s="1"/>
  <c r="AX50" i="24"/>
  <c r="AY50" i="24" s="1"/>
  <c r="AX72" i="24"/>
  <c r="AY72" i="24" s="1"/>
  <c r="AX92" i="25"/>
  <c r="AY92" i="25" s="1"/>
  <c r="AX116" i="25"/>
  <c r="AY116" i="25" s="1"/>
  <c r="AX70" i="25"/>
  <c r="AY70" i="25" s="1"/>
  <c r="AX96" i="24"/>
  <c r="AY96" i="24" s="1"/>
  <c r="AX70" i="24"/>
  <c r="AY70" i="24" s="1"/>
  <c r="AX104" i="24"/>
  <c r="AY104" i="24" s="1"/>
  <c r="AX97" i="24"/>
  <c r="AY97" i="24" s="1"/>
  <c r="AX110" i="24"/>
  <c r="AY110" i="24" s="1"/>
  <c r="AX71" i="24"/>
  <c r="AY71" i="24" s="1"/>
  <c r="AX58" i="24"/>
  <c r="AY58" i="24" s="1"/>
  <c r="AX113" i="24"/>
  <c r="AY113" i="24" s="1"/>
  <c r="AX108" i="25"/>
  <c r="AY108" i="25" s="1"/>
  <c r="AX118" i="24"/>
  <c r="AY118" i="24" s="1"/>
  <c r="AX59" i="25"/>
  <c r="AY59" i="25" s="1"/>
  <c r="AX119" i="25"/>
  <c r="AY119" i="25" s="1"/>
  <c r="AX88" i="24"/>
  <c r="AY88" i="24" s="1"/>
  <c r="AX112" i="24"/>
  <c r="AY112" i="24" s="1"/>
  <c r="AX45" i="25"/>
  <c r="AY45" i="25" s="1"/>
  <c r="AX103" i="25"/>
  <c r="AY103" i="25" s="1"/>
  <c r="AX60" i="25"/>
  <c r="AY60" i="25" s="1"/>
  <c r="AX57" i="25"/>
  <c r="AY57" i="25" s="1"/>
  <c r="AX106" i="25"/>
  <c r="AY106" i="25" s="1"/>
  <c r="AX99" i="25"/>
  <c r="AY99" i="25" s="1"/>
  <c r="AX104" i="25"/>
  <c r="AY104" i="25" s="1"/>
  <c r="AX41" i="25"/>
  <c r="AY41" i="25" s="1"/>
  <c r="AX54" i="25"/>
  <c r="AY54" i="25" s="1"/>
  <c r="AX80" i="25"/>
  <c r="AY80" i="25" s="1"/>
  <c r="AX67" i="24"/>
  <c r="AY67" i="24" s="1"/>
  <c r="AX80" i="24"/>
  <c r="AY80" i="24" s="1"/>
  <c r="AX39" i="24"/>
  <c r="AY39" i="24" s="1"/>
  <c r="AX90" i="24"/>
  <c r="AY90" i="24" s="1"/>
  <c r="AX32" i="24"/>
  <c r="AY32" i="24" s="1"/>
  <c r="AX84" i="24"/>
  <c r="AY84" i="24" s="1"/>
  <c r="AX109" i="25"/>
  <c r="AY109" i="25" s="1"/>
  <c r="AX33" i="25"/>
  <c r="AY33" i="25" s="1"/>
  <c r="AX40" i="25"/>
  <c r="AY40" i="25" s="1"/>
  <c r="AX112" i="25"/>
  <c r="AY112" i="25" s="1"/>
  <c r="AX87" i="24"/>
  <c r="AY87" i="24" s="1"/>
  <c r="AX94" i="25"/>
  <c r="AY94" i="25" s="1"/>
  <c r="AH23" i="25"/>
  <c r="AH36" i="25" s="1"/>
  <c r="AQ25" i="25" s="1"/>
  <c r="AQ55" i="25" s="1"/>
  <c r="AF38" i="24"/>
  <c r="AS25" i="24" s="1"/>
  <c r="AS22" i="24" s="1"/>
  <c r="AX51" i="25"/>
  <c r="AY51" i="25" s="1"/>
  <c r="AX69" i="25"/>
  <c r="AY69" i="25" s="1"/>
  <c r="AX49" i="25"/>
  <c r="AY49" i="25" s="1"/>
  <c r="AH28" i="22"/>
  <c r="AH39" i="22" s="1"/>
  <c r="AT25" i="22" s="1"/>
  <c r="AT85" i="22" s="1"/>
  <c r="AH21" i="22"/>
  <c r="AX46" i="25"/>
  <c r="AY46" i="25" s="1"/>
  <c r="K79" i="16"/>
  <c r="AX83" i="25"/>
  <c r="AY83" i="25" s="1"/>
  <c r="AX102" i="25"/>
  <c r="AY102" i="25" s="1"/>
  <c r="AX38" i="25"/>
  <c r="AY38" i="25" s="1"/>
  <c r="AX28" i="25"/>
  <c r="AY28" i="25" s="1"/>
  <c r="AX118" i="25"/>
  <c r="AY118" i="25" s="1"/>
  <c r="AX89" i="25"/>
  <c r="AY89" i="25" s="1"/>
  <c r="AX88" i="25"/>
  <c r="AY88" i="25" s="1"/>
  <c r="AX35" i="25"/>
  <c r="AY35" i="25" s="1"/>
  <c r="AX53" i="25"/>
  <c r="AY53" i="25" s="1"/>
  <c r="AX58" i="25"/>
  <c r="AY58" i="25" s="1"/>
  <c r="AX55" i="25"/>
  <c r="AY55" i="25" s="1"/>
  <c r="AX74" i="25"/>
  <c r="AY74" i="25" s="1"/>
  <c r="AX30" i="25"/>
  <c r="AY30" i="25" s="1"/>
  <c r="AX72" i="25"/>
  <c r="AY72" i="25" s="1"/>
  <c r="AX75" i="25"/>
  <c r="AY75" i="25" s="1"/>
  <c r="AX120" i="25"/>
  <c r="AY120" i="25" s="1"/>
  <c r="AX86" i="25"/>
  <c r="AY86" i="25" s="1"/>
  <c r="AX84" i="25"/>
  <c r="AY84" i="25" s="1"/>
  <c r="AX124" i="25"/>
  <c r="AY124" i="25" s="1"/>
  <c r="AX101" i="25"/>
  <c r="AY101" i="25" s="1"/>
  <c r="AX67" i="25"/>
  <c r="AY67" i="25" s="1"/>
  <c r="AX27" i="25"/>
  <c r="AY27" i="25" s="1"/>
  <c r="AX68" i="25"/>
  <c r="AY68" i="25" s="1"/>
  <c r="AX36" i="25"/>
  <c r="AY36" i="25" s="1"/>
  <c r="AX26" i="25"/>
  <c r="AY26" i="25" s="1"/>
  <c r="AX93" i="25"/>
  <c r="AY93" i="25" s="1"/>
  <c r="AX63" i="25"/>
  <c r="AY63" i="25" s="1"/>
  <c r="AX37" i="25"/>
  <c r="AY37" i="25" s="1"/>
  <c r="AX61" i="25"/>
  <c r="AY61" i="25" s="1"/>
  <c r="AX76" i="25"/>
  <c r="AY76" i="25" s="1"/>
  <c r="AX62" i="25"/>
  <c r="AY62" i="25" s="1"/>
  <c r="AX52" i="25"/>
  <c r="AY52" i="25" s="1"/>
  <c r="AX71" i="25"/>
  <c r="AY71" i="25" s="1"/>
  <c r="AX121" i="25"/>
  <c r="AY121" i="25" s="1"/>
  <c r="AX113" i="25"/>
  <c r="AY113" i="25" s="1"/>
  <c r="AX114" i="25"/>
  <c r="AY114" i="25" s="1"/>
  <c r="AX91" i="25"/>
  <c r="AY91" i="25" s="1"/>
  <c r="AX32" i="25"/>
  <c r="AY32" i="25" s="1"/>
  <c r="AX117" i="25"/>
  <c r="AY117" i="25" s="1"/>
  <c r="AX39" i="25"/>
  <c r="AY39" i="25" s="1"/>
  <c r="AX122" i="25"/>
  <c r="AY122" i="25" s="1"/>
  <c r="AX66" i="25"/>
  <c r="AY66" i="25" s="1"/>
  <c r="AX73" i="25"/>
  <c r="AY73" i="25" s="1"/>
  <c r="AX47" i="25"/>
  <c r="AY47" i="25" s="1"/>
  <c r="AX42" i="25"/>
  <c r="AY42" i="25" s="1"/>
  <c r="AX111" i="25"/>
  <c r="AY111" i="25" s="1"/>
  <c r="AX90" i="25"/>
  <c r="AY90" i="25" s="1"/>
  <c r="M157" i="19"/>
  <c r="G87" i="16" s="1"/>
  <c r="AU75" i="24"/>
  <c r="AW75" i="24" s="1"/>
  <c r="AU125" i="24"/>
  <c r="AT55" i="19"/>
  <c r="AT85" i="19"/>
  <c r="AT115" i="19"/>
  <c r="BE25" i="19" a="1"/>
  <c r="BE25" i="24" a="1"/>
  <c r="BX25" i="22" a="1"/>
  <c r="BX25" i="24" a="1"/>
  <c r="BE25" i="22" a="1"/>
  <c r="BX25" i="19" a="1"/>
  <c r="BX25" i="25" a="1"/>
  <c r="BW63" i="19" l="1"/>
  <c r="BW60" i="19"/>
  <c r="BW67" i="19"/>
  <c r="BW53" i="24"/>
  <c r="BW39" i="19"/>
  <c r="BW75" i="19"/>
  <c r="BW105" i="19"/>
  <c r="BW57" i="19"/>
  <c r="BW77" i="19"/>
  <c r="BW108" i="22"/>
  <c r="BW31" i="19"/>
  <c r="BW29" i="22"/>
  <c r="BW119" i="22"/>
  <c r="BW82" i="19"/>
  <c r="BW79" i="24"/>
  <c r="BW50" i="19"/>
  <c r="BW49" i="24"/>
  <c r="BW52" i="24"/>
  <c r="BL6" i="25"/>
  <c r="N119" i="16" s="1"/>
  <c r="BE25" i="22"/>
  <c r="BE88" i="22" s="1"/>
  <c r="BF88" i="22" s="1"/>
  <c r="I111" i="16"/>
  <c r="BE25" i="19"/>
  <c r="BE111" i="19" s="1"/>
  <c r="BF111" i="19" s="1"/>
  <c r="AU125" i="25"/>
  <c r="AU22" i="25"/>
  <c r="G112" i="16"/>
  <c r="G114" i="16" s="1"/>
  <c r="AU125" i="19"/>
  <c r="G85" i="16"/>
  <c r="G97" i="16" s="1"/>
  <c r="AA28" i="16" s="1"/>
  <c r="AA32" i="16" s="1"/>
  <c r="AU75" i="19"/>
  <c r="AW75" i="19" s="1"/>
  <c r="BX25" i="22"/>
  <c r="BX97" i="22" s="1"/>
  <c r="BY97" i="22" s="1"/>
  <c r="AI44" i="25"/>
  <c r="BL75" i="24"/>
  <c r="BP75" i="24" s="1"/>
  <c r="BL125" i="24"/>
  <c r="AQ22" i="19"/>
  <c r="AQ85" i="19"/>
  <c r="AQ115" i="19"/>
  <c r="AW115" i="19" s="1"/>
  <c r="AI44" i="24"/>
  <c r="AK33" i="25"/>
  <c r="AK33" i="24"/>
  <c r="BL25" i="22"/>
  <c r="BL75" i="22" s="1"/>
  <c r="BP75" i="22" s="1"/>
  <c r="AK35" i="25"/>
  <c r="AK44" i="25" s="1"/>
  <c r="N85" i="16"/>
  <c r="N88" i="16" s="1"/>
  <c r="AW55" i="19"/>
  <c r="AF43" i="24"/>
  <c r="AK35" i="22"/>
  <c r="BI25" i="22" s="1"/>
  <c r="L85" i="16"/>
  <c r="L88" i="16" s="1"/>
  <c r="BL25" i="25"/>
  <c r="BL22" i="25" s="1"/>
  <c r="AI44" i="22"/>
  <c r="J154" i="21"/>
  <c r="BX25" i="25"/>
  <c r="AK33" i="22"/>
  <c r="N111" i="16"/>
  <c r="N114" i="16" s="1"/>
  <c r="L154" i="21"/>
  <c r="BL5" i="25"/>
  <c r="AK35" i="24"/>
  <c r="AK44" i="24" s="1"/>
  <c r="BX25" i="24"/>
  <c r="J85" i="16"/>
  <c r="J88" i="16" s="1"/>
  <c r="BL5" i="19"/>
  <c r="H118" i="16" s="1"/>
  <c r="L111" i="16"/>
  <c r="L114" i="16" s="1"/>
  <c r="BL5" i="24"/>
  <c r="H85" i="16"/>
  <c r="H88" i="16" s="1"/>
  <c r="BJ25" i="22"/>
  <c r="BJ22" i="22" s="1"/>
  <c r="BL5" i="22"/>
  <c r="BX25" i="19"/>
  <c r="BJ25" i="19"/>
  <c r="BJ22" i="19" s="1"/>
  <c r="H111" i="16"/>
  <c r="H114" i="16" s="1"/>
  <c r="F154" i="21"/>
  <c r="BL25" i="19"/>
  <c r="AI44" i="19"/>
  <c r="AK33" i="19"/>
  <c r="AK35" i="19"/>
  <c r="AK44" i="19" s="1"/>
  <c r="S143" i="21"/>
  <c r="S144" i="21" s="1"/>
  <c r="S148" i="21" s="1"/>
  <c r="S154" i="21" s="1"/>
  <c r="AT22" i="25"/>
  <c r="AT85" i="25"/>
  <c r="AT115" i="25"/>
  <c r="AQ22" i="24"/>
  <c r="BC88" i="25"/>
  <c r="I143" i="21"/>
  <c r="I144" i="21" s="1"/>
  <c r="I158" i="21" s="1"/>
  <c r="K110" i="16" s="1"/>
  <c r="K143" i="21"/>
  <c r="K144" i="21" s="1"/>
  <c r="K158" i="21" s="1"/>
  <c r="M110" i="16" s="1"/>
  <c r="M114" i="16" s="1"/>
  <c r="G143" i="21"/>
  <c r="G144" i="21" s="1"/>
  <c r="G148" i="21" s="1"/>
  <c r="G154" i="21" s="1"/>
  <c r="E148" i="21"/>
  <c r="Q143" i="21"/>
  <c r="Q144" i="21" s="1"/>
  <c r="Q148" i="21" s="1"/>
  <c r="Q154" i="21" s="1"/>
  <c r="O143" i="21"/>
  <c r="O144" i="21" s="1"/>
  <c r="O158" i="21" s="1"/>
  <c r="AS25" i="22"/>
  <c r="AS22" i="22" s="1"/>
  <c r="AQ55" i="22"/>
  <c r="AQ22" i="22"/>
  <c r="AQ85" i="22"/>
  <c r="AT55" i="24"/>
  <c r="AW55" i="24" s="1"/>
  <c r="AT85" i="24"/>
  <c r="AQ115" i="24"/>
  <c r="AQ85" i="24"/>
  <c r="BC110" i="25"/>
  <c r="AT115" i="24"/>
  <c r="AS25" i="19"/>
  <c r="AS22" i="19" s="1"/>
  <c r="BC26" i="25"/>
  <c r="BC102" i="25"/>
  <c r="BC81" i="25"/>
  <c r="BC107" i="25"/>
  <c r="BC31" i="25"/>
  <c r="M143" i="21"/>
  <c r="M144" i="21" s="1"/>
  <c r="M158" i="21" s="1"/>
  <c r="AH32" i="24"/>
  <c r="AH35" i="24" s="1"/>
  <c r="BC53" i="25"/>
  <c r="AF35" i="24"/>
  <c r="AF44" i="24" s="1"/>
  <c r="BC97" i="25"/>
  <c r="BC51" i="25"/>
  <c r="BC36" i="25"/>
  <c r="BC125" i="25"/>
  <c r="BC66" i="25"/>
  <c r="BC101" i="25"/>
  <c r="BC79" i="25"/>
  <c r="BC44" i="25"/>
  <c r="AU25" i="22"/>
  <c r="BE25" i="24"/>
  <c r="R104" i="17"/>
  <c r="R106" i="17" s="1"/>
  <c r="I85" i="16"/>
  <c r="K111" i="16"/>
  <c r="M85" i="16"/>
  <c r="M97" i="16" s="1"/>
  <c r="AD28" i="16" s="1"/>
  <c r="AD32" i="16" s="1"/>
  <c r="BC111" i="25"/>
  <c r="BC103" i="25"/>
  <c r="BE83" i="25"/>
  <c r="BF83" i="25" s="1"/>
  <c r="BE43" i="25"/>
  <c r="BF43" i="25" s="1"/>
  <c r="BE105" i="25"/>
  <c r="BF105" i="25" s="1"/>
  <c r="BE69" i="25"/>
  <c r="BF69" i="25" s="1"/>
  <c r="BC34" i="25"/>
  <c r="BC57" i="25"/>
  <c r="BC114" i="25"/>
  <c r="BC55" i="25"/>
  <c r="BC86" i="25"/>
  <c r="BC39" i="25"/>
  <c r="BC112" i="25"/>
  <c r="BC28" i="25"/>
  <c r="BC74" i="25"/>
  <c r="BC77" i="25"/>
  <c r="BC116" i="25"/>
  <c r="BC118" i="25"/>
  <c r="BC94" i="25"/>
  <c r="BC71" i="25"/>
  <c r="BC93" i="25"/>
  <c r="BC105" i="25"/>
  <c r="BC109" i="25"/>
  <c r="BC84" i="25"/>
  <c r="BC123" i="25"/>
  <c r="BC73" i="25"/>
  <c r="BC61" i="25"/>
  <c r="BC76" i="25"/>
  <c r="BC47" i="25"/>
  <c r="BC38" i="25"/>
  <c r="BC40" i="25"/>
  <c r="BC72" i="25"/>
  <c r="BC67" i="25"/>
  <c r="BC62" i="25"/>
  <c r="BC90" i="25"/>
  <c r="BC119" i="25"/>
  <c r="BC82" i="25"/>
  <c r="BC56" i="25"/>
  <c r="BC124" i="25"/>
  <c r="BC83" i="25"/>
  <c r="BC65" i="25"/>
  <c r="BC122" i="25"/>
  <c r="BC42" i="25"/>
  <c r="BC92" i="25"/>
  <c r="BC69" i="25"/>
  <c r="BC63" i="25"/>
  <c r="BC104" i="25"/>
  <c r="BC46" i="25"/>
  <c r="BC33" i="25"/>
  <c r="BC100" i="25"/>
  <c r="BC78" i="25"/>
  <c r="BK5" i="22"/>
  <c r="I118" i="16" s="1"/>
  <c r="BC43" i="25"/>
  <c r="BC121" i="25"/>
  <c r="BC75" i="25"/>
  <c r="I87" i="16"/>
  <c r="BC68" i="25"/>
  <c r="BC45" i="25"/>
  <c r="BC91" i="25"/>
  <c r="BC35" i="25"/>
  <c r="BC115" i="25"/>
  <c r="BC85" i="25"/>
  <c r="BC30" i="25"/>
  <c r="BC60" i="25"/>
  <c r="AF32" i="22"/>
  <c r="AH32" i="22" s="1"/>
  <c r="AH33" i="22" s="1"/>
  <c r="BC96" i="25"/>
  <c r="BC87" i="25"/>
  <c r="BC106" i="25"/>
  <c r="BC89" i="25"/>
  <c r="BC99" i="25"/>
  <c r="BC95" i="25"/>
  <c r="BC50" i="25"/>
  <c r="BC98" i="25"/>
  <c r="BC32" i="25"/>
  <c r="BC58" i="25"/>
  <c r="BC108" i="25"/>
  <c r="BC70" i="25"/>
  <c r="BC59" i="25"/>
  <c r="BC113" i="25"/>
  <c r="BC64" i="25"/>
  <c r="BC52" i="25"/>
  <c r="BC54" i="25"/>
  <c r="BC41" i="25"/>
  <c r="W103" i="17"/>
  <c r="W104" i="17" s="1"/>
  <c r="W106" i="17" s="1"/>
  <c r="BC37" i="25"/>
  <c r="BC117" i="25"/>
  <c r="BC80" i="25"/>
  <c r="BC49" i="25"/>
  <c r="BC48" i="25"/>
  <c r="BC120" i="25"/>
  <c r="BC27" i="25"/>
  <c r="AF32" i="25"/>
  <c r="AF35" i="25" s="1"/>
  <c r="AF44" i="25" s="1"/>
  <c r="BE102" i="25"/>
  <c r="BF102" i="25" s="1"/>
  <c r="BE103" i="25"/>
  <c r="BF103" i="25" s="1"/>
  <c r="BE104" i="25"/>
  <c r="BF104" i="25" s="1"/>
  <c r="BE60" i="25"/>
  <c r="BF60" i="25" s="1"/>
  <c r="BE36" i="25"/>
  <c r="BF36" i="25" s="1"/>
  <c r="BE122" i="25"/>
  <c r="BF122" i="25" s="1"/>
  <c r="BE61" i="25"/>
  <c r="BF61" i="25" s="1"/>
  <c r="BE65" i="25"/>
  <c r="BF65" i="25" s="1"/>
  <c r="BE125" i="25"/>
  <c r="BF125" i="25" s="1"/>
  <c r="BE40" i="25"/>
  <c r="BF40" i="25" s="1"/>
  <c r="BE80" i="25"/>
  <c r="BF80" i="25" s="1"/>
  <c r="BE70" i="25"/>
  <c r="BF70" i="25" s="1"/>
  <c r="BE82" i="25"/>
  <c r="BF82" i="25" s="1"/>
  <c r="BE62" i="25"/>
  <c r="BF62" i="25" s="1"/>
  <c r="BE71" i="25"/>
  <c r="BF71" i="25" s="1"/>
  <c r="BE87" i="25"/>
  <c r="BF87" i="25" s="1"/>
  <c r="BE96" i="25"/>
  <c r="BF96" i="25" s="1"/>
  <c r="BE113" i="25"/>
  <c r="BF113" i="25" s="1"/>
  <c r="BE33" i="25"/>
  <c r="BF33" i="25" s="1"/>
  <c r="BE49" i="25"/>
  <c r="BF49" i="25" s="1"/>
  <c r="BE95" i="25"/>
  <c r="BF95" i="25" s="1"/>
  <c r="BE92" i="25"/>
  <c r="BF92" i="25" s="1"/>
  <c r="BE39" i="25"/>
  <c r="BF39" i="25" s="1"/>
  <c r="BE93" i="25"/>
  <c r="BF93" i="25" s="1"/>
  <c r="BE63" i="25"/>
  <c r="BF63" i="25" s="1"/>
  <c r="BE84" i="25"/>
  <c r="BF84" i="25" s="1"/>
  <c r="BE77" i="25"/>
  <c r="BF77" i="25" s="1"/>
  <c r="BE57" i="25"/>
  <c r="BF57" i="25" s="1"/>
  <c r="BE123" i="25"/>
  <c r="BF123" i="25" s="1"/>
  <c r="BE78" i="25"/>
  <c r="BF78" i="25" s="1"/>
  <c r="BE64" i="25"/>
  <c r="BF64" i="25" s="1"/>
  <c r="BE106" i="25"/>
  <c r="BF106" i="25" s="1"/>
  <c r="BE68" i="25"/>
  <c r="BF68" i="25" s="1"/>
  <c r="BE79" i="25"/>
  <c r="BF79" i="25" s="1"/>
  <c r="BE44" i="25"/>
  <c r="BF44" i="25" s="1"/>
  <c r="BE75" i="25"/>
  <c r="BF75" i="25" s="1"/>
  <c r="BE121" i="25"/>
  <c r="BF121" i="25" s="1"/>
  <c r="BE94" i="25"/>
  <c r="BF94" i="25" s="1"/>
  <c r="BE56" i="25"/>
  <c r="BF56" i="25" s="1"/>
  <c r="BE101" i="25"/>
  <c r="BF101" i="25" s="1"/>
  <c r="BE59" i="25"/>
  <c r="BF59" i="25" s="1"/>
  <c r="BE52" i="25"/>
  <c r="BF52" i="25" s="1"/>
  <c r="BE32" i="25"/>
  <c r="BF32" i="25" s="1"/>
  <c r="BE58" i="25"/>
  <c r="BF58" i="25" s="1"/>
  <c r="BE115" i="25"/>
  <c r="BF115" i="25" s="1"/>
  <c r="BE120" i="25"/>
  <c r="BF120" i="25" s="1"/>
  <c r="BE85" i="25"/>
  <c r="BF85" i="25" s="1"/>
  <c r="BE30" i="25"/>
  <c r="BF30" i="25" s="1"/>
  <c r="BE73" i="25"/>
  <c r="BF73" i="25" s="1"/>
  <c r="BE67" i="25"/>
  <c r="BF67" i="25" s="1"/>
  <c r="BE88" i="25"/>
  <c r="BF88" i="25" s="1"/>
  <c r="BE55" i="25"/>
  <c r="BF55" i="25" s="1"/>
  <c r="BE45" i="25"/>
  <c r="BF45" i="25" s="1"/>
  <c r="BE90" i="25"/>
  <c r="BF90" i="25" s="1"/>
  <c r="BE29" i="25"/>
  <c r="BF29" i="25" s="1"/>
  <c r="BE119" i="25"/>
  <c r="BF119" i="25" s="1"/>
  <c r="BE97" i="25"/>
  <c r="BF97" i="25" s="1"/>
  <c r="BE99" i="25"/>
  <c r="BF99" i="25" s="1"/>
  <c r="BE72" i="25"/>
  <c r="BF72" i="25" s="1"/>
  <c r="BE98" i="25"/>
  <c r="BF98" i="25" s="1"/>
  <c r="BE53" i="25"/>
  <c r="BF53" i="25" s="1"/>
  <c r="BK5" i="19"/>
  <c r="G118" i="16" s="1"/>
  <c r="BE109" i="25"/>
  <c r="BF109" i="25" s="1"/>
  <c r="BE117" i="25"/>
  <c r="BF117" i="25" s="1"/>
  <c r="BE74" i="25"/>
  <c r="BF74" i="25" s="1"/>
  <c r="BE118" i="25"/>
  <c r="BF118" i="25" s="1"/>
  <c r="BE34" i="25"/>
  <c r="BF34" i="25" s="1"/>
  <c r="BE37" i="25"/>
  <c r="BF37" i="25" s="1"/>
  <c r="BE27" i="25"/>
  <c r="BF27" i="25" s="1"/>
  <c r="BE46" i="25"/>
  <c r="BF46" i="25" s="1"/>
  <c r="BE111" i="25"/>
  <c r="BF111" i="25" s="1"/>
  <c r="BE89" i="25"/>
  <c r="BF89" i="25" s="1"/>
  <c r="BE51" i="25"/>
  <c r="BF51" i="25" s="1"/>
  <c r="BE50" i="25"/>
  <c r="BF50" i="25" s="1"/>
  <c r="BE110" i="25"/>
  <c r="BF110" i="25" s="1"/>
  <c r="BE116" i="25"/>
  <c r="BF116" i="25" s="1"/>
  <c r="BE86" i="25"/>
  <c r="BF86" i="25" s="1"/>
  <c r="BE31" i="25"/>
  <c r="BF31" i="25" s="1"/>
  <c r="BE48" i="25"/>
  <c r="BF48" i="25" s="1"/>
  <c r="BE107" i="25"/>
  <c r="BF107" i="25" s="1"/>
  <c r="BE35" i="25"/>
  <c r="BF35" i="25" s="1"/>
  <c r="BE28" i="25"/>
  <c r="BF28" i="25" s="1"/>
  <c r="AT115" i="22"/>
  <c r="AW115" i="22" s="1"/>
  <c r="AT22" i="22"/>
  <c r="BE26" i="25"/>
  <c r="BF26" i="25" s="1"/>
  <c r="BE66" i="25"/>
  <c r="BF66" i="25" s="1"/>
  <c r="BE91" i="25"/>
  <c r="BF91" i="25" s="1"/>
  <c r="BE47" i="25"/>
  <c r="BF47" i="25" s="1"/>
  <c r="BE41" i="25"/>
  <c r="BF41" i="25" s="1"/>
  <c r="BE76" i="25"/>
  <c r="BF76" i="25" s="1"/>
  <c r="BE112" i="25"/>
  <c r="BF112" i="25" s="1"/>
  <c r="BE100" i="25"/>
  <c r="BF100" i="25" s="1"/>
  <c r="BE81" i="25"/>
  <c r="BF81" i="25" s="1"/>
  <c r="BE54" i="25"/>
  <c r="BF54" i="25" s="1"/>
  <c r="BE114" i="25"/>
  <c r="BF114" i="25" s="1"/>
  <c r="BE38" i="25"/>
  <c r="BF38" i="25" s="1"/>
  <c r="BE108" i="25"/>
  <c r="BF108" i="25" s="1"/>
  <c r="BE42" i="25"/>
  <c r="BF42" i="25" s="1"/>
  <c r="AT55" i="22"/>
  <c r="K85" i="16"/>
  <c r="K88" i="16" s="1"/>
  <c r="AQ22" i="25"/>
  <c r="BK5" i="24"/>
  <c r="BK12" i="24" s="1"/>
  <c r="K58" i="16" s="1"/>
  <c r="AQ115" i="25"/>
  <c r="AQ85" i="25"/>
  <c r="AF32" i="19"/>
  <c r="AH32" i="19" s="1"/>
  <c r="AH33" i="19" s="1"/>
  <c r="BK5" i="25"/>
  <c r="M118" i="16" s="1"/>
  <c r="H103" i="17"/>
  <c r="H104" i="17" s="1"/>
  <c r="H106" i="17" s="1"/>
  <c r="BE57" i="19"/>
  <c r="BF57" i="19" s="1"/>
  <c r="BE116" i="19"/>
  <c r="BF116" i="19" s="1"/>
  <c r="BE48" i="19"/>
  <c r="BF48" i="19" s="1"/>
  <c r="BE30" i="19"/>
  <c r="BF30" i="19" s="1"/>
  <c r="BE79" i="19"/>
  <c r="BF79" i="19" s="1"/>
  <c r="AW55" i="25"/>
  <c r="AP115" i="24"/>
  <c r="AP97" i="24"/>
  <c r="AW97" i="24" s="1"/>
  <c r="AP43" i="24"/>
  <c r="AW43" i="24" s="1"/>
  <c r="AP79" i="24"/>
  <c r="AW79" i="24" s="1"/>
  <c r="AP61" i="24"/>
  <c r="AW61" i="24" s="1"/>
  <c r="AZ25" i="19" a="1"/>
  <c r="AZ25" i="22" a="1"/>
  <c r="BL6" i="22" l="1"/>
  <c r="J119" i="16" s="1"/>
  <c r="BL6" i="24"/>
  <c r="BL13" i="24" s="1"/>
  <c r="L59" i="16" s="1"/>
  <c r="BL6" i="19"/>
  <c r="H119" i="16" s="1"/>
  <c r="BE42" i="19"/>
  <c r="BF42" i="19" s="1"/>
  <c r="BE81" i="19"/>
  <c r="BF81" i="19" s="1"/>
  <c r="BE87" i="19"/>
  <c r="BF87" i="19" s="1"/>
  <c r="BE90" i="19"/>
  <c r="BF90" i="19" s="1"/>
  <c r="BE112" i="19"/>
  <c r="BF112" i="19" s="1"/>
  <c r="BE28" i="19"/>
  <c r="BF28" i="19" s="1"/>
  <c r="BE35" i="19"/>
  <c r="BF35" i="19" s="1"/>
  <c r="BE75" i="19"/>
  <c r="BF75" i="19" s="1"/>
  <c r="BE71" i="19"/>
  <c r="BF71" i="19" s="1"/>
  <c r="BE33" i="22"/>
  <c r="BF33" i="22" s="1"/>
  <c r="BE44" i="22"/>
  <c r="BF44" i="22" s="1"/>
  <c r="BE54" i="22"/>
  <c r="BF54" i="22" s="1"/>
  <c r="BE93" i="19"/>
  <c r="BF93" i="19" s="1"/>
  <c r="BE124" i="19"/>
  <c r="BF124" i="19" s="1"/>
  <c r="BE123" i="22"/>
  <c r="BF123" i="22" s="1"/>
  <c r="BE40" i="19"/>
  <c r="BF40" i="19" s="1"/>
  <c r="BE66" i="22"/>
  <c r="BF66" i="22" s="1"/>
  <c r="BE114" i="19"/>
  <c r="BF114" i="19" s="1"/>
  <c r="BE58" i="19"/>
  <c r="BF58" i="19" s="1"/>
  <c r="BE38" i="19"/>
  <c r="BF38" i="19" s="1"/>
  <c r="BE37" i="22"/>
  <c r="BF37" i="22" s="1"/>
  <c r="BE87" i="22"/>
  <c r="BF87" i="22" s="1"/>
  <c r="BE109" i="22"/>
  <c r="BF109" i="22" s="1"/>
  <c r="BE63" i="22"/>
  <c r="BF63" i="22" s="1"/>
  <c r="BE49" i="22"/>
  <c r="BF49" i="22" s="1"/>
  <c r="BL13" i="25"/>
  <c r="N59" i="16" s="1"/>
  <c r="BE47" i="22"/>
  <c r="BF47" i="22" s="1"/>
  <c r="BE60" i="22"/>
  <c r="BF60" i="22" s="1"/>
  <c r="BE95" i="22"/>
  <c r="BF95" i="22" s="1"/>
  <c r="BE56" i="22"/>
  <c r="BF56" i="22" s="1"/>
  <c r="BE125" i="19"/>
  <c r="BF125" i="19" s="1"/>
  <c r="BE96" i="19"/>
  <c r="BF96" i="19" s="1"/>
  <c r="BE36" i="22"/>
  <c r="BF36" i="22" s="1"/>
  <c r="BE91" i="22"/>
  <c r="BF91" i="22" s="1"/>
  <c r="BE84" i="19"/>
  <c r="BF84" i="19" s="1"/>
  <c r="BE49" i="19"/>
  <c r="BF49" i="19" s="1"/>
  <c r="BE102" i="22"/>
  <c r="BF102" i="22" s="1"/>
  <c r="BE45" i="22"/>
  <c r="BF45" i="22" s="1"/>
  <c r="BE32" i="22"/>
  <c r="BF32" i="22" s="1"/>
  <c r="BE96" i="22"/>
  <c r="BF96" i="22" s="1"/>
  <c r="BE64" i="22"/>
  <c r="BF64" i="22" s="1"/>
  <c r="BE46" i="19"/>
  <c r="BF46" i="19" s="1"/>
  <c r="BE113" i="19"/>
  <c r="BF113" i="19" s="1"/>
  <c r="BE120" i="22"/>
  <c r="BF120" i="22" s="1"/>
  <c r="BE69" i="22"/>
  <c r="BF69" i="22" s="1"/>
  <c r="BE98" i="22"/>
  <c r="BF98" i="22" s="1"/>
  <c r="BE125" i="22"/>
  <c r="BF125" i="22" s="1"/>
  <c r="BE26" i="19"/>
  <c r="BF26" i="19" s="1"/>
  <c r="BE95" i="19"/>
  <c r="BF95" i="19" s="1"/>
  <c r="BE109" i="19"/>
  <c r="BF109" i="19" s="1"/>
  <c r="BE36" i="19"/>
  <c r="BF36" i="19" s="1"/>
  <c r="BE117" i="22"/>
  <c r="BF117" i="22" s="1"/>
  <c r="BE107" i="22"/>
  <c r="BF107" i="22" s="1"/>
  <c r="BE39" i="22"/>
  <c r="BF39" i="22" s="1"/>
  <c r="BE30" i="22"/>
  <c r="BF30" i="22" s="1"/>
  <c r="BE45" i="19"/>
  <c r="BF45" i="19" s="1"/>
  <c r="BE80" i="19"/>
  <c r="BF80" i="19" s="1"/>
  <c r="BE37" i="19"/>
  <c r="BF37" i="19" s="1"/>
  <c r="BE108" i="19"/>
  <c r="BF108" i="19" s="1"/>
  <c r="BE118" i="19"/>
  <c r="BF118" i="19" s="1"/>
  <c r="BE111" i="22"/>
  <c r="BF111" i="22" s="1"/>
  <c r="BE62" i="22"/>
  <c r="BF62" i="22" s="1"/>
  <c r="BE94" i="22"/>
  <c r="BF94" i="22" s="1"/>
  <c r="BE86" i="22"/>
  <c r="BF86" i="22" s="1"/>
  <c r="BE57" i="22"/>
  <c r="BF57" i="22" s="1"/>
  <c r="BE65" i="19"/>
  <c r="BF65" i="19" s="1"/>
  <c r="BE73" i="19"/>
  <c r="BF73" i="19" s="1"/>
  <c r="BE88" i="19"/>
  <c r="BF88" i="19" s="1"/>
  <c r="BE117" i="19"/>
  <c r="BF117" i="19" s="1"/>
  <c r="BE54" i="19"/>
  <c r="BF54" i="19" s="1"/>
  <c r="BE78" i="22"/>
  <c r="BF78" i="22" s="1"/>
  <c r="BE85" i="22"/>
  <c r="BF85" i="22" s="1"/>
  <c r="BE76" i="22"/>
  <c r="BF76" i="22" s="1"/>
  <c r="BE40" i="22"/>
  <c r="BF40" i="22" s="1"/>
  <c r="BE67" i="19"/>
  <c r="BF67" i="19" s="1"/>
  <c r="BE104" i="19"/>
  <c r="BF104" i="19" s="1"/>
  <c r="BE83" i="19"/>
  <c r="BF83" i="19" s="1"/>
  <c r="BE51" i="19"/>
  <c r="BF51" i="19" s="1"/>
  <c r="BE69" i="19"/>
  <c r="BF69" i="19" s="1"/>
  <c r="BE82" i="22"/>
  <c r="BF82" i="22" s="1"/>
  <c r="BE51" i="22"/>
  <c r="BF51" i="22" s="1"/>
  <c r="BE70" i="22"/>
  <c r="BF70" i="22" s="1"/>
  <c r="BE121" i="22"/>
  <c r="BF121" i="22" s="1"/>
  <c r="BE108" i="22"/>
  <c r="BF108" i="22" s="1"/>
  <c r="BE89" i="19"/>
  <c r="BF89" i="19" s="1"/>
  <c r="BE60" i="19"/>
  <c r="BF60" i="19" s="1"/>
  <c r="BE52" i="19"/>
  <c r="BF52" i="19" s="1"/>
  <c r="BE53" i="19"/>
  <c r="BF53" i="19" s="1"/>
  <c r="BE97" i="22"/>
  <c r="BF97" i="22" s="1"/>
  <c r="BE53" i="22"/>
  <c r="BF53" i="22" s="1"/>
  <c r="BE38" i="22"/>
  <c r="BF38" i="22" s="1"/>
  <c r="BE27" i="19"/>
  <c r="BF27" i="19" s="1"/>
  <c r="BE78" i="19"/>
  <c r="BF78" i="19" s="1"/>
  <c r="BE102" i="19"/>
  <c r="BF102" i="19" s="1"/>
  <c r="BE63" i="19"/>
  <c r="BF63" i="19" s="1"/>
  <c r="BE75" i="22"/>
  <c r="BF75" i="22" s="1"/>
  <c r="BE90" i="22"/>
  <c r="BF90" i="22" s="1"/>
  <c r="BE67" i="22"/>
  <c r="BF67" i="22" s="1"/>
  <c r="BE28" i="22"/>
  <c r="BF28" i="22" s="1"/>
  <c r="BE77" i="22"/>
  <c r="BF77" i="22" s="1"/>
  <c r="BE81" i="22"/>
  <c r="BF81" i="22" s="1"/>
  <c r="BE26" i="22"/>
  <c r="BF26" i="22" s="1"/>
  <c r="BE48" i="22"/>
  <c r="BF48" i="22" s="1"/>
  <c r="BE72" i="22"/>
  <c r="BF72" i="22" s="1"/>
  <c r="BE105" i="22"/>
  <c r="BF105" i="22" s="1"/>
  <c r="BE29" i="22"/>
  <c r="BF29" i="22" s="1"/>
  <c r="BE46" i="22"/>
  <c r="BF46" i="22" s="1"/>
  <c r="BE61" i="22"/>
  <c r="BF61" i="22" s="1"/>
  <c r="BE124" i="22"/>
  <c r="BF124" i="22" s="1"/>
  <c r="BE122" i="22"/>
  <c r="BF122" i="22" s="1"/>
  <c r="BE106" i="22"/>
  <c r="BF106" i="22" s="1"/>
  <c r="BE41" i="22"/>
  <c r="BF41" i="22" s="1"/>
  <c r="BE79" i="22"/>
  <c r="BF79" i="22" s="1"/>
  <c r="BE84" i="22"/>
  <c r="BF84" i="22" s="1"/>
  <c r="BE101" i="22"/>
  <c r="BF101" i="22" s="1"/>
  <c r="BE42" i="22"/>
  <c r="BF42" i="22" s="1"/>
  <c r="BE50" i="22"/>
  <c r="BF50" i="22" s="1"/>
  <c r="BE104" i="22"/>
  <c r="BF104" i="22" s="1"/>
  <c r="BE114" i="22"/>
  <c r="BF114" i="22" s="1"/>
  <c r="BE43" i="22"/>
  <c r="BF43" i="22" s="1"/>
  <c r="BE68" i="22"/>
  <c r="BF68" i="22" s="1"/>
  <c r="BE107" i="19"/>
  <c r="BF107" i="19" s="1"/>
  <c r="BE99" i="19"/>
  <c r="BF99" i="19" s="1"/>
  <c r="BE97" i="19"/>
  <c r="BF97" i="19" s="1"/>
  <c r="BE72" i="19"/>
  <c r="BF72" i="19" s="1"/>
  <c r="BE39" i="19"/>
  <c r="BF39" i="19" s="1"/>
  <c r="BE123" i="19"/>
  <c r="BF123" i="19" s="1"/>
  <c r="BE116" i="22"/>
  <c r="BF116" i="22" s="1"/>
  <c r="BE52" i="22"/>
  <c r="BF52" i="22" s="1"/>
  <c r="BE80" i="22"/>
  <c r="BF80" i="22" s="1"/>
  <c r="BE58" i="22"/>
  <c r="BF58" i="22" s="1"/>
  <c r="BE31" i="22"/>
  <c r="BF31" i="22" s="1"/>
  <c r="BE27" i="22"/>
  <c r="BF27" i="22" s="1"/>
  <c r="BE92" i="22"/>
  <c r="BF92" i="22" s="1"/>
  <c r="BE35" i="22"/>
  <c r="BF35" i="22" s="1"/>
  <c r="BE105" i="19"/>
  <c r="BF105" i="19" s="1"/>
  <c r="BE64" i="19"/>
  <c r="BF64" i="19" s="1"/>
  <c r="BE43" i="19"/>
  <c r="BF43" i="19" s="1"/>
  <c r="BE82" i="19"/>
  <c r="BF82" i="19" s="1"/>
  <c r="BE121" i="19"/>
  <c r="BF121" i="19" s="1"/>
  <c r="BE110" i="19"/>
  <c r="BF110" i="19" s="1"/>
  <c r="BE100" i="22"/>
  <c r="BF100" i="22" s="1"/>
  <c r="BE99" i="22"/>
  <c r="BF99" i="22" s="1"/>
  <c r="BE112" i="22"/>
  <c r="BF112" i="22" s="1"/>
  <c r="BE41" i="19"/>
  <c r="BF41" i="19" s="1"/>
  <c r="BE65" i="22"/>
  <c r="BF65" i="22" s="1"/>
  <c r="BE55" i="22"/>
  <c r="BF55" i="22" s="1"/>
  <c r="BE110" i="22"/>
  <c r="BF110" i="22" s="1"/>
  <c r="BE119" i="22"/>
  <c r="BF119" i="22" s="1"/>
  <c r="BL13" i="19"/>
  <c r="H59" i="16" s="1"/>
  <c r="BE103" i="19"/>
  <c r="BF103" i="19" s="1"/>
  <c r="BE70" i="19"/>
  <c r="BF70" i="19" s="1"/>
  <c r="BE32" i="19"/>
  <c r="BF32" i="19" s="1"/>
  <c r="BE85" i="19"/>
  <c r="BF85" i="19" s="1"/>
  <c r="BE56" i="19"/>
  <c r="BF56" i="19" s="1"/>
  <c r="BE73" i="22"/>
  <c r="BF73" i="22" s="1"/>
  <c r="BE113" i="22"/>
  <c r="BF113" i="22" s="1"/>
  <c r="BE59" i="22"/>
  <c r="BF59" i="22" s="1"/>
  <c r="BE115" i="22"/>
  <c r="BF115" i="22" s="1"/>
  <c r="BE74" i="22"/>
  <c r="BF74" i="22" s="1"/>
  <c r="BE89" i="22"/>
  <c r="BF89" i="22" s="1"/>
  <c r="BE71" i="22"/>
  <c r="BF71" i="22" s="1"/>
  <c r="BE83" i="22"/>
  <c r="BF83" i="22" s="1"/>
  <c r="BE98" i="19"/>
  <c r="BF98" i="19" s="1"/>
  <c r="BE101" i="19"/>
  <c r="BF101" i="19" s="1"/>
  <c r="BE68" i="19"/>
  <c r="BF68" i="19" s="1"/>
  <c r="BE44" i="19"/>
  <c r="BF44" i="19" s="1"/>
  <c r="BE62" i="19"/>
  <c r="BF62" i="19" s="1"/>
  <c r="BE50" i="19"/>
  <c r="BF50" i="19" s="1"/>
  <c r="BE47" i="19"/>
  <c r="BF47" i="19" s="1"/>
  <c r="BE118" i="22"/>
  <c r="BF118" i="22" s="1"/>
  <c r="BE34" i="22"/>
  <c r="BF34" i="22" s="1"/>
  <c r="BE93" i="22"/>
  <c r="BF93" i="22" s="1"/>
  <c r="BE103" i="22"/>
  <c r="BF103" i="22" s="1"/>
  <c r="BE59" i="19"/>
  <c r="BF59" i="19" s="1"/>
  <c r="BE100" i="19"/>
  <c r="BF100" i="19" s="1"/>
  <c r="BE122" i="19"/>
  <c r="BF122" i="19" s="1"/>
  <c r="BE61" i="19"/>
  <c r="BF61" i="19" s="1"/>
  <c r="BE31" i="19"/>
  <c r="BF31" i="19" s="1"/>
  <c r="BE76" i="19"/>
  <c r="BF76" i="19" s="1"/>
  <c r="BE33" i="19"/>
  <c r="BF33" i="19" s="1"/>
  <c r="BE55" i="19"/>
  <c r="BF55" i="19" s="1"/>
  <c r="BE34" i="19"/>
  <c r="BF34" i="19" s="1"/>
  <c r="BE74" i="19"/>
  <c r="BF74" i="19" s="1"/>
  <c r="BE91" i="19"/>
  <c r="BF91" i="19" s="1"/>
  <c r="BE120" i="19"/>
  <c r="BF120" i="19" s="1"/>
  <c r="BE119" i="19"/>
  <c r="BF119" i="19" s="1"/>
  <c r="BE115" i="19"/>
  <c r="BF115" i="19" s="1"/>
  <c r="BE29" i="19"/>
  <c r="BF29" i="19" s="1"/>
  <c r="BE94" i="19"/>
  <c r="BF94" i="19" s="1"/>
  <c r="BE66" i="19"/>
  <c r="BF66" i="19" s="1"/>
  <c r="BE77" i="19"/>
  <c r="BF77" i="19" s="1"/>
  <c r="BE106" i="19"/>
  <c r="BF106" i="19" s="1"/>
  <c r="BE86" i="19"/>
  <c r="BF86" i="19" s="1"/>
  <c r="BE92" i="19"/>
  <c r="BF92" i="19" s="1"/>
  <c r="G88" i="16"/>
  <c r="G89" i="16" s="1"/>
  <c r="BX52" i="22"/>
  <c r="BY52" i="22" s="1"/>
  <c r="AF45" i="25"/>
  <c r="BX51" i="22"/>
  <c r="BY51" i="22" s="1"/>
  <c r="BX44" i="22"/>
  <c r="BY44" i="22" s="1"/>
  <c r="BX119" i="22"/>
  <c r="BY119" i="22" s="1"/>
  <c r="BX60" i="22"/>
  <c r="BY60" i="22" s="1"/>
  <c r="BX93" i="22"/>
  <c r="BY93" i="22" s="1"/>
  <c r="BX59" i="22"/>
  <c r="BY59" i="22" s="1"/>
  <c r="BX54" i="22"/>
  <c r="BY54" i="22" s="1"/>
  <c r="BX86" i="22"/>
  <c r="BY86" i="22" s="1"/>
  <c r="BX56" i="22"/>
  <c r="BY56" i="22" s="1"/>
  <c r="BX76" i="22"/>
  <c r="BY76" i="22" s="1"/>
  <c r="BX79" i="22"/>
  <c r="BY79" i="22" s="1"/>
  <c r="BX34" i="22"/>
  <c r="BY34" i="22" s="1"/>
  <c r="BX125" i="22"/>
  <c r="BY125" i="22" s="1"/>
  <c r="BX84" i="22"/>
  <c r="BY84" i="22" s="1"/>
  <c r="BX63" i="22"/>
  <c r="BY63" i="22" s="1"/>
  <c r="BX47" i="22"/>
  <c r="BY47" i="22" s="1"/>
  <c r="BX120" i="22"/>
  <c r="BY120" i="22" s="1"/>
  <c r="BX72" i="22"/>
  <c r="BY72" i="22" s="1"/>
  <c r="BX42" i="22"/>
  <c r="BY42" i="22" s="1"/>
  <c r="BX114" i="22"/>
  <c r="BY114" i="22" s="1"/>
  <c r="BX123" i="22"/>
  <c r="BY123" i="22" s="1"/>
  <c r="BX38" i="22"/>
  <c r="BY38" i="22" s="1"/>
  <c r="BX113" i="22"/>
  <c r="BY113" i="22" s="1"/>
  <c r="BX107" i="22"/>
  <c r="BY107" i="22" s="1"/>
  <c r="BX55" i="22"/>
  <c r="BY55" i="22" s="1"/>
  <c r="BX71" i="22"/>
  <c r="BY71" i="22" s="1"/>
  <c r="BX94" i="22"/>
  <c r="BY94" i="22" s="1"/>
  <c r="BX82" i="22"/>
  <c r="BY82" i="22" s="1"/>
  <c r="BX91" i="22"/>
  <c r="BY91" i="22" s="1"/>
  <c r="BX26" i="22"/>
  <c r="BY26" i="22" s="1"/>
  <c r="BX69" i="22"/>
  <c r="BY69" i="22" s="1"/>
  <c r="BX95" i="22"/>
  <c r="BY95" i="22" s="1"/>
  <c r="BX90" i="22"/>
  <c r="BY90" i="22" s="1"/>
  <c r="BX99" i="22"/>
  <c r="BY99" i="22" s="1"/>
  <c r="BX81" i="22"/>
  <c r="BY81" i="22" s="1"/>
  <c r="BX117" i="22"/>
  <c r="BY117" i="22" s="1"/>
  <c r="BX70" i="22"/>
  <c r="BY70" i="22" s="1"/>
  <c r="BX124" i="22"/>
  <c r="BY124" i="22" s="1"/>
  <c r="BX61" i="22"/>
  <c r="BY61" i="22" s="1"/>
  <c r="BX103" i="22"/>
  <c r="BY103" i="22" s="1"/>
  <c r="BX30" i="22"/>
  <c r="BY30" i="22" s="1"/>
  <c r="BX32" i="22"/>
  <c r="BY32" i="22" s="1"/>
  <c r="BX35" i="22"/>
  <c r="BY35" i="22" s="1"/>
  <c r="BX40" i="22"/>
  <c r="BY40" i="22" s="1"/>
  <c r="BX80" i="22"/>
  <c r="BY80" i="22" s="1"/>
  <c r="BX89" i="22"/>
  <c r="BY89" i="22" s="1"/>
  <c r="BX111" i="22"/>
  <c r="BY111" i="22" s="1"/>
  <c r="BX109" i="22"/>
  <c r="BY109" i="22" s="1"/>
  <c r="BX67" i="22"/>
  <c r="BY67" i="22" s="1"/>
  <c r="BX29" i="22"/>
  <c r="BY29" i="22" s="1"/>
  <c r="BX64" i="22"/>
  <c r="BY64" i="22" s="1"/>
  <c r="BX108" i="22"/>
  <c r="BY108" i="22" s="1"/>
  <c r="BX28" i="22"/>
  <c r="BY28" i="22" s="1"/>
  <c r="BX85" i="22"/>
  <c r="BY85" i="22" s="1"/>
  <c r="BX100" i="22"/>
  <c r="BY100" i="22" s="1"/>
  <c r="BX73" i="22"/>
  <c r="BY73" i="22" s="1"/>
  <c r="BX88" i="22"/>
  <c r="BY88" i="22" s="1"/>
  <c r="AF45" i="24"/>
  <c r="BX77" i="22"/>
  <c r="BY77" i="22" s="1"/>
  <c r="BX92" i="22"/>
  <c r="BY92" i="22" s="1"/>
  <c r="BX62" i="22"/>
  <c r="BY62" i="22" s="1"/>
  <c r="BX75" i="22"/>
  <c r="BY75" i="22" s="1"/>
  <c r="BX65" i="22"/>
  <c r="BY65" i="22" s="1"/>
  <c r="BX116" i="22"/>
  <c r="BY116" i="22" s="1"/>
  <c r="BX45" i="22"/>
  <c r="BY45" i="22" s="1"/>
  <c r="BX50" i="22"/>
  <c r="BY50" i="22" s="1"/>
  <c r="BX104" i="22"/>
  <c r="BY104" i="22" s="1"/>
  <c r="BX31" i="22"/>
  <c r="BY31" i="22" s="1"/>
  <c r="BX48" i="22"/>
  <c r="BY48" i="22" s="1"/>
  <c r="BX115" i="22"/>
  <c r="BY115" i="22" s="1"/>
  <c r="BX49" i="22"/>
  <c r="BY49" i="22" s="1"/>
  <c r="BX27" i="22"/>
  <c r="BY27" i="22" s="1"/>
  <c r="BX118" i="22"/>
  <c r="BY118" i="22" s="1"/>
  <c r="BX102" i="22"/>
  <c r="BY102" i="22" s="1"/>
  <c r="BX96" i="22"/>
  <c r="BY96" i="22" s="1"/>
  <c r="BX57" i="22"/>
  <c r="BY57" i="22" s="1"/>
  <c r="BX78" i="22"/>
  <c r="BY78" i="22" s="1"/>
  <c r="BX101" i="22"/>
  <c r="BY101" i="22" s="1"/>
  <c r="BX98" i="22"/>
  <c r="BY98" i="22" s="1"/>
  <c r="BX112" i="22"/>
  <c r="BY112" i="22" s="1"/>
  <c r="BX58" i="22"/>
  <c r="BY58" i="22" s="1"/>
  <c r="BX39" i="22"/>
  <c r="BY39" i="22" s="1"/>
  <c r="BX68" i="22"/>
  <c r="BY68" i="22" s="1"/>
  <c r="BX36" i="22"/>
  <c r="BY36" i="22" s="1"/>
  <c r="BX106" i="22"/>
  <c r="BY106" i="22" s="1"/>
  <c r="BX122" i="22"/>
  <c r="BY122" i="22" s="1"/>
  <c r="BX121" i="22"/>
  <c r="BY121" i="22" s="1"/>
  <c r="BX83" i="22"/>
  <c r="BY83" i="22" s="1"/>
  <c r="BX110" i="22"/>
  <c r="BY110" i="22" s="1"/>
  <c r="BX43" i="22"/>
  <c r="BY43" i="22" s="1"/>
  <c r="BX74" i="22"/>
  <c r="BY74" i="22" s="1"/>
  <c r="BX37" i="22"/>
  <c r="BY37" i="22" s="1"/>
  <c r="BX87" i="22"/>
  <c r="BY87" i="22" s="1"/>
  <c r="BX41" i="22"/>
  <c r="BY41" i="22" s="1"/>
  <c r="BX66" i="22"/>
  <c r="BY66" i="22" s="1"/>
  <c r="BX46" i="22"/>
  <c r="BY46" i="22" s="1"/>
  <c r="BX53" i="22"/>
  <c r="BY53" i="22" s="1"/>
  <c r="BX105" i="22"/>
  <c r="BY105" i="22" s="1"/>
  <c r="BX33" i="22"/>
  <c r="BY33" i="22" s="1"/>
  <c r="BI25" i="25"/>
  <c r="BI85" i="25" s="1"/>
  <c r="BP85" i="25" s="1"/>
  <c r="H97" i="16"/>
  <c r="AA29" i="16" s="1"/>
  <c r="AA33" i="16" s="1"/>
  <c r="N97" i="16"/>
  <c r="AD29" i="16" s="1"/>
  <c r="AD33" i="16" s="1"/>
  <c r="I99" i="16"/>
  <c r="L97" i="16"/>
  <c r="AC29" i="16" s="1"/>
  <c r="AC33" i="16" s="1"/>
  <c r="BL12" i="19"/>
  <c r="H58" i="16" s="1"/>
  <c r="BL125" i="22"/>
  <c r="BL22" i="22"/>
  <c r="AK44" i="22"/>
  <c r="J97" i="16"/>
  <c r="AB29" i="16" s="1"/>
  <c r="AB33" i="16" s="1"/>
  <c r="S158" i="21"/>
  <c r="K89" i="16"/>
  <c r="BL125" i="25"/>
  <c r="BL75" i="25"/>
  <c r="BP75" i="25" s="1"/>
  <c r="BI25" i="24"/>
  <c r="BZ25" i="24" s="1"/>
  <c r="N118" i="16"/>
  <c r="AD17" i="16" s="1"/>
  <c r="BL12" i="25"/>
  <c r="N58" i="16" s="1"/>
  <c r="AA17" i="16"/>
  <c r="BX89" i="25"/>
  <c r="BY89" i="25" s="1"/>
  <c r="BX71" i="25"/>
  <c r="BY71" i="25" s="1"/>
  <c r="BX113" i="25"/>
  <c r="BY113" i="25" s="1"/>
  <c r="BX55" i="25"/>
  <c r="BY55" i="25" s="1"/>
  <c r="BX26" i="25"/>
  <c r="BY26" i="25" s="1"/>
  <c r="BX112" i="25"/>
  <c r="BY112" i="25" s="1"/>
  <c r="BX109" i="25"/>
  <c r="BY109" i="25" s="1"/>
  <c r="BX59" i="25"/>
  <c r="BY59" i="25" s="1"/>
  <c r="BX100" i="25"/>
  <c r="BY100" i="25" s="1"/>
  <c r="BX44" i="25"/>
  <c r="BY44" i="25" s="1"/>
  <c r="BX77" i="25"/>
  <c r="BY77" i="25" s="1"/>
  <c r="BX35" i="25"/>
  <c r="BY35" i="25" s="1"/>
  <c r="BX33" i="25"/>
  <c r="BY33" i="25" s="1"/>
  <c r="BX92" i="25"/>
  <c r="BY92" i="25" s="1"/>
  <c r="BX80" i="25"/>
  <c r="BY80" i="25" s="1"/>
  <c r="BX40" i="25"/>
  <c r="BY40" i="25" s="1"/>
  <c r="BX38" i="25"/>
  <c r="BY38" i="25" s="1"/>
  <c r="BX93" i="25"/>
  <c r="BY93" i="25" s="1"/>
  <c r="BX76" i="25"/>
  <c r="BY76" i="25" s="1"/>
  <c r="BX37" i="25"/>
  <c r="BY37" i="25" s="1"/>
  <c r="BX56" i="25"/>
  <c r="BY56" i="25" s="1"/>
  <c r="BX101" i="25"/>
  <c r="BY101" i="25" s="1"/>
  <c r="BX72" i="25"/>
  <c r="BY72" i="25" s="1"/>
  <c r="BX42" i="25"/>
  <c r="BY42" i="25" s="1"/>
  <c r="BX82" i="25"/>
  <c r="BY82" i="25" s="1"/>
  <c r="BX97" i="25"/>
  <c r="BY97" i="25" s="1"/>
  <c r="BX45" i="25"/>
  <c r="BY45" i="25" s="1"/>
  <c r="BX119" i="25"/>
  <c r="BY119" i="25" s="1"/>
  <c r="BX68" i="25"/>
  <c r="BY68" i="25" s="1"/>
  <c r="BX96" i="25"/>
  <c r="BY96" i="25" s="1"/>
  <c r="BX61" i="25"/>
  <c r="BY61" i="25" s="1"/>
  <c r="BX49" i="25"/>
  <c r="BY49" i="25" s="1"/>
  <c r="BX62" i="25"/>
  <c r="BY62" i="25" s="1"/>
  <c r="BX125" i="25"/>
  <c r="BY125" i="25" s="1"/>
  <c r="BX99" i="25"/>
  <c r="BY99" i="25" s="1"/>
  <c r="BX120" i="25"/>
  <c r="BY120" i="25" s="1"/>
  <c r="BX86" i="25"/>
  <c r="BY86" i="25" s="1"/>
  <c r="BX122" i="25"/>
  <c r="BY122" i="25" s="1"/>
  <c r="BX111" i="25"/>
  <c r="BY111" i="25" s="1"/>
  <c r="BX114" i="25"/>
  <c r="BY114" i="25" s="1"/>
  <c r="BX65" i="25"/>
  <c r="BY65" i="25" s="1"/>
  <c r="BX34" i="25"/>
  <c r="BY34" i="25" s="1"/>
  <c r="BX67" i="25"/>
  <c r="BY67" i="25" s="1"/>
  <c r="BX70" i="25"/>
  <c r="BY70" i="25" s="1"/>
  <c r="BX90" i="25"/>
  <c r="BY90" i="25" s="1"/>
  <c r="BX64" i="25"/>
  <c r="BY64" i="25" s="1"/>
  <c r="BX47" i="25"/>
  <c r="BY47" i="25" s="1"/>
  <c r="BX87" i="25"/>
  <c r="BY87" i="25" s="1"/>
  <c r="BX46" i="25"/>
  <c r="BY46" i="25" s="1"/>
  <c r="BX50" i="25"/>
  <c r="BY50" i="25" s="1"/>
  <c r="BX28" i="25"/>
  <c r="BY28" i="25" s="1"/>
  <c r="BX81" i="25"/>
  <c r="BY81" i="25" s="1"/>
  <c r="BX52" i="25"/>
  <c r="BY52" i="25" s="1"/>
  <c r="BX51" i="25"/>
  <c r="BY51" i="25" s="1"/>
  <c r="BX54" i="25"/>
  <c r="BY54" i="25" s="1"/>
  <c r="BX83" i="25"/>
  <c r="BY83" i="25" s="1"/>
  <c r="BX88" i="25"/>
  <c r="BY88" i="25" s="1"/>
  <c r="BX95" i="25"/>
  <c r="BY95" i="25" s="1"/>
  <c r="BX31" i="25"/>
  <c r="BY31" i="25" s="1"/>
  <c r="BX48" i="25"/>
  <c r="BY48" i="25" s="1"/>
  <c r="BX63" i="25"/>
  <c r="BY63" i="25" s="1"/>
  <c r="BX30" i="25"/>
  <c r="BY30" i="25" s="1"/>
  <c r="BX104" i="25"/>
  <c r="BY104" i="25" s="1"/>
  <c r="BX102" i="25"/>
  <c r="BY102" i="25" s="1"/>
  <c r="BX115" i="25"/>
  <c r="BY115" i="25" s="1"/>
  <c r="BX123" i="25"/>
  <c r="BY123" i="25" s="1"/>
  <c r="BX91" i="25"/>
  <c r="BY91" i="25" s="1"/>
  <c r="BX103" i="25"/>
  <c r="BY103" i="25" s="1"/>
  <c r="BX85" i="25"/>
  <c r="BY85" i="25" s="1"/>
  <c r="BX73" i="25"/>
  <c r="BY73" i="25" s="1"/>
  <c r="BX29" i="25"/>
  <c r="BY29" i="25" s="1"/>
  <c r="BX74" i="25"/>
  <c r="BY74" i="25" s="1"/>
  <c r="BX78" i="25"/>
  <c r="BY78" i="25" s="1"/>
  <c r="BX94" i="25"/>
  <c r="BY94" i="25" s="1"/>
  <c r="BX124" i="25"/>
  <c r="BY124" i="25" s="1"/>
  <c r="BX66" i="25"/>
  <c r="BY66" i="25" s="1"/>
  <c r="BX58" i="25"/>
  <c r="BY58" i="25" s="1"/>
  <c r="BX118" i="25"/>
  <c r="BY118" i="25" s="1"/>
  <c r="BX69" i="25"/>
  <c r="BY69" i="25" s="1"/>
  <c r="BX108" i="25"/>
  <c r="BY108" i="25" s="1"/>
  <c r="BX107" i="25"/>
  <c r="BY107" i="25" s="1"/>
  <c r="BX36" i="25"/>
  <c r="BY36" i="25" s="1"/>
  <c r="BX105" i="25"/>
  <c r="BY105" i="25" s="1"/>
  <c r="BX27" i="25"/>
  <c r="BY27" i="25" s="1"/>
  <c r="BX98" i="25"/>
  <c r="BY98" i="25" s="1"/>
  <c r="BX110" i="25"/>
  <c r="BY110" i="25" s="1"/>
  <c r="BX43" i="25"/>
  <c r="BY43" i="25" s="1"/>
  <c r="BX32" i="25"/>
  <c r="BY32" i="25" s="1"/>
  <c r="BX116" i="25"/>
  <c r="BY116" i="25" s="1"/>
  <c r="BX117" i="25"/>
  <c r="BY117" i="25" s="1"/>
  <c r="BX84" i="25"/>
  <c r="BY84" i="25" s="1"/>
  <c r="BX41" i="25"/>
  <c r="BY41" i="25" s="1"/>
  <c r="BX39" i="25"/>
  <c r="BY39" i="25" s="1"/>
  <c r="BX60" i="25"/>
  <c r="BY60" i="25" s="1"/>
  <c r="BX57" i="25"/>
  <c r="BY57" i="25" s="1"/>
  <c r="BX75" i="25"/>
  <c r="BY75" i="25" s="1"/>
  <c r="BX121" i="25"/>
  <c r="BY121" i="25" s="1"/>
  <c r="BX106" i="25"/>
  <c r="BY106" i="25" s="1"/>
  <c r="BX53" i="25"/>
  <c r="BY53" i="25" s="1"/>
  <c r="BX79" i="25"/>
  <c r="BY79" i="25" s="1"/>
  <c r="BL12" i="24"/>
  <c r="L58" i="16" s="1"/>
  <c r="AC22" i="16" s="1"/>
  <c r="L118" i="16"/>
  <c r="BI25" i="19"/>
  <c r="BI105" i="19" s="1"/>
  <c r="BP105" i="19" s="1"/>
  <c r="BX36" i="24"/>
  <c r="BY36" i="24" s="1"/>
  <c r="BX75" i="24"/>
  <c r="BY75" i="24" s="1"/>
  <c r="BX124" i="24"/>
  <c r="BY124" i="24" s="1"/>
  <c r="BX62" i="24"/>
  <c r="BY62" i="24" s="1"/>
  <c r="BX78" i="24"/>
  <c r="BY78" i="24" s="1"/>
  <c r="BX58" i="24"/>
  <c r="BY58" i="24" s="1"/>
  <c r="BX92" i="24"/>
  <c r="BY92" i="24" s="1"/>
  <c r="BX64" i="24"/>
  <c r="BY64" i="24" s="1"/>
  <c r="BX99" i="24"/>
  <c r="BY99" i="24" s="1"/>
  <c r="BX113" i="24"/>
  <c r="BY113" i="24" s="1"/>
  <c r="BX103" i="24"/>
  <c r="BY103" i="24" s="1"/>
  <c r="BX37" i="24"/>
  <c r="BY37" i="24" s="1"/>
  <c r="BX30" i="24"/>
  <c r="BY30" i="24" s="1"/>
  <c r="BX88" i="24"/>
  <c r="BY88" i="24" s="1"/>
  <c r="BX40" i="24"/>
  <c r="BY40" i="24" s="1"/>
  <c r="BX96" i="24"/>
  <c r="BY96" i="24" s="1"/>
  <c r="BX48" i="24"/>
  <c r="BY48" i="24" s="1"/>
  <c r="BX41" i="24"/>
  <c r="BY41" i="24" s="1"/>
  <c r="BX95" i="24"/>
  <c r="BY95" i="24" s="1"/>
  <c r="BX118" i="24"/>
  <c r="BY118" i="24" s="1"/>
  <c r="BX55" i="24"/>
  <c r="BY55" i="24" s="1"/>
  <c r="BX79" i="24"/>
  <c r="BY79" i="24" s="1"/>
  <c r="BX90" i="24"/>
  <c r="BY90" i="24" s="1"/>
  <c r="BX33" i="24"/>
  <c r="BY33" i="24" s="1"/>
  <c r="BX69" i="24"/>
  <c r="BY69" i="24" s="1"/>
  <c r="BX32" i="24"/>
  <c r="BY32" i="24" s="1"/>
  <c r="BX120" i="24"/>
  <c r="BY120" i="24" s="1"/>
  <c r="BX123" i="24"/>
  <c r="BY123" i="24" s="1"/>
  <c r="BX72" i="24"/>
  <c r="BY72" i="24" s="1"/>
  <c r="BX116" i="24"/>
  <c r="BY116" i="24" s="1"/>
  <c r="BX117" i="24"/>
  <c r="BY117" i="24" s="1"/>
  <c r="BX26" i="24"/>
  <c r="BY26" i="24" s="1"/>
  <c r="BX87" i="24"/>
  <c r="BY87" i="24" s="1"/>
  <c r="BX38" i="24"/>
  <c r="BY38" i="24" s="1"/>
  <c r="BX46" i="24"/>
  <c r="BY46" i="24" s="1"/>
  <c r="BX39" i="24"/>
  <c r="BY39" i="24" s="1"/>
  <c r="BX47" i="24"/>
  <c r="BY47" i="24" s="1"/>
  <c r="BX51" i="24"/>
  <c r="BY51" i="24" s="1"/>
  <c r="BX45" i="24"/>
  <c r="BY45" i="24" s="1"/>
  <c r="BX29" i="24"/>
  <c r="BY29" i="24" s="1"/>
  <c r="BX111" i="24"/>
  <c r="BY111" i="24" s="1"/>
  <c r="BX82" i="24"/>
  <c r="BY82" i="24" s="1"/>
  <c r="BX50" i="24"/>
  <c r="BY50" i="24" s="1"/>
  <c r="BX49" i="24"/>
  <c r="BY49" i="24" s="1"/>
  <c r="BX98" i="24"/>
  <c r="BY98" i="24" s="1"/>
  <c r="BX67" i="24"/>
  <c r="BY67" i="24" s="1"/>
  <c r="BX122" i="24"/>
  <c r="BY122" i="24" s="1"/>
  <c r="BX108" i="24"/>
  <c r="BY108" i="24" s="1"/>
  <c r="BX89" i="24"/>
  <c r="BY89" i="24" s="1"/>
  <c r="BX31" i="24"/>
  <c r="BY31" i="24" s="1"/>
  <c r="BX115" i="24"/>
  <c r="BY115" i="24" s="1"/>
  <c r="BX61" i="24"/>
  <c r="BY61" i="24" s="1"/>
  <c r="BX44" i="24"/>
  <c r="BY44" i="24" s="1"/>
  <c r="BX94" i="24"/>
  <c r="BY94" i="24" s="1"/>
  <c r="BX121" i="24"/>
  <c r="BY121" i="24" s="1"/>
  <c r="BX114" i="24"/>
  <c r="BY114" i="24" s="1"/>
  <c r="BX56" i="24"/>
  <c r="BY56" i="24" s="1"/>
  <c r="BX60" i="24"/>
  <c r="BY60" i="24" s="1"/>
  <c r="BX59" i="24"/>
  <c r="BY59" i="24" s="1"/>
  <c r="BX42" i="24"/>
  <c r="BY42" i="24" s="1"/>
  <c r="BX63" i="24"/>
  <c r="BY63" i="24" s="1"/>
  <c r="BX76" i="24"/>
  <c r="BY76" i="24" s="1"/>
  <c r="BX83" i="24"/>
  <c r="BY83" i="24" s="1"/>
  <c r="BX65" i="24"/>
  <c r="BY65" i="24" s="1"/>
  <c r="BX105" i="24"/>
  <c r="BY105" i="24" s="1"/>
  <c r="BX80" i="24"/>
  <c r="BY80" i="24" s="1"/>
  <c r="BX81" i="24"/>
  <c r="BY81" i="24" s="1"/>
  <c r="BX28" i="24"/>
  <c r="BY28" i="24" s="1"/>
  <c r="BX77" i="24"/>
  <c r="BY77" i="24" s="1"/>
  <c r="BX34" i="24"/>
  <c r="BY34" i="24" s="1"/>
  <c r="BX35" i="24"/>
  <c r="BY35" i="24" s="1"/>
  <c r="BX52" i="24"/>
  <c r="BY52" i="24" s="1"/>
  <c r="BX119" i="24"/>
  <c r="BY119" i="24" s="1"/>
  <c r="BX53" i="24"/>
  <c r="BY53" i="24" s="1"/>
  <c r="BX43" i="24"/>
  <c r="BY43" i="24" s="1"/>
  <c r="BX70" i="24"/>
  <c r="BY70" i="24" s="1"/>
  <c r="BX109" i="24"/>
  <c r="BY109" i="24" s="1"/>
  <c r="BX93" i="24"/>
  <c r="BY93" i="24" s="1"/>
  <c r="BX112" i="24"/>
  <c r="BY112" i="24" s="1"/>
  <c r="BX27" i="24"/>
  <c r="BY27" i="24" s="1"/>
  <c r="BX110" i="24"/>
  <c r="BY110" i="24" s="1"/>
  <c r="BX106" i="24"/>
  <c r="BY106" i="24" s="1"/>
  <c r="BX86" i="24"/>
  <c r="BY86" i="24" s="1"/>
  <c r="BX102" i="24"/>
  <c r="BY102" i="24" s="1"/>
  <c r="BX104" i="24"/>
  <c r="BY104" i="24" s="1"/>
  <c r="BX54" i="24"/>
  <c r="BY54" i="24" s="1"/>
  <c r="BX101" i="24"/>
  <c r="BY101" i="24" s="1"/>
  <c r="BX74" i="24"/>
  <c r="BY74" i="24" s="1"/>
  <c r="BX84" i="24"/>
  <c r="BY84" i="24" s="1"/>
  <c r="BX57" i="24"/>
  <c r="BY57" i="24" s="1"/>
  <c r="BX97" i="24"/>
  <c r="BY97" i="24" s="1"/>
  <c r="BX91" i="24"/>
  <c r="BY91" i="24" s="1"/>
  <c r="BX73" i="24"/>
  <c r="BY73" i="24" s="1"/>
  <c r="BX85" i="24"/>
  <c r="BY85" i="24" s="1"/>
  <c r="BX71" i="24"/>
  <c r="BY71" i="24" s="1"/>
  <c r="BX107" i="24"/>
  <c r="BY107" i="24" s="1"/>
  <c r="BX66" i="24"/>
  <c r="BY66" i="24" s="1"/>
  <c r="BX125" i="24"/>
  <c r="BY125" i="24" s="1"/>
  <c r="BX100" i="24"/>
  <c r="BY100" i="24" s="1"/>
  <c r="BX68" i="24"/>
  <c r="BY68" i="24" s="1"/>
  <c r="AW115" i="25"/>
  <c r="BL12" i="22"/>
  <c r="J58" i="16" s="1"/>
  <c r="J118" i="16"/>
  <c r="AB17" i="16" s="1"/>
  <c r="BI85" i="22"/>
  <c r="BP85" i="22" s="1"/>
  <c r="BI65" i="22"/>
  <c r="BP65" i="22" s="1"/>
  <c r="BI125" i="22"/>
  <c r="BI105" i="22"/>
  <c r="BP105" i="22" s="1"/>
  <c r="BI22" i="22"/>
  <c r="BI45" i="22"/>
  <c r="BP45" i="22" s="1"/>
  <c r="BZ25" i="22"/>
  <c r="BL22" i="19"/>
  <c r="BL75" i="19"/>
  <c r="BP75" i="19" s="1"/>
  <c r="BL125" i="19"/>
  <c r="BX29" i="19"/>
  <c r="BY29" i="19" s="1"/>
  <c r="BX120" i="19"/>
  <c r="BY120" i="19" s="1"/>
  <c r="BX107" i="19"/>
  <c r="BY107" i="19" s="1"/>
  <c r="BX99" i="19"/>
  <c r="BY99" i="19" s="1"/>
  <c r="BX66" i="19"/>
  <c r="BY66" i="19" s="1"/>
  <c r="BX114" i="19"/>
  <c r="BY114" i="19" s="1"/>
  <c r="BX70" i="19"/>
  <c r="BY70" i="19" s="1"/>
  <c r="BX76" i="19"/>
  <c r="BY76" i="19" s="1"/>
  <c r="BX112" i="19"/>
  <c r="BY112" i="19" s="1"/>
  <c r="BX45" i="19"/>
  <c r="BY45" i="19" s="1"/>
  <c r="BX46" i="19"/>
  <c r="BY46" i="19" s="1"/>
  <c r="BX61" i="19"/>
  <c r="BY61" i="19" s="1"/>
  <c r="BX117" i="19"/>
  <c r="BY117" i="19" s="1"/>
  <c r="BX100" i="19"/>
  <c r="BY100" i="19" s="1"/>
  <c r="BX36" i="19"/>
  <c r="BY36" i="19" s="1"/>
  <c r="BX119" i="19"/>
  <c r="BY119" i="19" s="1"/>
  <c r="BX47" i="19"/>
  <c r="BY47" i="19" s="1"/>
  <c r="BX82" i="19"/>
  <c r="BY82" i="19" s="1"/>
  <c r="BX87" i="19"/>
  <c r="BY87" i="19" s="1"/>
  <c r="BX94" i="19"/>
  <c r="BY94" i="19" s="1"/>
  <c r="BX48" i="19"/>
  <c r="BY48" i="19" s="1"/>
  <c r="BX53" i="19"/>
  <c r="BY53" i="19" s="1"/>
  <c r="BX40" i="19"/>
  <c r="BY40" i="19" s="1"/>
  <c r="BX81" i="19"/>
  <c r="BY81" i="19" s="1"/>
  <c r="BX67" i="19"/>
  <c r="BY67" i="19" s="1"/>
  <c r="BX103" i="19"/>
  <c r="BY103" i="19" s="1"/>
  <c r="BX79" i="19"/>
  <c r="BY79" i="19" s="1"/>
  <c r="BX115" i="19"/>
  <c r="BY115" i="19" s="1"/>
  <c r="BX34" i="19"/>
  <c r="BY34" i="19" s="1"/>
  <c r="BX63" i="19"/>
  <c r="BY63" i="19" s="1"/>
  <c r="BX32" i="19"/>
  <c r="BY32" i="19" s="1"/>
  <c r="BX59" i="19"/>
  <c r="BY59" i="19" s="1"/>
  <c r="BX110" i="19"/>
  <c r="BY110" i="19" s="1"/>
  <c r="BX111" i="19"/>
  <c r="BY111" i="19" s="1"/>
  <c r="BX80" i="19"/>
  <c r="BY80" i="19" s="1"/>
  <c r="BX98" i="19"/>
  <c r="BY98" i="19" s="1"/>
  <c r="BX118" i="19"/>
  <c r="BY118" i="19" s="1"/>
  <c r="BX75" i="19"/>
  <c r="BY75" i="19" s="1"/>
  <c r="BX85" i="19"/>
  <c r="BY85" i="19" s="1"/>
  <c r="BX68" i="19"/>
  <c r="BY68" i="19" s="1"/>
  <c r="BX109" i="19"/>
  <c r="BY109" i="19" s="1"/>
  <c r="BX105" i="19"/>
  <c r="BY105" i="19" s="1"/>
  <c r="BX58" i="19"/>
  <c r="BY58" i="19" s="1"/>
  <c r="BX43" i="19"/>
  <c r="BY43" i="19" s="1"/>
  <c r="BX101" i="19"/>
  <c r="BY101" i="19" s="1"/>
  <c r="BX51" i="19"/>
  <c r="BY51" i="19" s="1"/>
  <c r="BX42" i="19"/>
  <c r="BY42" i="19" s="1"/>
  <c r="BX113" i="19"/>
  <c r="BY113" i="19" s="1"/>
  <c r="BX102" i="19"/>
  <c r="BY102" i="19" s="1"/>
  <c r="BX62" i="19"/>
  <c r="BY62" i="19" s="1"/>
  <c r="BX50" i="19"/>
  <c r="BY50" i="19" s="1"/>
  <c r="BX41" i="19"/>
  <c r="BY41" i="19" s="1"/>
  <c r="BX116" i="19"/>
  <c r="BY116" i="19" s="1"/>
  <c r="BX26" i="19"/>
  <c r="BY26" i="19" s="1"/>
  <c r="BX35" i="19"/>
  <c r="BY35" i="19" s="1"/>
  <c r="BX96" i="19"/>
  <c r="BY96" i="19" s="1"/>
  <c r="BX122" i="19"/>
  <c r="BY122" i="19" s="1"/>
  <c r="BX83" i="19"/>
  <c r="BY83" i="19" s="1"/>
  <c r="BX74" i="19"/>
  <c r="BY74" i="19" s="1"/>
  <c r="BX33" i="19"/>
  <c r="BY33" i="19" s="1"/>
  <c r="BX28" i="19"/>
  <c r="BY28" i="19" s="1"/>
  <c r="BX108" i="19"/>
  <c r="BY108" i="19" s="1"/>
  <c r="BX38" i="19"/>
  <c r="BY38" i="19" s="1"/>
  <c r="BX73" i="19"/>
  <c r="BY73" i="19" s="1"/>
  <c r="BX64" i="19"/>
  <c r="BY64" i="19" s="1"/>
  <c r="BX78" i="19"/>
  <c r="BY78" i="19" s="1"/>
  <c r="BX88" i="19"/>
  <c r="BY88" i="19" s="1"/>
  <c r="BX30" i="19"/>
  <c r="BY30" i="19" s="1"/>
  <c r="BX97" i="19"/>
  <c r="BY97" i="19" s="1"/>
  <c r="BX55" i="19"/>
  <c r="BY55" i="19" s="1"/>
  <c r="BX106" i="19"/>
  <c r="BY106" i="19" s="1"/>
  <c r="BX57" i="19"/>
  <c r="BY57" i="19" s="1"/>
  <c r="BX27" i="19"/>
  <c r="BY27" i="19" s="1"/>
  <c r="BX90" i="19"/>
  <c r="BY90" i="19" s="1"/>
  <c r="BX124" i="19"/>
  <c r="BY124" i="19" s="1"/>
  <c r="BX121" i="19"/>
  <c r="BY121" i="19" s="1"/>
  <c r="BX44" i="19"/>
  <c r="BY44" i="19" s="1"/>
  <c r="BX89" i="19"/>
  <c r="BY89" i="19" s="1"/>
  <c r="BX92" i="19"/>
  <c r="BY92" i="19" s="1"/>
  <c r="BX54" i="19"/>
  <c r="BY54" i="19" s="1"/>
  <c r="BX72" i="19"/>
  <c r="BY72" i="19" s="1"/>
  <c r="BX39" i="19"/>
  <c r="BY39" i="19" s="1"/>
  <c r="BX37" i="19"/>
  <c r="BY37" i="19" s="1"/>
  <c r="BX69" i="19"/>
  <c r="BY69" i="19" s="1"/>
  <c r="BX104" i="19"/>
  <c r="BY104" i="19" s="1"/>
  <c r="BX60" i="19"/>
  <c r="BY60" i="19" s="1"/>
  <c r="BX95" i="19"/>
  <c r="BY95" i="19" s="1"/>
  <c r="BX49" i="19"/>
  <c r="BY49" i="19" s="1"/>
  <c r="BX123" i="19"/>
  <c r="BY123" i="19" s="1"/>
  <c r="BX56" i="19"/>
  <c r="BY56" i="19" s="1"/>
  <c r="BX31" i="19"/>
  <c r="BY31" i="19" s="1"/>
  <c r="BX93" i="19"/>
  <c r="BY93" i="19" s="1"/>
  <c r="BX125" i="19"/>
  <c r="BY125" i="19" s="1"/>
  <c r="BX91" i="19"/>
  <c r="BY91" i="19" s="1"/>
  <c r="BX52" i="19"/>
  <c r="BY52" i="19" s="1"/>
  <c r="BX71" i="19"/>
  <c r="BY71" i="19" s="1"/>
  <c r="BX77" i="19"/>
  <c r="BY77" i="19" s="1"/>
  <c r="BX86" i="19"/>
  <c r="BY86" i="19" s="1"/>
  <c r="BX84" i="19"/>
  <c r="BY84" i="19" s="1"/>
  <c r="BX65" i="19"/>
  <c r="BY65" i="19" s="1"/>
  <c r="I148" i="21"/>
  <c r="O148" i="21"/>
  <c r="O154" i="21" s="1"/>
  <c r="G158" i="21"/>
  <c r="I110" i="16" s="1"/>
  <c r="I114" i="16" s="1"/>
  <c r="K148" i="21"/>
  <c r="AW115" i="24"/>
  <c r="Q158" i="21"/>
  <c r="AH33" i="24"/>
  <c r="R108" i="17" s="1"/>
  <c r="R109" i="17" s="1"/>
  <c r="K114" i="16"/>
  <c r="AZ25" i="19"/>
  <c r="AZ90" i="19" s="1"/>
  <c r="BD90" i="19" s="1"/>
  <c r="AZ25" i="22"/>
  <c r="AZ73" i="22" s="1"/>
  <c r="BD73" i="22" s="1"/>
  <c r="E154" i="21"/>
  <c r="AW55" i="22"/>
  <c r="I97" i="16"/>
  <c r="AB28" i="16" s="1"/>
  <c r="AB32" i="16" s="1"/>
  <c r="M148" i="21"/>
  <c r="M154" i="21" s="1"/>
  <c r="I88" i="16"/>
  <c r="I89" i="16" s="1"/>
  <c r="AU75" i="22"/>
  <c r="AW75" i="22" s="1"/>
  <c r="AU22" i="22"/>
  <c r="AU125" i="22"/>
  <c r="M88" i="16"/>
  <c r="M89" i="16" s="1"/>
  <c r="AH32" i="25"/>
  <c r="AH35" i="25" s="1"/>
  <c r="AH44" i="25" s="1"/>
  <c r="AF46" i="25" s="1"/>
  <c r="BK12" i="22"/>
  <c r="I58" i="16" s="1"/>
  <c r="BE71" i="24"/>
  <c r="BF71" i="24" s="1"/>
  <c r="BE28" i="24"/>
  <c r="BF28" i="24" s="1"/>
  <c r="BE45" i="24"/>
  <c r="BF45" i="24" s="1"/>
  <c r="BE84" i="24"/>
  <c r="BF84" i="24" s="1"/>
  <c r="BE100" i="24"/>
  <c r="BF100" i="24" s="1"/>
  <c r="BE46" i="24"/>
  <c r="BF46" i="24" s="1"/>
  <c r="BE115" i="24"/>
  <c r="BF115" i="24" s="1"/>
  <c r="BE97" i="24"/>
  <c r="BF97" i="24" s="1"/>
  <c r="BE64" i="24"/>
  <c r="BF64" i="24" s="1"/>
  <c r="BE33" i="24"/>
  <c r="BF33" i="24" s="1"/>
  <c r="BE54" i="24"/>
  <c r="BF54" i="24" s="1"/>
  <c r="BE82" i="24"/>
  <c r="BF82" i="24" s="1"/>
  <c r="BE52" i="24"/>
  <c r="BF52" i="24" s="1"/>
  <c r="BE44" i="24"/>
  <c r="BF44" i="24" s="1"/>
  <c r="BE58" i="24"/>
  <c r="BF58" i="24" s="1"/>
  <c r="BE120" i="24"/>
  <c r="BF120" i="24" s="1"/>
  <c r="BE49" i="24"/>
  <c r="BF49" i="24" s="1"/>
  <c r="BE65" i="24"/>
  <c r="BF65" i="24" s="1"/>
  <c r="BE55" i="24"/>
  <c r="BF55" i="24" s="1"/>
  <c r="BE80" i="24"/>
  <c r="BF80" i="24" s="1"/>
  <c r="BE95" i="24"/>
  <c r="BF95" i="24" s="1"/>
  <c r="BE91" i="24"/>
  <c r="BF91" i="24" s="1"/>
  <c r="BE77" i="24"/>
  <c r="BF77" i="24" s="1"/>
  <c r="BE47" i="24"/>
  <c r="BF47" i="24" s="1"/>
  <c r="BE26" i="24"/>
  <c r="BF26" i="24" s="1"/>
  <c r="BE53" i="24"/>
  <c r="BF53" i="24" s="1"/>
  <c r="BE114" i="24"/>
  <c r="BF114" i="24" s="1"/>
  <c r="BE96" i="24"/>
  <c r="BF96" i="24" s="1"/>
  <c r="BE112" i="24"/>
  <c r="BF112" i="24" s="1"/>
  <c r="BE83" i="24"/>
  <c r="BF83" i="24" s="1"/>
  <c r="BE67" i="24"/>
  <c r="BF67" i="24" s="1"/>
  <c r="BE51" i="24"/>
  <c r="BF51" i="24" s="1"/>
  <c r="BE60" i="24"/>
  <c r="BF60" i="24" s="1"/>
  <c r="BE87" i="24"/>
  <c r="BF87" i="24" s="1"/>
  <c r="BE35" i="24"/>
  <c r="BF35" i="24" s="1"/>
  <c r="BE69" i="24"/>
  <c r="BF69" i="24" s="1"/>
  <c r="BE73" i="24"/>
  <c r="BF73" i="24" s="1"/>
  <c r="BE121" i="24"/>
  <c r="BF121" i="24" s="1"/>
  <c r="BE106" i="24"/>
  <c r="BF106" i="24" s="1"/>
  <c r="BE30" i="24"/>
  <c r="BF30" i="24" s="1"/>
  <c r="BE116" i="24"/>
  <c r="BF116" i="24" s="1"/>
  <c r="BE48" i="24"/>
  <c r="BF48" i="24" s="1"/>
  <c r="BE101" i="24"/>
  <c r="BF101" i="24" s="1"/>
  <c r="BE104" i="24"/>
  <c r="BF104" i="24" s="1"/>
  <c r="BE27" i="24"/>
  <c r="BF27" i="24" s="1"/>
  <c r="BE66" i="24"/>
  <c r="BF66" i="24" s="1"/>
  <c r="BE85" i="24"/>
  <c r="BF85" i="24" s="1"/>
  <c r="BE89" i="24"/>
  <c r="BF89" i="24" s="1"/>
  <c r="BE76" i="24"/>
  <c r="BF76" i="24" s="1"/>
  <c r="BE86" i="24"/>
  <c r="BF86" i="24" s="1"/>
  <c r="BE123" i="24"/>
  <c r="BF123" i="24" s="1"/>
  <c r="BE31" i="24"/>
  <c r="BF31" i="24" s="1"/>
  <c r="BE107" i="24"/>
  <c r="BF107" i="24" s="1"/>
  <c r="BE59" i="24"/>
  <c r="BF59" i="24" s="1"/>
  <c r="BE75" i="24"/>
  <c r="BF75" i="24" s="1"/>
  <c r="BE98" i="24"/>
  <c r="BF98" i="24" s="1"/>
  <c r="BE103" i="24"/>
  <c r="BF103" i="24" s="1"/>
  <c r="BE118" i="24"/>
  <c r="BF118" i="24" s="1"/>
  <c r="BE125" i="24"/>
  <c r="BF125" i="24" s="1"/>
  <c r="BE99" i="24"/>
  <c r="BF99" i="24" s="1"/>
  <c r="BE88" i="24"/>
  <c r="BF88" i="24" s="1"/>
  <c r="BE105" i="24"/>
  <c r="BF105" i="24" s="1"/>
  <c r="BE81" i="24"/>
  <c r="BF81" i="24" s="1"/>
  <c r="BE108" i="24"/>
  <c r="BF108" i="24" s="1"/>
  <c r="BE63" i="24"/>
  <c r="BF63" i="24" s="1"/>
  <c r="BE122" i="24"/>
  <c r="BF122" i="24" s="1"/>
  <c r="BE117" i="24"/>
  <c r="BF117" i="24" s="1"/>
  <c r="BE70" i="24"/>
  <c r="BF70" i="24" s="1"/>
  <c r="BE102" i="24"/>
  <c r="BF102" i="24" s="1"/>
  <c r="BE93" i="24"/>
  <c r="BF93" i="24" s="1"/>
  <c r="BE109" i="24"/>
  <c r="BF109" i="24" s="1"/>
  <c r="BE36" i="24"/>
  <c r="BF36" i="24" s="1"/>
  <c r="BE79" i="24"/>
  <c r="BF79" i="24" s="1"/>
  <c r="BE34" i="24"/>
  <c r="BF34" i="24" s="1"/>
  <c r="BE62" i="24"/>
  <c r="BF62" i="24" s="1"/>
  <c r="BE40" i="24"/>
  <c r="BF40" i="24" s="1"/>
  <c r="BE110" i="24"/>
  <c r="BF110" i="24" s="1"/>
  <c r="BE61" i="24"/>
  <c r="BF61" i="24" s="1"/>
  <c r="BE92" i="24"/>
  <c r="BF92" i="24" s="1"/>
  <c r="BE41" i="24"/>
  <c r="BF41" i="24" s="1"/>
  <c r="BE50" i="24"/>
  <c r="BF50" i="24" s="1"/>
  <c r="BE72" i="24"/>
  <c r="BF72" i="24" s="1"/>
  <c r="BE68" i="24"/>
  <c r="BF68" i="24" s="1"/>
  <c r="BE39" i="24"/>
  <c r="BF39" i="24" s="1"/>
  <c r="BE113" i="24"/>
  <c r="BF113" i="24" s="1"/>
  <c r="BE42" i="24"/>
  <c r="BF42" i="24" s="1"/>
  <c r="BE124" i="24"/>
  <c r="BF124" i="24" s="1"/>
  <c r="BE32" i="24"/>
  <c r="BF32" i="24" s="1"/>
  <c r="BE90" i="24"/>
  <c r="BF90" i="24" s="1"/>
  <c r="BE119" i="24"/>
  <c r="BF119" i="24" s="1"/>
  <c r="BE111" i="24"/>
  <c r="BF111" i="24" s="1"/>
  <c r="BE74" i="24"/>
  <c r="BF74" i="24" s="1"/>
  <c r="BE43" i="24"/>
  <c r="BF43" i="24" s="1"/>
  <c r="BE37" i="24"/>
  <c r="BF37" i="24" s="1"/>
  <c r="BE38" i="24"/>
  <c r="BF38" i="24" s="1"/>
  <c r="BE94" i="24"/>
  <c r="BF94" i="24" s="1"/>
  <c r="BE29" i="24"/>
  <c r="BF29" i="24" s="1"/>
  <c r="BE78" i="24"/>
  <c r="BF78" i="24" s="1"/>
  <c r="BE56" i="24"/>
  <c r="BF56" i="24" s="1"/>
  <c r="BE57" i="24"/>
  <c r="BF57" i="24" s="1"/>
  <c r="AF33" i="25"/>
  <c r="AF43" i="25" s="1"/>
  <c r="AH35" i="22"/>
  <c r="AH44" i="22" s="1"/>
  <c r="AF33" i="22"/>
  <c r="AF43" i="22" s="1"/>
  <c r="AF35" i="22"/>
  <c r="AF44" i="22" s="1"/>
  <c r="AF45" i="22" s="1"/>
  <c r="K97" i="16"/>
  <c r="AH35" i="19"/>
  <c r="AH44" i="19" s="1"/>
  <c r="AF46" i="19" s="1"/>
  <c r="BK12" i="19"/>
  <c r="G58" i="16" s="1"/>
  <c r="BK8" i="25"/>
  <c r="BK14" i="25" s="1"/>
  <c r="M60" i="16" s="1"/>
  <c r="M108" i="17"/>
  <c r="M109" i="17" s="1"/>
  <c r="K118" i="16"/>
  <c r="BK12" i="25"/>
  <c r="M58" i="16" s="1"/>
  <c r="AF33" i="19"/>
  <c r="AF43" i="19" s="1"/>
  <c r="AF35" i="19"/>
  <c r="AF44" i="19" s="1"/>
  <c r="AF45" i="19" s="1"/>
  <c r="AH44" i="24"/>
  <c r="AF46" i="24" s="1"/>
  <c r="AP25" i="24"/>
  <c r="G99" i="16"/>
  <c r="H108" i="17"/>
  <c r="H109" i="17" s="1"/>
  <c r="AZ25" i="24" a="1"/>
  <c r="AZ25" i="25" a="1"/>
  <c r="L119" i="16" l="1"/>
  <c r="BL13" i="22"/>
  <c r="J59" i="16" s="1"/>
  <c r="BK8" i="22"/>
  <c r="BK14" i="22" s="1"/>
  <c r="I60" i="16" s="1"/>
  <c r="BK8" i="19"/>
  <c r="BK14" i="19" s="1"/>
  <c r="G60" i="16" s="1"/>
  <c r="AF47" i="25"/>
  <c r="BZ26" i="22"/>
  <c r="BZ27" i="22" s="1"/>
  <c r="BZ28" i="22" s="1"/>
  <c r="BZ29" i="22" s="1"/>
  <c r="BZ30" i="22" s="1"/>
  <c r="BZ31" i="22" s="1"/>
  <c r="BZ32" i="22" s="1"/>
  <c r="BZ33" i="22" s="1"/>
  <c r="BZ34" i="22" s="1"/>
  <c r="BZ35" i="22" s="1"/>
  <c r="BZ36" i="22" s="1"/>
  <c r="BZ37" i="22" s="1"/>
  <c r="BZ38" i="22" s="1"/>
  <c r="BZ39" i="22" s="1"/>
  <c r="BZ40" i="22" s="1"/>
  <c r="BZ41" i="22" s="1"/>
  <c r="BZ42" i="22" s="1"/>
  <c r="BZ43" i="22" s="1"/>
  <c r="BZ44" i="22" s="1"/>
  <c r="BI85" i="24"/>
  <c r="BP85" i="24" s="1"/>
  <c r="AF47" i="24"/>
  <c r="BI105" i="24"/>
  <c r="BP105" i="24" s="1"/>
  <c r="BI45" i="25"/>
  <c r="BP45" i="25" s="1"/>
  <c r="G98" i="16"/>
  <c r="G100" i="16" s="1"/>
  <c r="BX22" i="22"/>
  <c r="BY22" i="22" s="1"/>
  <c r="BL9" i="22" s="1"/>
  <c r="BL15" i="22" s="1"/>
  <c r="J61" i="16" s="1"/>
  <c r="AF46" i="22"/>
  <c r="AF47" i="22" s="1"/>
  <c r="BP125" i="22"/>
  <c r="BL4" i="22" s="1"/>
  <c r="BL11" i="22" s="1"/>
  <c r="J57" i="16" s="1"/>
  <c r="AA22" i="16"/>
  <c r="K98" i="16"/>
  <c r="BI105" i="25"/>
  <c r="BP105" i="25" s="1"/>
  <c r="BI22" i="25"/>
  <c r="BX22" i="25" s="1"/>
  <c r="BY22" i="25" s="1"/>
  <c r="BL9" i="25" s="1"/>
  <c r="BL15" i="25" s="1"/>
  <c r="N61" i="16" s="1"/>
  <c r="BL8" i="22"/>
  <c r="BL14" i="22" s="1"/>
  <c r="J60" i="16" s="1"/>
  <c r="BI125" i="25"/>
  <c r="BP125" i="25" s="1"/>
  <c r="M98" i="16"/>
  <c r="BI22" i="24"/>
  <c r="BX22" i="24" s="1"/>
  <c r="BY22" i="24" s="1"/>
  <c r="BL9" i="24" s="1"/>
  <c r="BL15" i="24" s="1"/>
  <c r="L61" i="16" s="1"/>
  <c r="BI45" i="24"/>
  <c r="BP45" i="24" s="1"/>
  <c r="BI125" i="24"/>
  <c r="BP125" i="24" s="1"/>
  <c r="BI65" i="25"/>
  <c r="BP65" i="25" s="1"/>
  <c r="BZ25" i="25"/>
  <c r="BZ26" i="25" s="1"/>
  <c r="BZ27" i="25" s="1"/>
  <c r="BZ28" i="25" s="1"/>
  <c r="BZ29" i="25" s="1"/>
  <c r="BZ30" i="25" s="1"/>
  <c r="BZ31" i="25" s="1"/>
  <c r="BZ32" i="25" s="1"/>
  <c r="BZ33" i="25" s="1"/>
  <c r="BZ34" i="25" s="1"/>
  <c r="BZ35" i="25" s="1"/>
  <c r="BZ36" i="25" s="1"/>
  <c r="BZ37" i="25" s="1"/>
  <c r="BZ38" i="25" s="1"/>
  <c r="BZ39" i="25" s="1"/>
  <c r="BZ40" i="25" s="1"/>
  <c r="BZ41" i="25" s="1"/>
  <c r="BZ42" i="25" s="1"/>
  <c r="BZ43" i="25" s="1"/>
  <c r="BZ44" i="25" s="1"/>
  <c r="BI22" i="19"/>
  <c r="BX22" i="19" s="1"/>
  <c r="BY22" i="19" s="1"/>
  <c r="BL9" i="19" s="1"/>
  <c r="BL15" i="19" s="1"/>
  <c r="H61" i="16" s="1"/>
  <c r="AD22" i="16"/>
  <c r="BI65" i="24"/>
  <c r="BP65" i="24" s="1"/>
  <c r="BI125" i="19"/>
  <c r="BP125" i="19" s="1"/>
  <c r="BI65" i="19"/>
  <c r="BP65" i="19" s="1"/>
  <c r="BZ25" i="19"/>
  <c r="BZ26" i="19" s="1"/>
  <c r="BZ27" i="19" s="1"/>
  <c r="BZ28" i="19" s="1"/>
  <c r="BZ29" i="19" s="1"/>
  <c r="BZ30" i="19" s="1"/>
  <c r="BZ31" i="19" s="1"/>
  <c r="BZ32" i="19" s="1"/>
  <c r="BZ33" i="19" s="1"/>
  <c r="BZ34" i="19" s="1"/>
  <c r="BZ35" i="19" s="1"/>
  <c r="BZ36" i="19" s="1"/>
  <c r="BZ37" i="19" s="1"/>
  <c r="BZ38" i="19" s="1"/>
  <c r="BZ39" i="19" s="1"/>
  <c r="BZ40" i="19" s="1"/>
  <c r="BZ41" i="19" s="1"/>
  <c r="BZ42" i="19" s="1"/>
  <c r="BZ43" i="19" s="1"/>
  <c r="BZ44" i="19" s="1"/>
  <c r="BI45" i="19"/>
  <c r="BP45" i="19" s="1"/>
  <c r="BI85" i="19"/>
  <c r="BP85" i="19" s="1"/>
  <c r="AB22" i="16"/>
  <c r="BL8" i="25"/>
  <c r="BL14" i="25" s="1"/>
  <c r="N60" i="16" s="1"/>
  <c r="AD24" i="16" s="1"/>
  <c r="AC17" i="16"/>
  <c r="BL8" i="24"/>
  <c r="BL14" i="24" s="1"/>
  <c r="L60" i="16" s="1"/>
  <c r="BZ26" i="24"/>
  <c r="BZ27" i="24" s="1"/>
  <c r="BZ28" i="24" s="1"/>
  <c r="BZ29" i="24" s="1"/>
  <c r="BZ30" i="24" s="1"/>
  <c r="BZ31" i="24" s="1"/>
  <c r="BZ32" i="24" s="1"/>
  <c r="BZ33" i="24" s="1"/>
  <c r="BZ34" i="24" s="1"/>
  <c r="BZ35" i="24" s="1"/>
  <c r="BZ36" i="24" s="1"/>
  <c r="BZ37" i="24" s="1"/>
  <c r="BZ38" i="24" s="1"/>
  <c r="BZ39" i="24" s="1"/>
  <c r="BZ40" i="24" s="1"/>
  <c r="BZ41" i="24" s="1"/>
  <c r="BZ42" i="24" s="1"/>
  <c r="BZ43" i="24" s="1"/>
  <c r="BZ44" i="24" s="1"/>
  <c r="BL8" i="19"/>
  <c r="BL14" i="19" s="1"/>
  <c r="H60" i="16" s="1"/>
  <c r="K99" i="16"/>
  <c r="AZ25" i="24"/>
  <c r="AZ113" i="24" s="1"/>
  <c r="BD113" i="24" s="1"/>
  <c r="I154" i="21"/>
  <c r="AZ39" i="19"/>
  <c r="BD39" i="19" s="1"/>
  <c r="AZ88" i="19"/>
  <c r="BD88" i="19" s="1"/>
  <c r="AZ60" i="19"/>
  <c r="BD60" i="19" s="1"/>
  <c r="AZ98" i="19"/>
  <c r="BD98" i="19" s="1"/>
  <c r="AZ86" i="19"/>
  <c r="BD86" i="19" s="1"/>
  <c r="AZ95" i="19"/>
  <c r="BD95" i="19" s="1"/>
  <c r="AZ48" i="19"/>
  <c r="BD48" i="19" s="1"/>
  <c r="AZ25" i="25"/>
  <c r="AZ75" i="25" s="1"/>
  <c r="BD75" i="25" s="1"/>
  <c r="K154" i="21"/>
  <c r="AZ118" i="19"/>
  <c r="BD118" i="19" s="1"/>
  <c r="AZ125" i="19"/>
  <c r="BD125" i="19" s="1"/>
  <c r="AZ96" i="19"/>
  <c r="BD96" i="19" s="1"/>
  <c r="AZ112" i="19"/>
  <c r="BD112" i="19" s="1"/>
  <c r="AZ89" i="19"/>
  <c r="BD89" i="19" s="1"/>
  <c r="AZ113" i="19"/>
  <c r="BD113" i="19" s="1"/>
  <c r="AZ33" i="19"/>
  <c r="BD33" i="19" s="1"/>
  <c r="AZ59" i="19"/>
  <c r="BD59" i="19" s="1"/>
  <c r="AZ110" i="19"/>
  <c r="BD110" i="19" s="1"/>
  <c r="AZ123" i="19"/>
  <c r="BD123" i="19" s="1"/>
  <c r="AZ49" i="19"/>
  <c r="BD49" i="19" s="1"/>
  <c r="I98" i="16"/>
  <c r="I100" i="16" s="1"/>
  <c r="AZ93" i="19"/>
  <c r="BD93" i="19" s="1"/>
  <c r="AZ64" i="19"/>
  <c r="BD64" i="19" s="1"/>
  <c r="AZ30" i="19"/>
  <c r="BD30" i="19" s="1"/>
  <c r="AZ111" i="19"/>
  <c r="BD111" i="19" s="1"/>
  <c r="AZ114" i="19"/>
  <c r="BD114" i="19" s="1"/>
  <c r="AZ73" i="19"/>
  <c r="BD73" i="19" s="1"/>
  <c r="AZ61" i="19"/>
  <c r="BD61" i="19" s="1"/>
  <c r="AZ117" i="19"/>
  <c r="BD117" i="19" s="1"/>
  <c r="AZ87" i="19"/>
  <c r="BD87" i="19" s="1"/>
  <c r="AZ38" i="19"/>
  <c r="BD38" i="19" s="1"/>
  <c r="AZ29" i="19"/>
  <c r="BD29" i="19" s="1"/>
  <c r="AZ99" i="19"/>
  <c r="BD99" i="19" s="1"/>
  <c r="AZ32" i="19"/>
  <c r="BD32" i="19" s="1"/>
  <c r="AZ120" i="19"/>
  <c r="BD120" i="19" s="1"/>
  <c r="AZ106" i="22"/>
  <c r="BD106" i="22" s="1"/>
  <c r="AZ116" i="19"/>
  <c r="BD116" i="19" s="1"/>
  <c r="AZ92" i="19"/>
  <c r="BD92" i="19" s="1"/>
  <c r="AZ35" i="19"/>
  <c r="BD35" i="19" s="1"/>
  <c r="AZ107" i="19"/>
  <c r="BD107" i="19" s="1"/>
  <c r="AZ47" i="19"/>
  <c r="BD47" i="19" s="1"/>
  <c r="AZ63" i="19"/>
  <c r="BD63" i="19" s="1"/>
  <c r="AZ94" i="19"/>
  <c r="BD94" i="19" s="1"/>
  <c r="AZ74" i="19"/>
  <c r="BD74" i="19" s="1"/>
  <c r="AZ36" i="19"/>
  <c r="BD36" i="19" s="1"/>
  <c r="AZ83" i="19"/>
  <c r="BD83" i="19" s="1"/>
  <c r="AZ66" i="19"/>
  <c r="BD66" i="19" s="1"/>
  <c r="AZ79" i="19"/>
  <c r="BD79" i="19" s="1"/>
  <c r="AZ45" i="19"/>
  <c r="BD45" i="19" s="1"/>
  <c r="AZ81" i="19"/>
  <c r="BD81" i="19" s="1"/>
  <c r="AZ62" i="19"/>
  <c r="BD62" i="19" s="1"/>
  <c r="AZ46" i="19"/>
  <c r="BD46" i="19" s="1"/>
  <c r="AZ101" i="19"/>
  <c r="BD101" i="19" s="1"/>
  <c r="AZ103" i="19"/>
  <c r="BD103" i="19" s="1"/>
  <c r="AZ53" i="19"/>
  <c r="BD53" i="19" s="1"/>
  <c r="AZ27" i="19"/>
  <c r="BD27" i="19" s="1"/>
  <c r="AZ75" i="19"/>
  <c r="BD75" i="19" s="1"/>
  <c r="AZ80" i="19"/>
  <c r="BD80" i="19" s="1"/>
  <c r="AZ35" i="22"/>
  <c r="BD35" i="22" s="1"/>
  <c r="AZ28" i="19"/>
  <c r="BD28" i="19" s="1"/>
  <c r="AZ124" i="19"/>
  <c r="BD124" i="19" s="1"/>
  <c r="AZ31" i="19"/>
  <c r="BD31" i="19" s="1"/>
  <c r="AZ122" i="19"/>
  <c r="BD122" i="19" s="1"/>
  <c r="AZ50" i="19"/>
  <c r="BD50" i="19" s="1"/>
  <c r="AZ48" i="22"/>
  <c r="BD48" i="22" s="1"/>
  <c r="AZ40" i="22"/>
  <c r="BD40" i="22" s="1"/>
  <c r="AZ110" i="22"/>
  <c r="BD110" i="22" s="1"/>
  <c r="AZ125" i="22"/>
  <c r="BD125" i="22" s="1"/>
  <c r="AZ65" i="22"/>
  <c r="BD65" i="22" s="1"/>
  <c r="AZ31" i="22"/>
  <c r="BD31" i="22" s="1"/>
  <c r="AZ79" i="22"/>
  <c r="BD79" i="22" s="1"/>
  <c r="AZ38" i="22"/>
  <c r="BD38" i="22" s="1"/>
  <c r="AZ102" i="22"/>
  <c r="BD102" i="22" s="1"/>
  <c r="AZ67" i="19"/>
  <c r="BD67" i="19" s="1"/>
  <c r="AZ85" i="19"/>
  <c r="BD85" i="19" s="1"/>
  <c r="AZ55" i="19"/>
  <c r="BD55" i="19" s="1"/>
  <c r="AZ82" i="19"/>
  <c r="BD82" i="19" s="1"/>
  <c r="AZ97" i="19"/>
  <c r="BD97" i="19" s="1"/>
  <c r="AZ52" i="19"/>
  <c r="BD52" i="19" s="1"/>
  <c r="AZ68" i="19"/>
  <c r="BD68" i="19" s="1"/>
  <c r="AZ102" i="19"/>
  <c r="BD102" i="19" s="1"/>
  <c r="AZ123" i="22"/>
  <c r="BD123" i="22" s="1"/>
  <c r="AZ91" i="22"/>
  <c r="BD91" i="22" s="1"/>
  <c r="AZ66" i="22"/>
  <c r="BD66" i="22" s="1"/>
  <c r="AZ101" i="22"/>
  <c r="BD101" i="22" s="1"/>
  <c r="AZ116" i="22"/>
  <c r="BD116" i="22" s="1"/>
  <c r="AZ103" i="22"/>
  <c r="BD103" i="22" s="1"/>
  <c r="AZ50" i="22"/>
  <c r="BD50" i="22" s="1"/>
  <c r="AZ88" i="22"/>
  <c r="BD88" i="22" s="1"/>
  <c r="AZ82" i="22"/>
  <c r="BD82" i="22" s="1"/>
  <c r="AZ78" i="22"/>
  <c r="BD78" i="22" s="1"/>
  <c r="AZ84" i="22"/>
  <c r="BD84" i="22" s="1"/>
  <c r="AZ60" i="22"/>
  <c r="BD60" i="22" s="1"/>
  <c r="AZ85" i="22"/>
  <c r="BD85" i="22" s="1"/>
  <c r="AZ74" i="22"/>
  <c r="BD74" i="22" s="1"/>
  <c r="AZ93" i="22"/>
  <c r="BD93" i="22" s="1"/>
  <c r="AZ41" i="19"/>
  <c r="BD41" i="19" s="1"/>
  <c r="AZ58" i="19"/>
  <c r="BD58" i="19" s="1"/>
  <c r="AZ69" i="19"/>
  <c r="BD69" i="19" s="1"/>
  <c r="AZ43" i="19"/>
  <c r="BD43" i="19" s="1"/>
  <c r="AZ121" i="19"/>
  <c r="BD121" i="19" s="1"/>
  <c r="AZ37" i="19"/>
  <c r="BD37" i="19" s="1"/>
  <c r="AZ77" i="19"/>
  <c r="BD77" i="19" s="1"/>
  <c r="AZ70" i="22"/>
  <c r="BD70" i="22" s="1"/>
  <c r="AZ80" i="22"/>
  <c r="BD80" i="22" s="1"/>
  <c r="AZ113" i="22"/>
  <c r="BD113" i="22" s="1"/>
  <c r="AZ26" i="22"/>
  <c r="BD26" i="22" s="1"/>
  <c r="AZ49" i="22"/>
  <c r="BD49" i="22" s="1"/>
  <c r="AZ55" i="22"/>
  <c r="BD55" i="22" s="1"/>
  <c r="AZ112" i="22"/>
  <c r="BD112" i="22" s="1"/>
  <c r="AZ71" i="22"/>
  <c r="BD71" i="22" s="1"/>
  <c r="AZ87" i="22"/>
  <c r="BD87" i="22" s="1"/>
  <c r="AZ75" i="22"/>
  <c r="BD75" i="22" s="1"/>
  <c r="AZ97" i="22"/>
  <c r="BD97" i="22" s="1"/>
  <c r="AZ64" i="22"/>
  <c r="BD64" i="22" s="1"/>
  <c r="AZ117" i="22"/>
  <c r="BD117" i="22" s="1"/>
  <c r="AZ36" i="22"/>
  <c r="BD36" i="22" s="1"/>
  <c r="AZ121" i="22"/>
  <c r="BD121" i="22" s="1"/>
  <c r="AZ96" i="22"/>
  <c r="BD96" i="22" s="1"/>
  <c r="AZ43" i="22"/>
  <c r="BD43" i="22" s="1"/>
  <c r="AZ105" i="19"/>
  <c r="BD105" i="19" s="1"/>
  <c r="AZ71" i="19"/>
  <c r="BD71" i="19" s="1"/>
  <c r="AZ91" i="19"/>
  <c r="BD91" i="19" s="1"/>
  <c r="AZ51" i="19"/>
  <c r="BD51" i="19" s="1"/>
  <c r="AZ100" i="19"/>
  <c r="BD100" i="19" s="1"/>
  <c r="AZ65" i="19"/>
  <c r="BD65" i="19" s="1"/>
  <c r="AZ57" i="19"/>
  <c r="BD57" i="19" s="1"/>
  <c r="AZ84" i="19"/>
  <c r="BD84" i="19" s="1"/>
  <c r="AZ57" i="22"/>
  <c r="BD57" i="22" s="1"/>
  <c r="AZ92" i="22"/>
  <c r="BD92" i="22" s="1"/>
  <c r="AZ53" i="22"/>
  <c r="BD53" i="22" s="1"/>
  <c r="AZ29" i="22"/>
  <c r="BD29" i="22" s="1"/>
  <c r="AZ42" i="22"/>
  <c r="BD42" i="22" s="1"/>
  <c r="AZ37" i="22"/>
  <c r="BD37" i="22" s="1"/>
  <c r="AZ72" i="22"/>
  <c r="BD72" i="22" s="1"/>
  <c r="AZ83" i="22"/>
  <c r="BD83" i="22" s="1"/>
  <c r="AZ41" i="22"/>
  <c r="BD41" i="22" s="1"/>
  <c r="AZ94" i="22"/>
  <c r="BD94" i="22" s="1"/>
  <c r="AZ30" i="22"/>
  <c r="BD30" i="22" s="1"/>
  <c r="AZ104" i="22"/>
  <c r="BD104" i="22" s="1"/>
  <c r="AZ51" i="22"/>
  <c r="BD51" i="22" s="1"/>
  <c r="AZ59" i="22"/>
  <c r="BD59" i="22" s="1"/>
  <c r="AZ33" i="22"/>
  <c r="BD33" i="22" s="1"/>
  <c r="AZ39" i="22"/>
  <c r="BD39" i="22" s="1"/>
  <c r="AZ81" i="22"/>
  <c r="BD81" i="22" s="1"/>
  <c r="AZ44" i="22"/>
  <c r="BD44" i="22" s="1"/>
  <c r="AZ58" i="22"/>
  <c r="BD58" i="22" s="1"/>
  <c r="AZ115" i="22"/>
  <c r="BD115" i="22" s="1"/>
  <c r="AZ95" i="22"/>
  <c r="BD95" i="22" s="1"/>
  <c r="AZ114" i="22"/>
  <c r="BD114" i="22" s="1"/>
  <c r="AZ98" i="22"/>
  <c r="BD98" i="22" s="1"/>
  <c r="AZ61" i="22"/>
  <c r="BD61" i="22" s="1"/>
  <c r="AZ28" i="22"/>
  <c r="BD28" i="22" s="1"/>
  <c r="AZ63" i="22"/>
  <c r="BD63" i="22" s="1"/>
  <c r="AZ122" i="22"/>
  <c r="BD122" i="22" s="1"/>
  <c r="AZ46" i="22"/>
  <c r="BD46" i="22" s="1"/>
  <c r="AZ77" i="22"/>
  <c r="BD77" i="22" s="1"/>
  <c r="AZ109" i="22"/>
  <c r="BD109" i="22" s="1"/>
  <c r="AZ32" i="22"/>
  <c r="BD32" i="22" s="1"/>
  <c r="AZ62" i="22"/>
  <c r="BD62" i="22" s="1"/>
  <c r="AZ108" i="19"/>
  <c r="BD108" i="19" s="1"/>
  <c r="AZ106" i="19"/>
  <c r="BD106" i="19" s="1"/>
  <c r="AZ26" i="19"/>
  <c r="BD26" i="19" s="1"/>
  <c r="AZ109" i="19"/>
  <c r="BD109" i="19" s="1"/>
  <c r="AZ56" i="19"/>
  <c r="BD56" i="19" s="1"/>
  <c r="AZ78" i="19"/>
  <c r="BD78" i="19" s="1"/>
  <c r="AZ76" i="19"/>
  <c r="BD76" i="19" s="1"/>
  <c r="AZ119" i="19"/>
  <c r="BD119" i="19" s="1"/>
  <c r="AZ42" i="19"/>
  <c r="BD42" i="19" s="1"/>
  <c r="AZ118" i="22"/>
  <c r="BD118" i="22" s="1"/>
  <c r="AZ27" i="22"/>
  <c r="BD27" i="22" s="1"/>
  <c r="AZ68" i="22"/>
  <c r="BD68" i="22" s="1"/>
  <c r="AZ52" i="22"/>
  <c r="BD52" i="22" s="1"/>
  <c r="AZ54" i="22"/>
  <c r="BD54" i="22" s="1"/>
  <c r="AZ111" i="22"/>
  <c r="BD111" i="22" s="1"/>
  <c r="AZ100" i="22"/>
  <c r="BD100" i="22" s="1"/>
  <c r="AZ99" i="22"/>
  <c r="BD99" i="22" s="1"/>
  <c r="AZ120" i="22"/>
  <c r="BD120" i="22" s="1"/>
  <c r="AZ54" i="19"/>
  <c r="BD54" i="19" s="1"/>
  <c r="AZ40" i="19"/>
  <c r="BD40" i="19" s="1"/>
  <c r="AZ72" i="19"/>
  <c r="BD72" i="19" s="1"/>
  <c r="AZ104" i="19"/>
  <c r="BD104" i="19" s="1"/>
  <c r="AZ70" i="19"/>
  <c r="BD70" i="19" s="1"/>
  <c r="AZ115" i="19"/>
  <c r="BD115" i="19" s="1"/>
  <c r="AZ34" i="19"/>
  <c r="BD34" i="19" s="1"/>
  <c r="AZ44" i="19"/>
  <c r="BD44" i="19" s="1"/>
  <c r="AZ107" i="22"/>
  <c r="BD107" i="22" s="1"/>
  <c r="AZ34" i="22"/>
  <c r="BD34" i="22" s="1"/>
  <c r="AZ67" i="22"/>
  <c r="BD67" i="22" s="1"/>
  <c r="AZ90" i="22"/>
  <c r="BD90" i="22" s="1"/>
  <c r="AZ76" i="22"/>
  <c r="BD76" i="22" s="1"/>
  <c r="AZ108" i="22"/>
  <c r="BD108" i="22" s="1"/>
  <c r="AZ69" i="22"/>
  <c r="BD69" i="22" s="1"/>
  <c r="AZ56" i="22"/>
  <c r="BD56" i="22" s="1"/>
  <c r="AZ105" i="22"/>
  <c r="BD105" i="22" s="1"/>
  <c r="AZ89" i="22"/>
  <c r="BD89" i="22" s="1"/>
  <c r="AZ47" i="22"/>
  <c r="BD47" i="22" s="1"/>
  <c r="AZ119" i="22"/>
  <c r="BD119" i="22" s="1"/>
  <c r="AZ45" i="22"/>
  <c r="BD45" i="22" s="1"/>
  <c r="AZ86" i="22"/>
  <c r="BD86" i="22" s="1"/>
  <c r="AZ124" i="22"/>
  <c r="BD124" i="22" s="1"/>
  <c r="AH33" i="25"/>
  <c r="M99" i="16" s="1"/>
  <c r="AP25" i="25"/>
  <c r="BG25" i="25" s="1"/>
  <c r="BK8" i="24"/>
  <c r="BK14" i="24" s="1"/>
  <c r="K60" i="16" s="1"/>
  <c r="AP25" i="22"/>
  <c r="AP45" i="22" s="1"/>
  <c r="AW45" i="22" s="1"/>
  <c r="AC28" i="16"/>
  <c r="AC32" i="16" s="1"/>
  <c r="AP25" i="19"/>
  <c r="AP45" i="19" s="1"/>
  <c r="AW45" i="19" s="1"/>
  <c r="AF47" i="19"/>
  <c r="AP85" i="24"/>
  <c r="AW85" i="24" s="1"/>
  <c r="AP125" i="24"/>
  <c r="AW125" i="24" s="1"/>
  <c r="AP22" i="24"/>
  <c r="BE22" i="24" s="1"/>
  <c r="BF22" i="24" s="1"/>
  <c r="BK9" i="24" s="1"/>
  <c r="BK15" i="24" s="1"/>
  <c r="K61" i="16" s="1"/>
  <c r="BG25" i="24"/>
  <c r="AP45" i="24"/>
  <c r="AW45" i="24" s="1"/>
  <c r="AP105" i="24"/>
  <c r="AW105" i="24" s="1"/>
  <c r="AP65" i="24"/>
  <c r="AW65" i="24" s="1"/>
  <c r="AB24" i="16" l="1"/>
  <c r="AA24" i="16"/>
  <c r="BZ45" i="22"/>
  <c r="BZ46" i="22" s="1"/>
  <c r="BZ47" i="22" s="1"/>
  <c r="BZ48" i="22" s="1"/>
  <c r="BZ49" i="22" s="1"/>
  <c r="BZ50" i="22" s="1"/>
  <c r="BZ51" i="22" s="1"/>
  <c r="BZ52" i="22" s="1"/>
  <c r="BZ53" i="22" s="1"/>
  <c r="BZ54" i="22" s="1"/>
  <c r="BZ55" i="22" s="1"/>
  <c r="BZ56" i="22" s="1"/>
  <c r="BZ57" i="22" s="1"/>
  <c r="BZ58" i="22" s="1"/>
  <c r="BZ59" i="22" s="1"/>
  <c r="BZ60" i="22" s="1"/>
  <c r="BZ61" i="22" s="1"/>
  <c r="BZ62" i="22" s="1"/>
  <c r="BZ63" i="22" s="1"/>
  <c r="BZ64" i="22" s="1"/>
  <c r="BZ65" i="22" s="1"/>
  <c r="BZ66" i="22" s="1"/>
  <c r="BZ67" i="22" s="1"/>
  <c r="BZ68" i="22" s="1"/>
  <c r="BZ69" i="22" s="1"/>
  <c r="BZ70" i="22" s="1"/>
  <c r="BZ71" i="22" s="1"/>
  <c r="BZ72" i="22" s="1"/>
  <c r="BZ73" i="22" s="1"/>
  <c r="BZ74" i="22" s="1"/>
  <c r="BZ75" i="22" s="1"/>
  <c r="BZ76" i="22" s="1"/>
  <c r="BZ77" i="22" s="1"/>
  <c r="BZ78" i="22" s="1"/>
  <c r="BZ79" i="22" s="1"/>
  <c r="BZ80" i="22" s="1"/>
  <c r="BZ81" i="22" s="1"/>
  <c r="BZ82" i="22" s="1"/>
  <c r="BZ83" i="22" s="1"/>
  <c r="BZ84" i="22" s="1"/>
  <c r="BZ85" i="22" s="1"/>
  <c r="BZ86" i="22" s="1"/>
  <c r="BZ87" i="22" s="1"/>
  <c r="BZ88" i="22" s="1"/>
  <c r="BZ89" i="22" s="1"/>
  <c r="BZ90" i="22" s="1"/>
  <c r="BZ91" i="22" s="1"/>
  <c r="BZ92" i="22" s="1"/>
  <c r="BZ93" i="22" s="1"/>
  <c r="BZ94" i="22" s="1"/>
  <c r="BZ95" i="22" s="1"/>
  <c r="BZ96" i="22" s="1"/>
  <c r="BZ97" i="22" s="1"/>
  <c r="BZ98" i="22" s="1"/>
  <c r="BZ99" i="22" s="1"/>
  <c r="BZ100" i="22" s="1"/>
  <c r="BZ101" i="22" s="1"/>
  <c r="BZ102" i="22" s="1"/>
  <c r="BZ103" i="22" s="1"/>
  <c r="BZ104" i="22" s="1"/>
  <c r="BZ105" i="22" s="1"/>
  <c r="BZ106" i="22" s="1"/>
  <c r="BZ107" i="22" s="1"/>
  <c r="BZ108" i="22" s="1"/>
  <c r="BZ109" i="22" s="1"/>
  <c r="BZ110" i="22" s="1"/>
  <c r="BZ111" i="22" s="1"/>
  <c r="BZ112" i="22" s="1"/>
  <c r="BZ113" i="22" s="1"/>
  <c r="BZ114" i="22" s="1"/>
  <c r="BZ115" i="22" s="1"/>
  <c r="BZ116" i="22" s="1"/>
  <c r="BZ117" i="22" s="1"/>
  <c r="BZ118" i="22" s="1"/>
  <c r="BZ119" i="22" s="1"/>
  <c r="BZ120" i="22" s="1"/>
  <c r="BZ121" i="22" s="1"/>
  <c r="BZ122" i="22" s="1"/>
  <c r="BZ123" i="22" s="1"/>
  <c r="BZ124" i="22" s="1"/>
  <c r="BZ125" i="22" s="1"/>
  <c r="M100" i="16"/>
  <c r="J62" i="16"/>
  <c r="AZ69" i="25"/>
  <c r="BD69" i="25" s="1"/>
  <c r="K100" i="16"/>
  <c r="AZ104" i="24"/>
  <c r="BD104" i="24" s="1"/>
  <c r="BZ45" i="25"/>
  <c r="BZ46" i="25" s="1"/>
  <c r="BZ47" i="25" s="1"/>
  <c r="BZ48" i="25" s="1"/>
  <c r="BZ49" i="25" s="1"/>
  <c r="BZ50" i="25" s="1"/>
  <c r="BZ51" i="25" s="1"/>
  <c r="BZ52" i="25" s="1"/>
  <c r="BZ53" i="25" s="1"/>
  <c r="BZ54" i="25" s="1"/>
  <c r="BZ55" i="25" s="1"/>
  <c r="BZ56" i="25" s="1"/>
  <c r="BZ57" i="25" s="1"/>
  <c r="BZ58" i="25" s="1"/>
  <c r="BZ59" i="25" s="1"/>
  <c r="BZ60" i="25" s="1"/>
  <c r="BZ61" i="25" s="1"/>
  <c r="BZ62" i="25" s="1"/>
  <c r="BZ63" i="25" s="1"/>
  <c r="BZ64" i="25" s="1"/>
  <c r="BZ65" i="25" s="1"/>
  <c r="BZ66" i="25" s="1"/>
  <c r="BZ67" i="25" s="1"/>
  <c r="BZ68" i="25" s="1"/>
  <c r="BZ69" i="25" s="1"/>
  <c r="BZ70" i="25" s="1"/>
  <c r="BZ71" i="25" s="1"/>
  <c r="BZ72" i="25" s="1"/>
  <c r="BZ73" i="25" s="1"/>
  <c r="BZ74" i="25" s="1"/>
  <c r="BZ75" i="25" s="1"/>
  <c r="BZ76" i="25" s="1"/>
  <c r="BZ77" i="25" s="1"/>
  <c r="BZ78" i="25" s="1"/>
  <c r="BZ79" i="25" s="1"/>
  <c r="BZ80" i="25" s="1"/>
  <c r="BZ81" i="25" s="1"/>
  <c r="BZ82" i="25" s="1"/>
  <c r="BZ83" i="25" s="1"/>
  <c r="BZ84" i="25" s="1"/>
  <c r="BZ85" i="25" s="1"/>
  <c r="BZ86" i="25" s="1"/>
  <c r="BZ87" i="25" s="1"/>
  <c r="BZ88" i="25" s="1"/>
  <c r="BZ89" i="25" s="1"/>
  <c r="BZ90" i="25" s="1"/>
  <c r="BZ91" i="25" s="1"/>
  <c r="BZ92" i="25" s="1"/>
  <c r="BZ93" i="25" s="1"/>
  <c r="BZ94" i="25" s="1"/>
  <c r="BZ95" i="25" s="1"/>
  <c r="BZ96" i="25" s="1"/>
  <c r="BZ97" i="25" s="1"/>
  <c r="BZ98" i="25" s="1"/>
  <c r="BZ99" i="25" s="1"/>
  <c r="BZ100" i="25" s="1"/>
  <c r="BZ101" i="25" s="1"/>
  <c r="BZ102" i="25" s="1"/>
  <c r="BZ103" i="25" s="1"/>
  <c r="BZ104" i="25" s="1"/>
  <c r="BZ105" i="25" s="1"/>
  <c r="BZ106" i="25" s="1"/>
  <c r="BZ107" i="25" s="1"/>
  <c r="BZ108" i="25" s="1"/>
  <c r="BZ109" i="25" s="1"/>
  <c r="BZ110" i="25" s="1"/>
  <c r="BZ111" i="25" s="1"/>
  <c r="BZ112" i="25" s="1"/>
  <c r="BZ113" i="25" s="1"/>
  <c r="BZ114" i="25" s="1"/>
  <c r="BZ115" i="25" s="1"/>
  <c r="BZ116" i="25" s="1"/>
  <c r="BZ117" i="25" s="1"/>
  <c r="BZ118" i="25" s="1"/>
  <c r="BZ119" i="25" s="1"/>
  <c r="BZ120" i="25" s="1"/>
  <c r="BZ121" i="25" s="1"/>
  <c r="BZ122" i="25" s="1"/>
  <c r="BZ123" i="25" s="1"/>
  <c r="BZ124" i="25" s="1"/>
  <c r="BZ125" i="25" s="1"/>
  <c r="AZ62" i="24"/>
  <c r="BD62" i="24" s="1"/>
  <c r="AZ34" i="24"/>
  <c r="BD34" i="24" s="1"/>
  <c r="BL4" i="25"/>
  <c r="BL11" i="25" s="1"/>
  <c r="N57" i="16" s="1"/>
  <c r="N62" i="16" s="1"/>
  <c r="BZ45" i="24"/>
  <c r="BZ46" i="24" s="1"/>
  <c r="BZ47" i="24" s="1"/>
  <c r="BZ48" i="24" s="1"/>
  <c r="BZ49" i="24" s="1"/>
  <c r="BZ50" i="24" s="1"/>
  <c r="BZ51" i="24" s="1"/>
  <c r="BZ52" i="24" s="1"/>
  <c r="BZ53" i="24" s="1"/>
  <c r="BZ54" i="24" s="1"/>
  <c r="BZ55" i="24" s="1"/>
  <c r="BZ56" i="24" s="1"/>
  <c r="BZ57" i="24" s="1"/>
  <c r="BZ58" i="24" s="1"/>
  <c r="BZ59" i="24" s="1"/>
  <c r="BZ60" i="24" s="1"/>
  <c r="BZ61" i="24" s="1"/>
  <c r="BZ62" i="24" s="1"/>
  <c r="BZ63" i="24" s="1"/>
  <c r="BZ64" i="24" s="1"/>
  <c r="BZ65" i="24" s="1"/>
  <c r="BZ66" i="24" s="1"/>
  <c r="BZ67" i="24" s="1"/>
  <c r="BZ68" i="24" s="1"/>
  <c r="BZ69" i="24" s="1"/>
  <c r="BZ70" i="24" s="1"/>
  <c r="BZ71" i="24" s="1"/>
  <c r="BZ72" i="24" s="1"/>
  <c r="BZ73" i="24" s="1"/>
  <c r="BZ74" i="24" s="1"/>
  <c r="BZ75" i="24" s="1"/>
  <c r="BZ76" i="24" s="1"/>
  <c r="BZ77" i="24" s="1"/>
  <c r="BZ78" i="24" s="1"/>
  <c r="BZ79" i="24" s="1"/>
  <c r="BZ80" i="24" s="1"/>
  <c r="BZ81" i="24" s="1"/>
  <c r="BZ82" i="24" s="1"/>
  <c r="BZ83" i="24" s="1"/>
  <c r="BZ84" i="24" s="1"/>
  <c r="BZ85" i="24" s="1"/>
  <c r="BZ86" i="24" s="1"/>
  <c r="BZ87" i="24" s="1"/>
  <c r="BZ88" i="24" s="1"/>
  <c r="BZ89" i="24" s="1"/>
  <c r="BZ90" i="24" s="1"/>
  <c r="BZ91" i="24" s="1"/>
  <c r="BZ92" i="24" s="1"/>
  <c r="BZ93" i="24" s="1"/>
  <c r="BZ94" i="24" s="1"/>
  <c r="BZ95" i="24" s="1"/>
  <c r="BZ96" i="24" s="1"/>
  <c r="BZ97" i="24" s="1"/>
  <c r="BZ98" i="24" s="1"/>
  <c r="BZ99" i="24" s="1"/>
  <c r="BZ100" i="24" s="1"/>
  <c r="BZ101" i="24" s="1"/>
  <c r="BZ102" i="24" s="1"/>
  <c r="BZ103" i="24" s="1"/>
  <c r="BZ104" i="24" s="1"/>
  <c r="BZ105" i="24" s="1"/>
  <c r="BZ106" i="24" s="1"/>
  <c r="BZ107" i="24" s="1"/>
  <c r="BZ108" i="24" s="1"/>
  <c r="BZ109" i="24" s="1"/>
  <c r="BZ110" i="24" s="1"/>
  <c r="BZ111" i="24" s="1"/>
  <c r="BZ112" i="24" s="1"/>
  <c r="BZ113" i="24" s="1"/>
  <c r="BZ114" i="24" s="1"/>
  <c r="BZ115" i="24" s="1"/>
  <c r="BZ116" i="24" s="1"/>
  <c r="BZ117" i="24" s="1"/>
  <c r="BZ118" i="24" s="1"/>
  <c r="BZ119" i="24" s="1"/>
  <c r="BZ120" i="24" s="1"/>
  <c r="BZ121" i="24" s="1"/>
  <c r="BZ122" i="24" s="1"/>
  <c r="BZ123" i="24" s="1"/>
  <c r="BZ124" i="24" s="1"/>
  <c r="BZ125" i="24" s="1"/>
  <c r="BL4" i="24"/>
  <c r="L117" i="16" s="1"/>
  <c r="L120" i="16" s="1"/>
  <c r="AZ40" i="25"/>
  <c r="BD40" i="25" s="1"/>
  <c r="AZ123" i="24"/>
  <c r="BD123" i="24" s="1"/>
  <c r="AZ118" i="24"/>
  <c r="BD118" i="24" s="1"/>
  <c r="AZ45" i="24"/>
  <c r="BD45" i="24" s="1"/>
  <c r="AZ43" i="24"/>
  <c r="BD43" i="24" s="1"/>
  <c r="AZ36" i="24"/>
  <c r="BD36" i="24" s="1"/>
  <c r="AZ82" i="24"/>
  <c r="BD82" i="24" s="1"/>
  <c r="AZ103" i="24"/>
  <c r="BD103" i="24" s="1"/>
  <c r="AZ29" i="25"/>
  <c r="BD29" i="25" s="1"/>
  <c r="AZ115" i="24"/>
  <c r="BD115" i="24" s="1"/>
  <c r="AZ51" i="24"/>
  <c r="BD51" i="24" s="1"/>
  <c r="AZ94" i="24"/>
  <c r="BD94" i="24" s="1"/>
  <c r="AZ79" i="24"/>
  <c r="BD79" i="24" s="1"/>
  <c r="AZ96" i="24"/>
  <c r="BD96" i="24" s="1"/>
  <c r="AZ35" i="24"/>
  <c r="BD35" i="24" s="1"/>
  <c r="AZ72" i="24"/>
  <c r="BD72" i="24" s="1"/>
  <c r="AC24" i="16"/>
  <c r="AZ95" i="24"/>
  <c r="BD95" i="24" s="1"/>
  <c r="AZ52" i="24"/>
  <c r="BD52" i="24" s="1"/>
  <c r="AZ61" i="24"/>
  <c r="BD61" i="24" s="1"/>
  <c r="AZ121" i="24"/>
  <c r="BD121" i="24" s="1"/>
  <c r="AZ44" i="24"/>
  <c r="BD44" i="24" s="1"/>
  <c r="AZ63" i="24"/>
  <c r="BD63" i="24" s="1"/>
  <c r="AZ119" i="24"/>
  <c r="BD119" i="24" s="1"/>
  <c r="AZ122" i="24"/>
  <c r="BD122" i="24" s="1"/>
  <c r="AZ38" i="24"/>
  <c r="BD38" i="24" s="1"/>
  <c r="AZ67" i="24"/>
  <c r="BD67" i="24" s="1"/>
  <c r="AZ93" i="24"/>
  <c r="BD93" i="24" s="1"/>
  <c r="AZ46" i="24"/>
  <c r="BD46" i="24" s="1"/>
  <c r="AZ102" i="24"/>
  <c r="BD102" i="24" s="1"/>
  <c r="AZ42" i="24"/>
  <c r="BD42" i="24" s="1"/>
  <c r="AZ99" i="24"/>
  <c r="BD99" i="24" s="1"/>
  <c r="AZ112" i="24"/>
  <c r="BD112" i="24" s="1"/>
  <c r="AZ84" i="24"/>
  <c r="BD84" i="24" s="1"/>
  <c r="AZ68" i="24"/>
  <c r="BD68" i="24" s="1"/>
  <c r="AZ80" i="24"/>
  <c r="BD80" i="24" s="1"/>
  <c r="AZ110" i="24"/>
  <c r="BD110" i="24" s="1"/>
  <c r="AZ109" i="24"/>
  <c r="BD109" i="24" s="1"/>
  <c r="AZ29" i="24"/>
  <c r="BD29" i="24" s="1"/>
  <c r="AZ116" i="24"/>
  <c r="BD116" i="24" s="1"/>
  <c r="AZ60" i="24"/>
  <c r="BD60" i="24" s="1"/>
  <c r="BL4" i="19"/>
  <c r="BL11" i="19" s="1"/>
  <c r="H57" i="16" s="1"/>
  <c r="H62" i="16" s="1"/>
  <c r="AZ125" i="24"/>
  <c r="BD125" i="24" s="1"/>
  <c r="AZ58" i="24"/>
  <c r="BD58" i="24" s="1"/>
  <c r="AZ88" i="24"/>
  <c r="BD88" i="24" s="1"/>
  <c r="AZ81" i="24"/>
  <c r="BD81" i="24" s="1"/>
  <c r="AZ87" i="24"/>
  <c r="BD87" i="24" s="1"/>
  <c r="AZ54" i="24"/>
  <c r="BD54" i="24" s="1"/>
  <c r="AZ39" i="24"/>
  <c r="BD39" i="24" s="1"/>
  <c r="AZ97" i="24"/>
  <c r="BD97" i="24" s="1"/>
  <c r="AZ92" i="24"/>
  <c r="BD92" i="24" s="1"/>
  <c r="AZ41" i="24"/>
  <c r="BD41" i="24" s="1"/>
  <c r="AZ100" i="24"/>
  <c r="BD100" i="24" s="1"/>
  <c r="AZ27" i="24"/>
  <c r="BD27" i="24" s="1"/>
  <c r="AZ33" i="24"/>
  <c r="BD33" i="24" s="1"/>
  <c r="AZ78" i="24"/>
  <c r="BD78" i="24" s="1"/>
  <c r="AZ69" i="24"/>
  <c r="BD69" i="24" s="1"/>
  <c r="AZ106" i="24"/>
  <c r="BD106" i="24" s="1"/>
  <c r="AZ74" i="24"/>
  <c r="BD74" i="24" s="1"/>
  <c r="BZ45" i="19"/>
  <c r="BZ46" i="19" s="1"/>
  <c r="BZ47" i="19" s="1"/>
  <c r="BZ48" i="19" s="1"/>
  <c r="BZ49" i="19" s="1"/>
  <c r="BZ50" i="19" s="1"/>
  <c r="BZ51" i="19" s="1"/>
  <c r="BZ52" i="19" s="1"/>
  <c r="BZ53" i="19" s="1"/>
  <c r="BZ54" i="19" s="1"/>
  <c r="BZ55" i="19" s="1"/>
  <c r="BZ56" i="19" s="1"/>
  <c r="BZ57" i="19" s="1"/>
  <c r="BZ58" i="19" s="1"/>
  <c r="BZ59" i="19" s="1"/>
  <c r="BZ60" i="19" s="1"/>
  <c r="BZ61" i="19" s="1"/>
  <c r="BZ62" i="19" s="1"/>
  <c r="BZ63" i="19" s="1"/>
  <c r="BZ64" i="19" s="1"/>
  <c r="BZ65" i="19" s="1"/>
  <c r="BZ66" i="19" s="1"/>
  <c r="BZ67" i="19" s="1"/>
  <c r="BZ68" i="19" s="1"/>
  <c r="BZ69" i="19" s="1"/>
  <c r="BZ70" i="19" s="1"/>
  <c r="BZ71" i="19" s="1"/>
  <c r="BZ72" i="19" s="1"/>
  <c r="BZ73" i="19" s="1"/>
  <c r="BZ74" i="19" s="1"/>
  <c r="BZ75" i="19" s="1"/>
  <c r="BZ76" i="19" s="1"/>
  <c r="BZ77" i="19" s="1"/>
  <c r="BZ78" i="19" s="1"/>
  <c r="BZ79" i="19" s="1"/>
  <c r="BZ80" i="19" s="1"/>
  <c r="BZ81" i="19" s="1"/>
  <c r="BZ82" i="19" s="1"/>
  <c r="BZ83" i="19" s="1"/>
  <c r="BZ84" i="19" s="1"/>
  <c r="BZ85" i="19" s="1"/>
  <c r="BZ86" i="19" s="1"/>
  <c r="BZ87" i="19" s="1"/>
  <c r="BZ88" i="19" s="1"/>
  <c r="BZ89" i="19" s="1"/>
  <c r="BZ90" i="19" s="1"/>
  <c r="BZ91" i="19" s="1"/>
  <c r="BZ92" i="19" s="1"/>
  <c r="BZ93" i="19" s="1"/>
  <c r="BZ94" i="19" s="1"/>
  <c r="BZ95" i="19" s="1"/>
  <c r="BZ96" i="19" s="1"/>
  <c r="BZ97" i="19" s="1"/>
  <c r="BZ98" i="19" s="1"/>
  <c r="BZ99" i="19" s="1"/>
  <c r="BZ100" i="19" s="1"/>
  <c r="BZ101" i="19" s="1"/>
  <c r="BZ102" i="19" s="1"/>
  <c r="BZ103" i="19" s="1"/>
  <c r="BZ104" i="19" s="1"/>
  <c r="BZ105" i="19" s="1"/>
  <c r="BZ106" i="19" s="1"/>
  <c r="BZ107" i="19" s="1"/>
  <c r="BZ108" i="19" s="1"/>
  <c r="BZ109" i="19" s="1"/>
  <c r="BZ110" i="19" s="1"/>
  <c r="BZ111" i="19" s="1"/>
  <c r="BZ112" i="19" s="1"/>
  <c r="BZ113" i="19" s="1"/>
  <c r="BZ114" i="19" s="1"/>
  <c r="BZ115" i="19" s="1"/>
  <c r="BZ116" i="19" s="1"/>
  <c r="BZ117" i="19" s="1"/>
  <c r="BZ118" i="19" s="1"/>
  <c r="BZ119" i="19" s="1"/>
  <c r="BZ120" i="19" s="1"/>
  <c r="BZ121" i="19" s="1"/>
  <c r="BZ122" i="19" s="1"/>
  <c r="BZ123" i="19" s="1"/>
  <c r="BZ124" i="19" s="1"/>
  <c r="BZ125" i="19" s="1"/>
  <c r="AZ76" i="24"/>
  <c r="BD76" i="24" s="1"/>
  <c r="AZ108" i="24"/>
  <c r="BD108" i="24" s="1"/>
  <c r="AZ47" i="24"/>
  <c r="BD47" i="24" s="1"/>
  <c r="AZ65" i="24"/>
  <c r="BD65" i="24" s="1"/>
  <c r="AZ48" i="24"/>
  <c r="BD48" i="24" s="1"/>
  <c r="AZ37" i="24"/>
  <c r="BD37" i="24" s="1"/>
  <c r="AZ85" i="24"/>
  <c r="BD85" i="24" s="1"/>
  <c r="AZ75" i="24"/>
  <c r="BD75" i="24" s="1"/>
  <c r="AZ31" i="24"/>
  <c r="BD31" i="24" s="1"/>
  <c r="AZ30" i="24"/>
  <c r="BD30" i="24" s="1"/>
  <c r="AZ26" i="24"/>
  <c r="BD26" i="24" s="1"/>
  <c r="BG26" i="24" s="1"/>
  <c r="AZ57" i="24"/>
  <c r="BD57" i="24" s="1"/>
  <c r="AZ64" i="24"/>
  <c r="BD64" i="24" s="1"/>
  <c r="AZ120" i="24"/>
  <c r="BD120" i="24" s="1"/>
  <c r="AZ89" i="24"/>
  <c r="BD89" i="24" s="1"/>
  <c r="AZ32" i="24"/>
  <c r="BD32" i="24" s="1"/>
  <c r="AZ66" i="24"/>
  <c r="BD66" i="24" s="1"/>
  <c r="AZ83" i="24"/>
  <c r="BD83" i="24" s="1"/>
  <c r="AZ107" i="24"/>
  <c r="BD107" i="24" s="1"/>
  <c r="AZ98" i="24"/>
  <c r="BD98" i="24" s="1"/>
  <c r="AZ55" i="24"/>
  <c r="BD55" i="24" s="1"/>
  <c r="AZ28" i="24"/>
  <c r="BD28" i="24" s="1"/>
  <c r="AZ117" i="24"/>
  <c r="BD117" i="24" s="1"/>
  <c r="AZ90" i="24"/>
  <c r="BD90" i="24" s="1"/>
  <c r="AZ105" i="24"/>
  <c r="BD105" i="24" s="1"/>
  <c r="J117" i="16"/>
  <c r="J120" i="16" s="1"/>
  <c r="AZ73" i="24"/>
  <c r="BD73" i="24" s="1"/>
  <c r="AZ86" i="24"/>
  <c r="BD86" i="24" s="1"/>
  <c r="AZ59" i="24"/>
  <c r="BD59" i="24" s="1"/>
  <c r="AZ101" i="24"/>
  <c r="BD101" i="24" s="1"/>
  <c r="AZ124" i="24"/>
  <c r="BD124" i="24" s="1"/>
  <c r="AZ71" i="24"/>
  <c r="BD71" i="24" s="1"/>
  <c r="AZ50" i="24"/>
  <c r="BD50" i="24" s="1"/>
  <c r="AZ77" i="24"/>
  <c r="BD77" i="24" s="1"/>
  <c r="AZ56" i="24"/>
  <c r="BD56" i="24" s="1"/>
  <c r="AZ40" i="24"/>
  <c r="BD40" i="24" s="1"/>
  <c r="AZ114" i="24"/>
  <c r="BD114" i="24" s="1"/>
  <c r="AZ91" i="24"/>
  <c r="BD91" i="24" s="1"/>
  <c r="AZ111" i="24"/>
  <c r="BD111" i="24" s="1"/>
  <c r="AZ49" i="24"/>
  <c r="BD49" i="24" s="1"/>
  <c r="AZ53" i="24"/>
  <c r="BD53" i="24" s="1"/>
  <c r="AZ70" i="24"/>
  <c r="BD70" i="24" s="1"/>
  <c r="AZ82" i="25"/>
  <c r="BD82" i="25" s="1"/>
  <c r="AZ57" i="25"/>
  <c r="BD57" i="25" s="1"/>
  <c r="AZ32" i="25"/>
  <c r="BD32" i="25" s="1"/>
  <c r="AZ63" i="25"/>
  <c r="BD63" i="25" s="1"/>
  <c r="AZ61" i="25"/>
  <c r="BD61" i="25" s="1"/>
  <c r="AZ44" i="25"/>
  <c r="BD44" i="25" s="1"/>
  <c r="AZ66" i="25"/>
  <c r="BD66" i="25" s="1"/>
  <c r="AZ80" i="25"/>
  <c r="BD80" i="25" s="1"/>
  <c r="AZ113" i="25"/>
  <c r="BD113" i="25" s="1"/>
  <c r="AZ101" i="25"/>
  <c r="BD101" i="25" s="1"/>
  <c r="AZ38" i="25"/>
  <c r="BD38" i="25" s="1"/>
  <c r="AZ109" i="25"/>
  <c r="BD109" i="25" s="1"/>
  <c r="AZ95" i="25"/>
  <c r="BD95" i="25" s="1"/>
  <c r="AZ108" i="25"/>
  <c r="BD108" i="25" s="1"/>
  <c r="AZ37" i="25"/>
  <c r="BD37" i="25" s="1"/>
  <c r="AZ125" i="25"/>
  <c r="BD125" i="25" s="1"/>
  <c r="AZ86" i="25"/>
  <c r="BD86" i="25" s="1"/>
  <c r="AZ114" i="25"/>
  <c r="BD114" i="25" s="1"/>
  <c r="AZ62" i="25"/>
  <c r="BD62" i="25" s="1"/>
  <c r="AZ27" i="25"/>
  <c r="BD27" i="25" s="1"/>
  <c r="AZ59" i="25"/>
  <c r="BD59" i="25" s="1"/>
  <c r="AZ50" i="25"/>
  <c r="BD50" i="25" s="1"/>
  <c r="AZ96" i="25"/>
  <c r="BD96" i="25" s="1"/>
  <c r="AZ77" i="25"/>
  <c r="BD77" i="25" s="1"/>
  <c r="AZ93" i="25"/>
  <c r="BD93" i="25" s="1"/>
  <c r="AZ31" i="25"/>
  <c r="BD31" i="25" s="1"/>
  <c r="AZ43" i="25"/>
  <c r="BD43" i="25" s="1"/>
  <c r="AZ98" i="25"/>
  <c r="BD98" i="25" s="1"/>
  <c r="AZ53" i="25"/>
  <c r="BD53" i="25" s="1"/>
  <c r="AZ58" i="25"/>
  <c r="BD58" i="25" s="1"/>
  <c r="AZ45" i="25"/>
  <c r="BD45" i="25" s="1"/>
  <c r="AZ100" i="25"/>
  <c r="BD100" i="25" s="1"/>
  <c r="AZ67" i="25"/>
  <c r="BD67" i="25" s="1"/>
  <c r="AZ60" i="25"/>
  <c r="BD60" i="25" s="1"/>
  <c r="AZ92" i="25"/>
  <c r="BD92" i="25" s="1"/>
  <c r="AZ118" i="25"/>
  <c r="BD118" i="25" s="1"/>
  <c r="AZ122" i="25"/>
  <c r="BD122" i="25" s="1"/>
  <c r="AZ76" i="25"/>
  <c r="BD76" i="25" s="1"/>
  <c r="AZ64" i="25"/>
  <c r="BD64" i="25" s="1"/>
  <c r="AZ107" i="25"/>
  <c r="BD107" i="25" s="1"/>
  <c r="AZ71" i="25"/>
  <c r="BD71" i="25" s="1"/>
  <c r="AZ56" i="25"/>
  <c r="BD56" i="25" s="1"/>
  <c r="AZ54" i="25"/>
  <c r="BD54" i="25" s="1"/>
  <c r="AZ116" i="25"/>
  <c r="BD116" i="25" s="1"/>
  <c r="AZ88" i="25"/>
  <c r="BD88" i="25" s="1"/>
  <c r="AZ99" i="25"/>
  <c r="BD99" i="25" s="1"/>
  <c r="AZ72" i="25"/>
  <c r="BD72" i="25" s="1"/>
  <c r="AZ105" i="25"/>
  <c r="BD105" i="25" s="1"/>
  <c r="AZ41" i="25"/>
  <c r="BD41" i="25" s="1"/>
  <c r="AZ36" i="25"/>
  <c r="BD36" i="25" s="1"/>
  <c r="AZ46" i="25"/>
  <c r="BD46" i="25" s="1"/>
  <c r="AZ90" i="25"/>
  <c r="BD90" i="25" s="1"/>
  <c r="AZ51" i="25"/>
  <c r="BD51" i="25" s="1"/>
  <c r="AZ97" i="25"/>
  <c r="BD97" i="25" s="1"/>
  <c r="AZ94" i="25"/>
  <c r="BD94" i="25" s="1"/>
  <c r="AZ55" i="25"/>
  <c r="BD55" i="25" s="1"/>
  <c r="AZ73" i="25"/>
  <c r="BD73" i="25" s="1"/>
  <c r="AZ65" i="25"/>
  <c r="BD65" i="25" s="1"/>
  <c r="AZ83" i="25"/>
  <c r="BD83" i="25" s="1"/>
  <c r="AZ84" i="25"/>
  <c r="BD84" i="25" s="1"/>
  <c r="AZ91" i="25"/>
  <c r="BD91" i="25" s="1"/>
  <c r="AZ52" i="25"/>
  <c r="BD52" i="25" s="1"/>
  <c r="AZ120" i="25"/>
  <c r="BD120" i="25" s="1"/>
  <c r="AZ110" i="25"/>
  <c r="BD110" i="25" s="1"/>
  <c r="AZ87" i="25"/>
  <c r="BD87" i="25" s="1"/>
  <c r="AZ85" i="25"/>
  <c r="BD85" i="25" s="1"/>
  <c r="AZ28" i="25"/>
  <c r="BD28" i="25" s="1"/>
  <c r="AZ119" i="25"/>
  <c r="BD119" i="25" s="1"/>
  <c r="AZ33" i="25"/>
  <c r="BD33" i="25" s="1"/>
  <c r="AZ79" i="25"/>
  <c r="BD79" i="25" s="1"/>
  <c r="AZ104" i="25"/>
  <c r="BD104" i="25" s="1"/>
  <c r="AZ103" i="25"/>
  <c r="BD103" i="25" s="1"/>
  <c r="AZ49" i="25"/>
  <c r="BD49" i="25" s="1"/>
  <c r="AZ78" i="25"/>
  <c r="BD78" i="25" s="1"/>
  <c r="AZ42" i="25"/>
  <c r="BD42" i="25" s="1"/>
  <c r="AZ34" i="25"/>
  <c r="BD34" i="25" s="1"/>
  <c r="AZ74" i="25"/>
  <c r="BD74" i="25" s="1"/>
  <c r="AZ81" i="25"/>
  <c r="BD81" i="25" s="1"/>
  <c r="AZ106" i="25"/>
  <c r="BD106" i="25" s="1"/>
  <c r="AZ70" i="25"/>
  <c r="BD70" i="25" s="1"/>
  <c r="AZ48" i="25"/>
  <c r="BD48" i="25" s="1"/>
  <c r="AZ111" i="25"/>
  <c r="BD111" i="25" s="1"/>
  <c r="AZ89" i="25"/>
  <c r="BD89" i="25" s="1"/>
  <c r="AZ117" i="25"/>
  <c r="BD117" i="25" s="1"/>
  <c r="AZ102" i="25"/>
  <c r="BD102" i="25" s="1"/>
  <c r="AZ47" i="25"/>
  <c r="BD47" i="25" s="1"/>
  <c r="AZ121" i="25"/>
  <c r="BD121" i="25" s="1"/>
  <c r="AZ30" i="25"/>
  <c r="BD30" i="25" s="1"/>
  <c r="AZ35" i="25"/>
  <c r="BD35" i="25" s="1"/>
  <c r="AZ39" i="25"/>
  <c r="BD39" i="25" s="1"/>
  <c r="AZ115" i="25"/>
  <c r="BD115" i="25" s="1"/>
  <c r="AZ26" i="25"/>
  <c r="BD26" i="25" s="1"/>
  <c r="BG26" i="25" s="1"/>
  <c r="AZ112" i="25"/>
  <c r="BD112" i="25" s="1"/>
  <c r="AZ124" i="25"/>
  <c r="BD124" i="25" s="1"/>
  <c r="AZ68" i="25"/>
  <c r="BD68" i="25" s="1"/>
  <c r="W108" i="17"/>
  <c r="W109" i="17" s="1"/>
  <c r="AZ123" i="25"/>
  <c r="BD123" i="25" s="1"/>
  <c r="AP85" i="25"/>
  <c r="AW85" i="25" s="1"/>
  <c r="BK6" i="19"/>
  <c r="G119" i="16" s="1"/>
  <c r="AA18" i="16" s="1"/>
  <c r="AP125" i="22"/>
  <c r="AW125" i="22" s="1"/>
  <c r="BK6" i="22"/>
  <c r="I119" i="16" s="1"/>
  <c r="BG25" i="22"/>
  <c r="BG26" i="22" s="1"/>
  <c r="BG27" i="22" s="1"/>
  <c r="BG28" i="22" s="1"/>
  <c r="BG29" i="22" s="1"/>
  <c r="BG30" i="22" s="1"/>
  <c r="BG31" i="22" s="1"/>
  <c r="BG32" i="22" s="1"/>
  <c r="BG33" i="22" s="1"/>
  <c r="BG34" i="22" s="1"/>
  <c r="BG35" i="22" s="1"/>
  <c r="BG36" i="22" s="1"/>
  <c r="BG37" i="22" s="1"/>
  <c r="BG38" i="22" s="1"/>
  <c r="BG39" i="22" s="1"/>
  <c r="BG40" i="22" s="1"/>
  <c r="BG41" i="22" s="1"/>
  <c r="BG42" i="22" s="1"/>
  <c r="BG43" i="22" s="1"/>
  <c r="BG44" i="22" s="1"/>
  <c r="AP65" i="22"/>
  <c r="AW65" i="22" s="1"/>
  <c r="AP65" i="25"/>
  <c r="AW65" i="25" s="1"/>
  <c r="AP125" i="25"/>
  <c r="AW125" i="25" s="1"/>
  <c r="AP22" i="25"/>
  <c r="BE22" i="25" s="1"/>
  <c r="BF22" i="25" s="1"/>
  <c r="BK9" i="25" s="1"/>
  <c r="BK15" i="25" s="1"/>
  <c r="M61" i="16" s="1"/>
  <c r="AP45" i="25"/>
  <c r="AW45" i="25" s="1"/>
  <c r="AP105" i="25"/>
  <c r="AW105" i="25" s="1"/>
  <c r="AP125" i="19"/>
  <c r="AW125" i="19" s="1"/>
  <c r="AP85" i="22"/>
  <c r="AW85" i="22" s="1"/>
  <c r="BG25" i="19"/>
  <c r="BG26" i="19" s="1"/>
  <c r="BG27" i="19" s="1"/>
  <c r="BG28" i="19" s="1"/>
  <c r="BG29" i="19" s="1"/>
  <c r="BG30" i="19" s="1"/>
  <c r="BG31" i="19" s="1"/>
  <c r="BG32" i="19" s="1"/>
  <c r="BG33" i="19" s="1"/>
  <c r="BG34" i="19" s="1"/>
  <c r="BG35" i="19" s="1"/>
  <c r="BG36" i="19" s="1"/>
  <c r="BG37" i="19" s="1"/>
  <c r="BG38" i="19" s="1"/>
  <c r="BG39" i="19" s="1"/>
  <c r="BG40" i="19" s="1"/>
  <c r="BG41" i="19" s="1"/>
  <c r="BG42" i="19" s="1"/>
  <c r="BG43" i="19" s="1"/>
  <c r="BG44" i="19" s="1"/>
  <c r="AP85" i="19"/>
  <c r="AW85" i="19" s="1"/>
  <c r="AP65" i="19"/>
  <c r="AW65" i="19" s="1"/>
  <c r="AP22" i="19"/>
  <c r="BE22" i="19" s="1"/>
  <c r="BF22" i="19" s="1"/>
  <c r="BK9" i="19" s="1"/>
  <c r="BK15" i="19" s="1"/>
  <c r="G61" i="16" s="1"/>
  <c r="AP22" i="22"/>
  <c r="BE22" i="22" s="1"/>
  <c r="BF22" i="22" s="1"/>
  <c r="BK9" i="22" s="1"/>
  <c r="BK15" i="22" s="1"/>
  <c r="I61" i="16" s="1"/>
  <c r="AP105" i="22"/>
  <c r="AW105" i="22" s="1"/>
  <c r="AP105" i="19"/>
  <c r="AW105" i="19" s="1"/>
  <c r="BK4" i="24"/>
  <c r="K117" i="16" s="1"/>
  <c r="BG27" i="25" l="1"/>
  <c r="BG28" i="25" s="1"/>
  <c r="BG29" i="25" s="1"/>
  <c r="BG30" i="25" s="1"/>
  <c r="BG31" i="25" s="1"/>
  <c r="BG32" i="25" s="1"/>
  <c r="BG33" i="25" s="1"/>
  <c r="BG34" i="25" s="1"/>
  <c r="BG35" i="25" s="1"/>
  <c r="BG36" i="25" s="1"/>
  <c r="BG37" i="25" s="1"/>
  <c r="BG38" i="25" s="1"/>
  <c r="BG39" i="25" s="1"/>
  <c r="BG40" i="25" s="1"/>
  <c r="BG41" i="25" s="1"/>
  <c r="BG42" i="25" s="1"/>
  <c r="BG43" i="25" s="1"/>
  <c r="BG44" i="25" s="1"/>
  <c r="BG45" i="25" s="1"/>
  <c r="BG46" i="25" s="1"/>
  <c r="BG47" i="25" s="1"/>
  <c r="BG48" i="25" s="1"/>
  <c r="BG49" i="25" s="1"/>
  <c r="BG50" i="25" s="1"/>
  <c r="BG51" i="25" s="1"/>
  <c r="BG52" i="25" s="1"/>
  <c r="BG53" i="25" s="1"/>
  <c r="BG54" i="25" s="1"/>
  <c r="BG55" i="25" s="1"/>
  <c r="BG56" i="25" s="1"/>
  <c r="BG57" i="25" s="1"/>
  <c r="BG58" i="25" s="1"/>
  <c r="BG59" i="25" s="1"/>
  <c r="BG60" i="25" s="1"/>
  <c r="BG61" i="25" s="1"/>
  <c r="BG62" i="25" s="1"/>
  <c r="BG63" i="25" s="1"/>
  <c r="BG64" i="25" s="1"/>
  <c r="BG65" i="25" s="1"/>
  <c r="BG66" i="25" s="1"/>
  <c r="BG67" i="25" s="1"/>
  <c r="BG68" i="25" s="1"/>
  <c r="BG69" i="25" s="1"/>
  <c r="BG70" i="25" s="1"/>
  <c r="BG71" i="25" s="1"/>
  <c r="BG72" i="25" s="1"/>
  <c r="BG73" i="25" s="1"/>
  <c r="BG74" i="25" s="1"/>
  <c r="BG75" i="25" s="1"/>
  <c r="BG76" i="25" s="1"/>
  <c r="BG77" i="25" s="1"/>
  <c r="BG78" i="25" s="1"/>
  <c r="BG79" i="25" s="1"/>
  <c r="BG80" i="25" s="1"/>
  <c r="BG81" i="25" s="1"/>
  <c r="BG82" i="25" s="1"/>
  <c r="BG83" i="25" s="1"/>
  <c r="BG84" i="25" s="1"/>
  <c r="BG85" i="25" s="1"/>
  <c r="BG86" i="25" s="1"/>
  <c r="BG87" i="25" s="1"/>
  <c r="BG88" i="25" s="1"/>
  <c r="BG89" i="25" s="1"/>
  <c r="BG90" i="25" s="1"/>
  <c r="BG91" i="25" s="1"/>
  <c r="BG92" i="25" s="1"/>
  <c r="BG93" i="25" s="1"/>
  <c r="BG94" i="25" s="1"/>
  <c r="BG95" i="25" s="1"/>
  <c r="BG96" i="25" s="1"/>
  <c r="BG97" i="25" s="1"/>
  <c r="BG98" i="25" s="1"/>
  <c r="BG99" i="25" s="1"/>
  <c r="BG100" i="25" s="1"/>
  <c r="BG101" i="25" s="1"/>
  <c r="BG102" i="25" s="1"/>
  <c r="BG103" i="25" s="1"/>
  <c r="BG104" i="25" s="1"/>
  <c r="BG105" i="25" s="1"/>
  <c r="BG106" i="25" s="1"/>
  <c r="BG107" i="25" s="1"/>
  <c r="BG108" i="25" s="1"/>
  <c r="BG109" i="25" s="1"/>
  <c r="BG110" i="25" s="1"/>
  <c r="BG111" i="25" s="1"/>
  <c r="BG112" i="25" s="1"/>
  <c r="BG113" i="25" s="1"/>
  <c r="BG114" i="25" s="1"/>
  <c r="BG115" i="25" s="1"/>
  <c r="BG116" i="25" s="1"/>
  <c r="BG117" i="25" s="1"/>
  <c r="BG118" i="25" s="1"/>
  <c r="BG119" i="25" s="1"/>
  <c r="BG120" i="25" s="1"/>
  <c r="BG121" i="25" s="1"/>
  <c r="BG122" i="25" s="1"/>
  <c r="BG123" i="25" s="1"/>
  <c r="BG124" i="25" s="1"/>
  <c r="BG125" i="25" s="1"/>
  <c r="N117" i="16"/>
  <c r="N120" i="16" s="1"/>
  <c r="BL11" i="24"/>
  <c r="L57" i="16" s="1"/>
  <c r="L62" i="16" s="1"/>
  <c r="H117" i="16"/>
  <c r="H120" i="16" s="1"/>
  <c r="BG27" i="24"/>
  <c r="BG28" i="24" s="1"/>
  <c r="BG29" i="24" s="1"/>
  <c r="BG30" i="24" s="1"/>
  <c r="BG31" i="24" s="1"/>
  <c r="BG32" i="24" s="1"/>
  <c r="BG33" i="24" s="1"/>
  <c r="BG34" i="24" s="1"/>
  <c r="BG35" i="24" s="1"/>
  <c r="BG36" i="24" s="1"/>
  <c r="BG37" i="24" s="1"/>
  <c r="BG38" i="24" s="1"/>
  <c r="BG39" i="24" s="1"/>
  <c r="BG40" i="24" s="1"/>
  <c r="BG41" i="24" s="1"/>
  <c r="BG42" i="24" s="1"/>
  <c r="BG43" i="24" s="1"/>
  <c r="BG44" i="24" s="1"/>
  <c r="BG45" i="24" s="1"/>
  <c r="BG46" i="24" s="1"/>
  <c r="BG47" i="24" s="1"/>
  <c r="BG48" i="24" s="1"/>
  <c r="BG49" i="24" s="1"/>
  <c r="BG50" i="24" s="1"/>
  <c r="BG51" i="24" s="1"/>
  <c r="BG52" i="24" s="1"/>
  <c r="BG53" i="24" s="1"/>
  <c r="BG54" i="24" s="1"/>
  <c r="BG55" i="24" s="1"/>
  <c r="BG56" i="24" s="1"/>
  <c r="BG57" i="24" s="1"/>
  <c r="BG58" i="24" s="1"/>
  <c r="BG59" i="24" s="1"/>
  <c r="BG60" i="24" s="1"/>
  <c r="BG61" i="24" s="1"/>
  <c r="BG62" i="24" s="1"/>
  <c r="BG63" i="24" s="1"/>
  <c r="BG64" i="24" s="1"/>
  <c r="BG65" i="24" s="1"/>
  <c r="BG66" i="24" s="1"/>
  <c r="BG67" i="24" s="1"/>
  <c r="BG68" i="24" s="1"/>
  <c r="BG69" i="24" s="1"/>
  <c r="BG70" i="24" s="1"/>
  <c r="BG71" i="24" s="1"/>
  <c r="BG72" i="24" s="1"/>
  <c r="BG73" i="24" s="1"/>
  <c r="BG74" i="24" s="1"/>
  <c r="BG75" i="24" s="1"/>
  <c r="BG76" i="24" s="1"/>
  <c r="BG77" i="24" s="1"/>
  <c r="BG78" i="24" s="1"/>
  <c r="BG79" i="24" s="1"/>
  <c r="BG80" i="24" s="1"/>
  <c r="BG81" i="24" s="1"/>
  <c r="BG82" i="24" s="1"/>
  <c r="BG83" i="24" s="1"/>
  <c r="BG84" i="24" s="1"/>
  <c r="BG85" i="24" s="1"/>
  <c r="BG86" i="24" s="1"/>
  <c r="BG87" i="24" s="1"/>
  <c r="BG88" i="24" s="1"/>
  <c r="BG89" i="24" s="1"/>
  <c r="BG90" i="24" s="1"/>
  <c r="BG91" i="24" s="1"/>
  <c r="BG92" i="24" s="1"/>
  <c r="BG93" i="24" s="1"/>
  <c r="BG94" i="24" s="1"/>
  <c r="BG95" i="24" s="1"/>
  <c r="BG96" i="24" s="1"/>
  <c r="BG97" i="24" s="1"/>
  <c r="BG98" i="24" s="1"/>
  <c r="BG99" i="24" s="1"/>
  <c r="BG100" i="24" s="1"/>
  <c r="BG101" i="24" s="1"/>
  <c r="BG102" i="24" s="1"/>
  <c r="BG103" i="24" s="1"/>
  <c r="BG104" i="24" s="1"/>
  <c r="BG105" i="24" s="1"/>
  <c r="BG106" i="24" s="1"/>
  <c r="BG107" i="24" s="1"/>
  <c r="BG108" i="24" s="1"/>
  <c r="BG109" i="24" s="1"/>
  <c r="BG110" i="24" s="1"/>
  <c r="BG111" i="24" s="1"/>
  <c r="BG112" i="24" s="1"/>
  <c r="BG113" i="24" s="1"/>
  <c r="BG114" i="24" s="1"/>
  <c r="BG115" i="24" s="1"/>
  <c r="BG116" i="24" s="1"/>
  <c r="BG117" i="24" s="1"/>
  <c r="BG118" i="24" s="1"/>
  <c r="BG119" i="24" s="1"/>
  <c r="BG120" i="24" s="1"/>
  <c r="BG121" i="24" s="1"/>
  <c r="BG122" i="24" s="1"/>
  <c r="BG123" i="24" s="1"/>
  <c r="BG124" i="24" s="1"/>
  <c r="BG125" i="24" s="1"/>
  <c r="BK6" i="24"/>
  <c r="K119" i="16" s="1"/>
  <c r="AC18" i="16" s="1"/>
  <c r="AC16" i="16"/>
  <c r="BK6" i="25"/>
  <c r="BK13" i="25" s="1"/>
  <c r="M59" i="16" s="1"/>
  <c r="AD23" i="16" s="1"/>
  <c r="BK13" i="19"/>
  <c r="G59" i="16" s="1"/>
  <c r="AA23" i="16" s="1"/>
  <c r="BK13" i="22"/>
  <c r="I59" i="16" s="1"/>
  <c r="AB23" i="16" s="1"/>
  <c r="BK4" i="25"/>
  <c r="BK11" i="25" s="1"/>
  <c r="M57" i="16" s="1"/>
  <c r="AD21" i="16" s="1"/>
  <c r="BK4" i="19"/>
  <c r="G117" i="16" s="1"/>
  <c r="BK4" i="22"/>
  <c r="I117" i="16" s="1"/>
  <c r="AB16" i="16" s="1"/>
  <c r="BG45" i="19"/>
  <c r="BG46" i="19" s="1"/>
  <c r="BG47" i="19" s="1"/>
  <c r="BG48" i="19" s="1"/>
  <c r="BG49" i="19" s="1"/>
  <c r="BG50" i="19" s="1"/>
  <c r="BG51" i="19" s="1"/>
  <c r="BG52" i="19" s="1"/>
  <c r="BG53" i="19" s="1"/>
  <c r="BG54" i="19" s="1"/>
  <c r="BG55" i="19" s="1"/>
  <c r="BG56" i="19" s="1"/>
  <c r="BG57" i="19" s="1"/>
  <c r="BG58" i="19" s="1"/>
  <c r="BG59" i="19" s="1"/>
  <c r="BG60" i="19" s="1"/>
  <c r="BG61" i="19" s="1"/>
  <c r="BG62" i="19" s="1"/>
  <c r="BG63" i="19" s="1"/>
  <c r="BG64" i="19" s="1"/>
  <c r="BG65" i="19" s="1"/>
  <c r="BG66" i="19" s="1"/>
  <c r="BG67" i="19" s="1"/>
  <c r="BG68" i="19" s="1"/>
  <c r="BG69" i="19" s="1"/>
  <c r="BG70" i="19" s="1"/>
  <c r="BG71" i="19" s="1"/>
  <c r="BG72" i="19" s="1"/>
  <c r="BG73" i="19" s="1"/>
  <c r="BG74" i="19" s="1"/>
  <c r="BG75" i="19" s="1"/>
  <c r="BG76" i="19" s="1"/>
  <c r="BG77" i="19" s="1"/>
  <c r="BG78" i="19" s="1"/>
  <c r="BG79" i="19" s="1"/>
  <c r="BG80" i="19" s="1"/>
  <c r="BG81" i="19" s="1"/>
  <c r="BG82" i="19" s="1"/>
  <c r="BG83" i="19" s="1"/>
  <c r="BG84" i="19" s="1"/>
  <c r="BG85" i="19" s="1"/>
  <c r="BG86" i="19" s="1"/>
  <c r="BG87" i="19" s="1"/>
  <c r="BG88" i="19" s="1"/>
  <c r="BG89" i="19" s="1"/>
  <c r="BG90" i="19" s="1"/>
  <c r="BG91" i="19" s="1"/>
  <c r="BG92" i="19" s="1"/>
  <c r="BG93" i="19" s="1"/>
  <c r="BG94" i="19" s="1"/>
  <c r="BG95" i="19" s="1"/>
  <c r="BG96" i="19" s="1"/>
  <c r="BG97" i="19" s="1"/>
  <c r="BG98" i="19" s="1"/>
  <c r="BG99" i="19" s="1"/>
  <c r="BG100" i="19" s="1"/>
  <c r="BG101" i="19" s="1"/>
  <c r="BG102" i="19" s="1"/>
  <c r="BG103" i="19" s="1"/>
  <c r="BG104" i="19" s="1"/>
  <c r="BG105" i="19" s="1"/>
  <c r="BG106" i="19" s="1"/>
  <c r="BG107" i="19" s="1"/>
  <c r="BG108" i="19" s="1"/>
  <c r="BG109" i="19" s="1"/>
  <c r="BG110" i="19" s="1"/>
  <c r="BG111" i="19" s="1"/>
  <c r="BG112" i="19" s="1"/>
  <c r="BG113" i="19" s="1"/>
  <c r="BG114" i="19" s="1"/>
  <c r="BG115" i="19" s="1"/>
  <c r="BG116" i="19" s="1"/>
  <c r="BG117" i="19" s="1"/>
  <c r="BG118" i="19" s="1"/>
  <c r="BG119" i="19" s="1"/>
  <c r="BG120" i="19" s="1"/>
  <c r="BG121" i="19" s="1"/>
  <c r="BG122" i="19" s="1"/>
  <c r="BG123" i="19" s="1"/>
  <c r="BG124" i="19" s="1"/>
  <c r="BG125" i="19" s="1"/>
  <c r="BG45" i="22"/>
  <c r="BG46" i="22" s="1"/>
  <c r="BG47" i="22" s="1"/>
  <c r="BG48" i="22" s="1"/>
  <c r="BG49" i="22" s="1"/>
  <c r="BG50" i="22" s="1"/>
  <c r="BG51" i="22" s="1"/>
  <c r="BG52" i="22" s="1"/>
  <c r="BG53" i="22" s="1"/>
  <c r="BG54" i="22" s="1"/>
  <c r="BG55" i="22" s="1"/>
  <c r="BG56" i="22" s="1"/>
  <c r="BG57" i="22" s="1"/>
  <c r="BG58" i="22" s="1"/>
  <c r="BG59" i="22" s="1"/>
  <c r="BG60" i="22" s="1"/>
  <c r="BG61" i="22" s="1"/>
  <c r="BG62" i="22" s="1"/>
  <c r="BG63" i="22" s="1"/>
  <c r="BG64" i="22" s="1"/>
  <c r="BG65" i="22" s="1"/>
  <c r="BG66" i="22" s="1"/>
  <c r="BG67" i="22" s="1"/>
  <c r="BG68" i="22" s="1"/>
  <c r="BG69" i="22" s="1"/>
  <c r="BG70" i="22" s="1"/>
  <c r="BG71" i="22" s="1"/>
  <c r="BG72" i="22" s="1"/>
  <c r="BG73" i="22" s="1"/>
  <c r="BG74" i="22" s="1"/>
  <c r="BG75" i="22" s="1"/>
  <c r="BG76" i="22" s="1"/>
  <c r="BG77" i="22" s="1"/>
  <c r="BG78" i="22" s="1"/>
  <c r="BG79" i="22" s="1"/>
  <c r="BG80" i="22" s="1"/>
  <c r="BG81" i="22" s="1"/>
  <c r="BG82" i="22" s="1"/>
  <c r="BG83" i="22" s="1"/>
  <c r="BG84" i="22" s="1"/>
  <c r="BG85" i="22" s="1"/>
  <c r="BG86" i="22" s="1"/>
  <c r="BG87" i="22" s="1"/>
  <c r="BG88" i="22" s="1"/>
  <c r="BG89" i="22" s="1"/>
  <c r="BG90" i="22" s="1"/>
  <c r="BG91" i="22" s="1"/>
  <c r="BG92" i="22" s="1"/>
  <c r="BG93" i="22" s="1"/>
  <c r="BG94" i="22" s="1"/>
  <c r="BG95" i="22" s="1"/>
  <c r="BG96" i="22" s="1"/>
  <c r="BG97" i="22" s="1"/>
  <c r="BG98" i="22" s="1"/>
  <c r="BG99" i="22" s="1"/>
  <c r="BG100" i="22" s="1"/>
  <c r="BG101" i="22" s="1"/>
  <c r="BG102" i="22" s="1"/>
  <c r="BG103" i="22" s="1"/>
  <c r="BG104" i="22" s="1"/>
  <c r="BG105" i="22" s="1"/>
  <c r="BG106" i="22" s="1"/>
  <c r="BG107" i="22" s="1"/>
  <c r="BG108" i="22" s="1"/>
  <c r="BG109" i="22" s="1"/>
  <c r="BG110" i="22" s="1"/>
  <c r="BG111" i="22" s="1"/>
  <c r="BG112" i="22" s="1"/>
  <c r="BG113" i="22" s="1"/>
  <c r="BG114" i="22" s="1"/>
  <c r="BG115" i="22" s="1"/>
  <c r="BG116" i="22" s="1"/>
  <c r="BG117" i="22" s="1"/>
  <c r="BG118" i="22" s="1"/>
  <c r="BG119" i="22" s="1"/>
  <c r="BG120" i="22" s="1"/>
  <c r="BG121" i="22" s="1"/>
  <c r="BG122" i="22" s="1"/>
  <c r="BG123" i="22" s="1"/>
  <c r="BG124" i="22" s="1"/>
  <c r="BG125" i="22" s="1"/>
  <c r="BK11" i="24"/>
  <c r="K57" i="16" s="1"/>
  <c r="AB18" i="16"/>
  <c r="AC21" i="16" l="1"/>
  <c r="AA16" i="16"/>
  <c r="BK13" i="24"/>
  <c r="K59" i="16" s="1"/>
  <c r="AC23" i="16" s="1"/>
  <c r="K120" i="16"/>
  <c r="K121" i="16" s="1"/>
  <c r="M119" i="16"/>
  <c r="AD18" i="16" s="1"/>
  <c r="M117" i="16"/>
  <c r="AD16" i="16" s="1"/>
  <c r="M62" i="16"/>
  <c r="M63" i="16" s="1"/>
  <c r="M66" i="16" s="1"/>
  <c r="BK11" i="19"/>
  <c r="G57" i="16" s="1"/>
  <c r="AA21" i="16" s="1"/>
  <c r="G120" i="16"/>
  <c r="G121" i="16" s="1"/>
  <c r="I120" i="16"/>
  <c r="I121" i="16" s="1"/>
  <c r="BK11" i="22"/>
  <c r="I57" i="16" s="1"/>
  <c r="AB21" i="16" s="1"/>
  <c r="K62" i="16" l="1"/>
  <c r="K63" i="16" s="1"/>
  <c r="AC36" i="16" s="1"/>
  <c r="M68" i="16"/>
  <c r="AD13" i="16" s="1"/>
  <c r="M67" i="16"/>
  <c r="AD36" i="16"/>
  <c r="M120" i="16"/>
  <c r="M121" i="16" s="1"/>
  <c r="I62" i="16"/>
  <c r="I63" i="16" s="1"/>
  <c r="I68" i="16" s="1"/>
  <c r="AB13" i="16" s="1"/>
  <c r="G62" i="16"/>
  <c r="G63" i="16" s="1"/>
  <c r="AA36" i="16" s="1"/>
  <c r="K66" i="16" l="1"/>
  <c r="K68" i="16"/>
  <c r="AC13" i="16" s="1"/>
  <c r="K67" i="16"/>
  <c r="I66" i="16"/>
  <c r="G68" i="16"/>
  <c r="AA13" i="16" s="1"/>
  <c r="G66" i="16"/>
  <c r="I67" i="16"/>
  <c r="G67" i="16"/>
  <c r="AB36"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Hangartner Diego HSLU T&amp;A</author>
  </authors>
  <commentList>
    <comment ref="G252" authorId="0" shapeId="0" xr:uid="{00000000-0006-0000-0700-000001000000}">
      <text>
        <r>
          <rPr>
            <b/>
            <sz val="9"/>
            <color indexed="81"/>
            <rFont val="Tahoma"/>
            <family val="2"/>
          </rPr>
          <t>Hangartner Diego HSLU T&amp;A:</t>
        </r>
        <r>
          <rPr>
            <sz val="9"/>
            <color indexed="81"/>
            <rFont val="Tahoma"/>
            <family val="2"/>
          </rPr>
          <t xml:space="preserve">
Muss hier "Grundlagen" auf Deutsch gelassen werden?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<sst xmlns="http://schemas.openxmlformats.org/spreadsheetml/2006/main" count="6966" uniqueCount="1834">
  <si>
    <t>Öl</t>
  </si>
  <si>
    <t>Pellets</t>
  </si>
  <si>
    <t>Auswahlliste:</t>
  </si>
  <si>
    <t>Deutsch</t>
  </si>
  <si>
    <t>Französisch</t>
  </si>
  <si>
    <t>Italienisch</t>
  </si>
  <si>
    <t>Sprache</t>
  </si>
  <si>
    <t>Code</t>
  </si>
  <si>
    <t>Heizkostenvergleichsrechner</t>
  </si>
  <si>
    <t>F</t>
  </si>
  <si>
    <t>G</t>
  </si>
  <si>
    <t>Angezeigter Text</t>
  </si>
  <si>
    <t>Gewählte Sprache:</t>
  </si>
  <si>
    <t>H</t>
  </si>
  <si>
    <t>Erdgas</t>
  </si>
  <si>
    <t>Hackschnitzel</t>
  </si>
  <si>
    <t>Punkt 1</t>
  </si>
  <si>
    <t>Punkt 2</t>
  </si>
  <si>
    <t>Punkt 3</t>
  </si>
  <si>
    <t>Punkt 4</t>
  </si>
  <si>
    <t>Dichte</t>
  </si>
  <si>
    <t>Brennwert</t>
  </si>
  <si>
    <t>Treibhausgas</t>
  </si>
  <si>
    <t>UBP</t>
  </si>
  <si>
    <t>r</t>
  </si>
  <si>
    <t>Hs</t>
  </si>
  <si>
    <t>kWh/kg</t>
  </si>
  <si>
    <t>Primärenergie</t>
  </si>
  <si>
    <t>-</t>
  </si>
  <si>
    <t>Faktoren Energieträger</t>
  </si>
  <si>
    <t>Standard</t>
  </si>
  <si>
    <t>eigene</t>
  </si>
  <si>
    <t>Fernwärme</t>
  </si>
  <si>
    <t>Italiano</t>
  </si>
  <si>
    <t>Lingua desiderata:</t>
  </si>
  <si>
    <t>Gewünschte Sprache:</t>
  </si>
  <si>
    <t>Français</t>
  </si>
  <si>
    <t>Langue souhaitée:</t>
  </si>
  <si>
    <t>Firma:</t>
  </si>
  <si>
    <t>Tel:</t>
  </si>
  <si>
    <t>E-Mail:</t>
  </si>
  <si>
    <t>Adresse personne chargée du dossier</t>
  </si>
  <si>
    <t>Indirizzo persona incaricata del dossier</t>
  </si>
  <si>
    <t>Entreprise:</t>
  </si>
  <si>
    <t>Ditta:</t>
  </si>
  <si>
    <t>Vorname, Name:</t>
  </si>
  <si>
    <t>Prénom, nom:</t>
  </si>
  <si>
    <t>Nome, cognome:</t>
  </si>
  <si>
    <t>Strasse / Nr.:</t>
  </si>
  <si>
    <t>Rue / n°:</t>
  </si>
  <si>
    <t>Via / n°:</t>
  </si>
  <si>
    <t>Tél:</t>
  </si>
  <si>
    <t>E-mail:</t>
  </si>
  <si>
    <t>PLZ, Ort:</t>
  </si>
  <si>
    <t>NPA, localité:</t>
  </si>
  <si>
    <t>Adresse du projet</t>
  </si>
  <si>
    <t>Indirizzo progetto</t>
  </si>
  <si>
    <t>Objet:</t>
  </si>
  <si>
    <t>Oggetto:</t>
  </si>
  <si>
    <t>Gebäudedaten</t>
  </si>
  <si>
    <t>Données du bâtiment</t>
  </si>
  <si>
    <t>Dati dell'edificio</t>
  </si>
  <si>
    <t>Gebäudekategorie</t>
  </si>
  <si>
    <t>Catégories d'ouvrage</t>
  </si>
  <si>
    <t>Categoria dell'edificio</t>
  </si>
  <si>
    <t>EBF:</t>
  </si>
  <si>
    <t>SRE:</t>
  </si>
  <si>
    <t>Wohnen MFH</t>
  </si>
  <si>
    <t>Habitat collectif</t>
  </si>
  <si>
    <t>Abitazione plurifamiliare</t>
  </si>
  <si>
    <t>Wohnen EFH</t>
  </si>
  <si>
    <t>Habitat individuel</t>
  </si>
  <si>
    <t>Abitazione unifamiliare</t>
  </si>
  <si>
    <t>Verwaltung</t>
  </si>
  <si>
    <t>Administration</t>
  </si>
  <si>
    <t>Amministrazione</t>
  </si>
  <si>
    <t>Projektdaten</t>
  </si>
  <si>
    <t>Projekt:</t>
  </si>
  <si>
    <t>Gebäudenutzung:</t>
  </si>
  <si>
    <t>Klimastation:</t>
  </si>
  <si>
    <t>Minergie-P</t>
  </si>
  <si>
    <t>Adelboden</t>
  </si>
  <si>
    <t>Aigle</t>
  </si>
  <si>
    <t>Altdorf</t>
  </si>
  <si>
    <t>Basel-Binningen</t>
  </si>
  <si>
    <t>Bern-Liebefeld</t>
  </si>
  <si>
    <t>Buchs-Aarau</t>
  </si>
  <si>
    <t>Chur</t>
  </si>
  <si>
    <t>Davos</t>
  </si>
  <si>
    <t>Disentis</t>
  </si>
  <si>
    <t>Engelberg</t>
  </si>
  <si>
    <t>Genève Cointrin</t>
  </si>
  <si>
    <t>Glarus</t>
  </si>
  <si>
    <t>Grand St.Bernard</t>
  </si>
  <si>
    <t>Güttingen</t>
  </si>
  <si>
    <t>Interlaken</t>
  </si>
  <si>
    <t>La Chaux de Fonds</t>
  </si>
  <si>
    <t>La Frêtaz</t>
  </si>
  <si>
    <t>Locarno Monti</t>
  </si>
  <si>
    <t>Lugano</t>
  </si>
  <si>
    <t>Luzern</t>
  </si>
  <si>
    <t>Magadino</t>
  </si>
  <si>
    <t>Montana</t>
  </si>
  <si>
    <t>Neuchâtel</t>
  </si>
  <si>
    <t>Payerne</t>
  </si>
  <si>
    <t>Piotta</t>
  </si>
  <si>
    <t>Pully</t>
  </si>
  <si>
    <t>Robbia</t>
  </si>
  <si>
    <t>Rünenberg</t>
  </si>
  <si>
    <t>Samedan</t>
  </si>
  <si>
    <t>San Bernardino</t>
  </si>
  <si>
    <t>St.Gallen</t>
  </si>
  <si>
    <t>Schaffhausen</t>
  </si>
  <si>
    <t>Scuol</t>
  </si>
  <si>
    <t>Sion</t>
  </si>
  <si>
    <t>Ulrichen</t>
  </si>
  <si>
    <t>Vaduz</t>
  </si>
  <si>
    <t>Wynau</t>
  </si>
  <si>
    <t>Zermatt</t>
  </si>
  <si>
    <t>Zürich-Kloten</t>
  </si>
  <si>
    <t>Zürich-MeteoSchweiz</t>
  </si>
  <si>
    <t>Bezeichnung</t>
  </si>
  <si>
    <t>Bitte wählen …</t>
  </si>
  <si>
    <t>Veuillez choisir …</t>
  </si>
  <si>
    <t>Si prega di scegliere …</t>
  </si>
  <si>
    <t>Art Bauvorhaben:</t>
  </si>
  <si>
    <t>Neubau</t>
  </si>
  <si>
    <t>Ersatz</t>
  </si>
  <si>
    <t>Energiebezugsfläche (EBF):</t>
  </si>
  <si>
    <t>Verbrauch:</t>
  </si>
  <si>
    <t>Ltr.</t>
  </si>
  <si>
    <t>kWh</t>
  </si>
  <si>
    <t>kg</t>
  </si>
  <si>
    <t>Resultate</t>
  </si>
  <si>
    <r>
      <t>Q</t>
    </r>
    <r>
      <rPr>
        <vertAlign val="subscript"/>
        <sz val="10"/>
        <rFont val="Arial"/>
        <family val="2"/>
      </rPr>
      <t>gen, out</t>
    </r>
  </si>
  <si>
    <r>
      <rPr>
        <sz val="10"/>
        <color theme="1"/>
        <rFont val="Symbol"/>
        <family val="1"/>
        <charset val="2"/>
      </rPr>
      <t>F</t>
    </r>
    <r>
      <rPr>
        <vertAlign val="subscript"/>
        <sz val="10"/>
        <color theme="1"/>
        <rFont val="Arial"/>
        <family val="2"/>
      </rPr>
      <t>gen, out</t>
    </r>
  </si>
  <si>
    <t>kW</t>
  </si>
  <si>
    <t>Endenergie:</t>
  </si>
  <si>
    <t>Kapitalkosten:</t>
  </si>
  <si>
    <t>Platzbedarf Lager:</t>
  </si>
  <si>
    <t>Platzbedarf Zentrale:</t>
  </si>
  <si>
    <t>WP (LW)</t>
  </si>
  <si>
    <t>WP (WW)</t>
  </si>
  <si>
    <t>WP (SW)</t>
  </si>
  <si>
    <t>Jahresmittelwert</t>
  </si>
  <si>
    <t>Grenzwert SIA 380/1</t>
  </si>
  <si>
    <t>CH-Schnitt</t>
  </si>
  <si>
    <t>KVA</t>
  </si>
  <si>
    <t>Leistungs- und Wärmebedarf Neubauten</t>
  </si>
  <si>
    <r>
      <t>W/m</t>
    </r>
    <r>
      <rPr>
        <vertAlign val="superscript"/>
        <sz val="10"/>
        <color theme="1"/>
        <rFont val="Arial"/>
        <family val="2"/>
      </rPr>
      <t>2</t>
    </r>
  </si>
  <si>
    <r>
      <t>kWh/m</t>
    </r>
    <r>
      <rPr>
        <vertAlign val="superscript"/>
        <sz val="10"/>
        <color theme="1"/>
        <rFont val="Arial"/>
        <family val="2"/>
      </rPr>
      <t>2</t>
    </r>
  </si>
  <si>
    <t>QH,W</t>
  </si>
  <si>
    <t>fH,dis</t>
  </si>
  <si>
    <t>AE</t>
  </si>
  <si>
    <t>Berechnung der Heizwärme und Heizwärmeleistung für ...</t>
  </si>
  <si>
    <t>Norm-Aussentemp.</t>
  </si>
  <si>
    <t>m ü.M.</t>
  </si>
  <si>
    <t>Reduktionsfaktor für Gebäudestandard</t>
  </si>
  <si>
    <r>
      <t>f</t>
    </r>
    <r>
      <rPr>
        <vertAlign val="subscript"/>
        <sz val="10"/>
        <rFont val="Arial"/>
        <family val="2"/>
      </rPr>
      <t>H</t>
    </r>
  </si>
  <si>
    <r>
      <t>f</t>
    </r>
    <r>
      <rPr>
        <vertAlign val="subscript"/>
        <sz val="10"/>
        <color theme="1"/>
        <rFont val="Arial"/>
        <family val="2"/>
      </rPr>
      <t>H,dis</t>
    </r>
  </si>
  <si>
    <t>fH</t>
  </si>
  <si>
    <t>Nutzungsgrad</t>
  </si>
  <si>
    <r>
      <t>m</t>
    </r>
    <r>
      <rPr>
        <vertAlign val="subscript"/>
        <sz val="10"/>
        <color theme="1"/>
        <rFont val="Arial"/>
        <family val="2"/>
      </rPr>
      <t>an</t>
    </r>
  </si>
  <si>
    <t>Heizwärme</t>
  </si>
  <si>
    <r>
      <t>H</t>
    </r>
    <r>
      <rPr>
        <vertAlign val="subscript"/>
        <sz val="10"/>
        <color theme="1"/>
        <rFont val="Arial"/>
        <family val="2"/>
      </rPr>
      <t>s</t>
    </r>
  </si>
  <si>
    <r>
      <t>Q</t>
    </r>
    <r>
      <rPr>
        <vertAlign val="subscript"/>
        <sz val="10"/>
        <color theme="1"/>
        <rFont val="Arial"/>
        <family val="2"/>
      </rPr>
      <t>gen,out</t>
    </r>
  </si>
  <si>
    <t>neue Anlagen</t>
  </si>
  <si>
    <t>alte Anlagen</t>
  </si>
  <si>
    <t>Jahresnutzungsgrad</t>
  </si>
  <si>
    <t>% / -</t>
  </si>
  <si>
    <t>kg/m3</t>
  </si>
  <si>
    <t>Wirkungsgrad</t>
  </si>
  <si>
    <t>Leistung</t>
  </si>
  <si>
    <t>Volllastzeit</t>
  </si>
  <si>
    <t>tan</t>
  </si>
  <si>
    <t>Fr.</t>
  </si>
  <si>
    <t>Brennstoffkosten</t>
  </si>
  <si>
    <t>Strom</t>
  </si>
  <si>
    <t>Punkt 5</t>
  </si>
  <si>
    <t>Punkt 6</t>
  </si>
  <si>
    <t>Punkt 7</t>
  </si>
  <si>
    <t>Punkt 8</t>
  </si>
  <si>
    <t>Punkt 0</t>
  </si>
  <si>
    <t>Spalte</t>
  </si>
  <si>
    <t>Für die Berechnung relevant:</t>
  </si>
  <si>
    <t>Kessel</t>
  </si>
  <si>
    <t>Kamin</t>
  </si>
  <si>
    <t>Lagerung</t>
  </si>
  <si>
    <t>Grundkosten</t>
  </si>
  <si>
    <t>Summe</t>
  </si>
  <si>
    <t>h</t>
  </si>
  <si>
    <t>Zinssatz</t>
  </si>
  <si>
    <t>a</t>
  </si>
  <si>
    <t>Energiekosten</t>
  </si>
  <si>
    <t>Fr./kWh</t>
  </si>
  <si>
    <t>Fr./kW</t>
  </si>
  <si>
    <t>CO2-Abgabe:</t>
  </si>
  <si>
    <t>Amortisationszeit</t>
  </si>
  <si>
    <t>Grundlagen für die Kostenberechnung</t>
  </si>
  <si>
    <t>Zinssatz und Teuerung</t>
  </si>
  <si>
    <t>Teuerung</t>
  </si>
  <si>
    <t>%</t>
  </si>
  <si>
    <t>Zuschlag für Unterhalt</t>
  </si>
  <si>
    <t>Unterhalt</t>
  </si>
  <si>
    <t>Erdsonde</t>
  </si>
  <si>
    <t>Miete</t>
  </si>
  <si>
    <t>Anschlussgebühren</t>
  </si>
  <si>
    <t>Unterhaltskosten:</t>
  </si>
  <si>
    <t>A</t>
  </si>
  <si>
    <r>
      <t>A</t>
    </r>
    <r>
      <rPr>
        <i/>
        <vertAlign val="subscript"/>
        <sz val="10"/>
        <color theme="1"/>
        <rFont val="Arial"/>
        <family val="2"/>
      </rPr>
      <t>B</t>
    </r>
  </si>
  <si>
    <r>
      <t>A</t>
    </r>
    <r>
      <rPr>
        <i/>
        <vertAlign val="subscript"/>
        <sz val="10"/>
        <color theme="1"/>
        <rFont val="Arial"/>
        <family val="2"/>
      </rPr>
      <t>B,en</t>
    </r>
  </si>
  <si>
    <r>
      <t>m</t>
    </r>
    <r>
      <rPr>
        <i/>
        <vertAlign val="subscript"/>
        <sz val="10"/>
        <color theme="1"/>
        <rFont val="Arial"/>
        <family val="2"/>
      </rPr>
      <t>gen</t>
    </r>
  </si>
  <si>
    <r>
      <t>M</t>
    </r>
    <r>
      <rPr>
        <i/>
        <vertAlign val="subscript"/>
        <sz val="10"/>
        <color theme="1"/>
        <rFont val="Arial"/>
        <family val="2"/>
      </rPr>
      <t>CO2</t>
    </r>
  </si>
  <si>
    <t>Kosten pro Meter</t>
  </si>
  <si>
    <t>Wärme pro Meter</t>
  </si>
  <si>
    <r>
      <t>A</t>
    </r>
    <r>
      <rPr>
        <i/>
        <vertAlign val="subscript"/>
        <sz val="10"/>
        <color theme="1"/>
        <rFont val="Arial"/>
        <family val="2"/>
      </rPr>
      <t>Q</t>
    </r>
  </si>
  <si>
    <r>
      <t>A</t>
    </r>
    <r>
      <rPr>
        <i/>
        <vertAlign val="subscript"/>
        <sz val="10"/>
        <color theme="1"/>
        <rFont val="Arial"/>
        <family val="2"/>
      </rPr>
      <t>b</t>
    </r>
  </si>
  <si>
    <r>
      <t>A</t>
    </r>
    <r>
      <rPr>
        <i/>
        <vertAlign val="subscript"/>
        <sz val="10"/>
        <color theme="1"/>
        <rFont val="Arial"/>
        <family val="2"/>
      </rPr>
      <t>b,G</t>
    </r>
  </si>
  <si>
    <r>
      <t>A</t>
    </r>
    <r>
      <rPr>
        <i/>
        <vertAlign val="subscript"/>
        <sz val="10"/>
        <color theme="1"/>
        <rFont val="Arial"/>
        <family val="2"/>
      </rPr>
      <t>b,en</t>
    </r>
  </si>
  <si>
    <r>
      <rPr>
        <i/>
        <sz val="10"/>
        <color theme="1"/>
        <rFont val="Symbol"/>
        <family val="1"/>
        <charset val="2"/>
      </rPr>
      <t>F</t>
    </r>
    <r>
      <rPr>
        <i/>
        <vertAlign val="subscript"/>
        <sz val="10"/>
        <color theme="1"/>
        <rFont val="Arial"/>
        <family val="2"/>
      </rPr>
      <t>gen,out</t>
    </r>
  </si>
  <si>
    <r>
      <t>Q</t>
    </r>
    <r>
      <rPr>
        <i/>
        <vertAlign val="subscript"/>
        <sz val="10"/>
        <rFont val="Arial"/>
        <family val="2"/>
      </rPr>
      <t>gen,out</t>
    </r>
  </si>
  <si>
    <t>Wenn bekannt kann die Wärmeerzeugerleistung hier eingegeben werden.</t>
  </si>
  <si>
    <r>
      <t>A</t>
    </r>
    <r>
      <rPr>
        <i/>
        <vertAlign val="subscript"/>
        <sz val="10"/>
        <color theme="1"/>
        <rFont val="Arial"/>
        <family val="2"/>
      </rPr>
      <t>CO2</t>
    </r>
  </si>
  <si>
    <t>Kostenberechnung Kamin</t>
  </si>
  <si>
    <t>Kostenberechnung Lagerausrüstung/Tank</t>
  </si>
  <si>
    <t>Fr./a</t>
  </si>
  <si>
    <t>Wenn bekannt kann der Heizwärmebedarf hier eingegeben werden.</t>
  </si>
  <si>
    <t>Kostenberechung</t>
  </si>
  <si>
    <t>Heizkessel inkl. IBN</t>
  </si>
  <si>
    <t>Regulierung</t>
  </si>
  <si>
    <t>Armaturen &amp; Apparate</t>
  </si>
  <si>
    <t>Heizungsspeicher</t>
  </si>
  <si>
    <t>Montage</t>
  </si>
  <si>
    <t>Armaturen Apparate</t>
  </si>
  <si>
    <t>Bestückung</t>
  </si>
  <si>
    <t xml:space="preserve">Wärmepumpe </t>
  </si>
  <si>
    <t>Luftkanal</t>
  </si>
  <si>
    <t>Zwischenkreis</t>
  </si>
  <si>
    <t>Gasheizkessel</t>
  </si>
  <si>
    <t>Öl Heizkessel</t>
  </si>
  <si>
    <t>Abgaswärmetauscher</t>
  </si>
  <si>
    <t>Übergabestation</t>
  </si>
  <si>
    <t>Pellets Austragung</t>
  </si>
  <si>
    <t>Pelletslager (Technik)</t>
  </si>
  <si>
    <t>Tankanlage</t>
  </si>
  <si>
    <t>Grundwasserschacht</t>
  </si>
  <si>
    <t>Erdsondenbohrungen</t>
  </si>
  <si>
    <t>5 kW</t>
  </si>
  <si>
    <t>10 kW</t>
  </si>
  <si>
    <t>20 kW</t>
  </si>
  <si>
    <t>70 kW</t>
  </si>
  <si>
    <t>100 kW</t>
  </si>
  <si>
    <t>200 kW</t>
  </si>
  <si>
    <t>350 kW</t>
  </si>
  <si>
    <t>500 kW</t>
  </si>
  <si>
    <t>Wartungsabo</t>
  </si>
  <si>
    <t>Kaminfeger</t>
  </si>
  <si>
    <t>Filterwechsel</t>
  </si>
  <si>
    <t>jährliche Kontrolle</t>
  </si>
  <si>
    <t>0 kW</t>
  </si>
  <si>
    <t>Daten vorhanden?</t>
  </si>
  <si>
    <t>I</t>
  </si>
  <si>
    <t>Abgegebene Wärme</t>
  </si>
  <si>
    <t>MWh</t>
  </si>
  <si>
    <t>kUBP</t>
  </si>
  <si>
    <t>Volllaststunden Wärmezentrale</t>
  </si>
  <si>
    <t>nur Heizwärme</t>
  </si>
  <si>
    <t>inkl. Warmwasser</t>
  </si>
  <si>
    <t>Stunden pro Jahr</t>
  </si>
  <si>
    <t>ohne WW</t>
  </si>
  <si>
    <t>mit WW</t>
  </si>
  <si>
    <t>Jahr</t>
  </si>
  <si>
    <t>JahrVerbrauch</t>
  </si>
  <si>
    <t>HGT</t>
  </si>
  <si>
    <t>HGT Basis</t>
  </si>
  <si>
    <t>Korrekturfaktor</t>
  </si>
  <si>
    <t>Wahl für Berechnung</t>
  </si>
  <si>
    <t>HGT 2010</t>
  </si>
  <si>
    <t>HGT 2011</t>
  </si>
  <si>
    <t>HGT 2012</t>
  </si>
  <si>
    <t>HGT 2013</t>
  </si>
  <si>
    <t>HGT 2014</t>
  </si>
  <si>
    <t>HGT 2015</t>
  </si>
  <si>
    <t>HGT 2016</t>
  </si>
  <si>
    <t>HGT 2017</t>
  </si>
  <si>
    <t>HGT 2018</t>
  </si>
  <si>
    <t>HGT 2019</t>
  </si>
  <si>
    <t>HGT 2020</t>
  </si>
  <si>
    <t>Wert</t>
  </si>
  <si>
    <t>Vollkostenrechnung</t>
  </si>
  <si>
    <t>Umweltbelastung</t>
  </si>
  <si>
    <t>kg/MWh</t>
  </si>
  <si>
    <t>P/MWh</t>
  </si>
  <si>
    <t>Wärme</t>
  </si>
  <si>
    <t>Wärmeleistung</t>
  </si>
  <si>
    <t>Angaben bei einer Raumtemperatur von 21°C und -8°C Aussentemperatur</t>
  </si>
  <si>
    <t>Objektdaten:</t>
  </si>
  <si>
    <t>spez. Leistungskosten:</t>
  </si>
  <si>
    <t>Wärmenetz KVA</t>
  </si>
  <si>
    <t>Wärmenetz BHKW + Gas</t>
  </si>
  <si>
    <t>Wärmenetz WP (Grundwasser)</t>
  </si>
  <si>
    <t>Wärmenetz Hackschnitzel</t>
  </si>
  <si>
    <t>Zählermiete</t>
  </si>
  <si>
    <t>Wärmeerzeugung</t>
  </si>
  <si>
    <t>Kontakt</t>
  </si>
  <si>
    <t>Objektadresse</t>
  </si>
  <si>
    <t>kCO2,eq</t>
  </si>
  <si>
    <t>Qgen, out</t>
  </si>
  <si>
    <t>W/m2</t>
  </si>
  <si>
    <t>kWh/m2</t>
  </si>
  <si>
    <t>Leistungspreis</t>
  </si>
  <si>
    <t>Volllaststunden Wärmeerzeugung</t>
  </si>
  <si>
    <t>Leistungskosten</t>
  </si>
  <si>
    <t>P</t>
  </si>
  <si>
    <t>Fr./MWh</t>
  </si>
  <si>
    <t xml:space="preserve">Grundlagen für energetische Berechnung </t>
  </si>
  <si>
    <t>CO2-Abgabe</t>
  </si>
  <si>
    <t>Fr./m2 oder t</t>
  </si>
  <si>
    <t>Wärmeerzeugung für:</t>
  </si>
  <si>
    <t>Investitionskosten</t>
  </si>
  <si>
    <t>Stunden für Berechnung</t>
  </si>
  <si>
    <r>
      <rPr>
        <i/>
        <sz val="10"/>
        <color theme="1"/>
        <rFont val="Symbol"/>
        <family val="1"/>
        <charset val="2"/>
      </rPr>
      <t>F</t>
    </r>
    <r>
      <rPr>
        <i/>
        <sz val="10"/>
        <color theme="1"/>
        <rFont val="Arial"/>
        <family val="2"/>
      </rPr>
      <t>gen, out</t>
    </r>
  </si>
  <si>
    <t>Grundlagen für die Berechnung der Investitionskosten</t>
  </si>
  <si>
    <t xml:space="preserve">Auf dieser Seite finden Sie einige Hinweise zu der Berechnung und woher die Grundlagen stammen. Der Aufbau entspricht der Reihenfolge der Eingaben.  </t>
  </si>
  <si>
    <t>Erläuterungen und Hinweise</t>
  </si>
  <si>
    <t>Wärmeerzeugerleistung und abgegebene Wärme</t>
  </si>
  <si>
    <t>Unterhaltskosten</t>
  </si>
  <si>
    <t>Kapitalkosten</t>
  </si>
  <si>
    <t>Die Berechung der Unterhaltskosten folgt dem gleichen Prinzip wie die Berechnung der Investitionskosten. die Vorgegebenen Standardwerte können auf dem Excelblatt "Unterhaltskosten" angepasst werden.</t>
  </si>
  <si>
    <t>Wärmenetz BHKW (Gas)</t>
  </si>
  <si>
    <t>Eigene Anlage</t>
  </si>
  <si>
    <t>ja</t>
  </si>
  <si>
    <t>nein</t>
  </si>
  <si>
    <t>Wärmeerzeugung berechnen?</t>
  </si>
  <si>
    <t>Grundlagen für die Berechnung der jährlichen Unterhaltskosten</t>
  </si>
  <si>
    <t>Grundpreis</t>
  </si>
  <si>
    <t>Punkt 9</t>
  </si>
  <si>
    <t>Thermische Solaranlage</t>
  </si>
  <si>
    <t>Amortisationszeit (Jahre)</t>
  </si>
  <si>
    <r>
      <t>Fr./t(CO</t>
    </r>
    <r>
      <rPr>
        <vertAlign val="subscript"/>
        <sz val="10"/>
        <color theme="1"/>
        <rFont val="Arial"/>
        <family val="2"/>
      </rPr>
      <t>2</t>
    </r>
    <r>
      <rPr>
        <sz val="10"/>
        <color theme="1"/>
        <rFont val="Arial"/>
        <family val="2"/>
      </rPr>
      <t>)</t>
    </r>
  </si>
  <si>
    <t>P/kWh</t>
  </si>
  <si>
    <t>kg/kWh</t>
  </si>
  <si>
    <t>Grundkosten:</t>
  </si>
  <si>
    <t>Planung</t>
  </si>
  <si>
    <t>Anteil an Investitionskosten</t>
  </si>
  <si>
    <t>Solar für Erdgas-Anlage</t>
  </si>
  <si>
    <t>Ertrag pro Jahr</t>
  </si>
  <si>
    <t>Anteil an abgegebener Wärme</t>
  </si>
  <si>
    <t>Faktor</t>
  </si>
  <si>
    <t>keine</t>
  </si>
  <si>
    <t>Erdgas mit Solar (max. 70 kW)</t>
  </si>
  <si>
    <t>Heizkessel/WP inkl. IBN</t>
  </si>
  <si>
    <t>Text</t>
  </si>
  <si>
    <t>Gesamtkosten für Anlagen (inkl. Montage):</t>
  </si>
  <si>
    <t>Bei Wärmenetz BHKW (Gas) wird nur die Wärmeabgabe berücksichtigt.</t>
  </si>
  <si>
    <t>Bei Hackschnitzel muss anstelle des Energiepreises der Wärmepreis eingegeben werden.</t>
  </si>
  <si>
    <t>Quelle:http://www.ezv.admin.ch/zollinfo_firmen/04020/04256/04265/index.html?lang=de</t>
  </si>
  <si>
    <t>Die Werte dürfen nicht gleich gross sein!</t>
  </si>
  <si>
    <t>Quelle: KBOB (http://www.eco-bau.ch/index.cfm?Nav=17&amp;ID=46)</t>
  </si>
  <si>
    <t>Erschliessung Elektro</t>
  </si>
  <si>
    <t>Mehrauf. Elektrokasten</t>
  </si>
  <si>
    <t>Gas</t>
  </si>
  <si>
    <t>J</t>
  </si>
  <si>
    <t>K</t>
  </si>
  <si>
    <t xml:space="preserve">Bei einem Ersatz einer bestehenden Anlage wird der jährliche Verbrauch angegeben. Es darf jeweils nur eine Brennstoff-Art angegeben werden, ansonsten wird die Wärmeerzeugerleistung falsch berechnet. Der Verbrauch wird Heizgradtag bereinigt, für die Berechnung der Wärme werden die Stoffwerte aus der Norm SIA 380 verwendet. Der Jahresnutzungsgrad für neue Anlagen wurde den Minergie-Dokumenten entnommen, für alte Anlagen liefert die Leistungsgarantie Haustechnik von Energie Schweiz die Grundlage. Die Werte sind auf dem Excelblatt "Grundlagen" in der Tabelle Grundlagen für energetische Berechnung zu finden und können ebenfalls überschrieben werden. In der gleichen Tabelle sind auch die Werte für die akquivalenten Treibhausgase und Umweltbelastungspunkte (UBP) zu finden. Quelle hier ist die KBOB.    </t>
  </si>
  <si>
    <t>Source: KBOB (http://www.eco-bau.ch/index.cfm?Nav=17&amp;ID=46)</t>
  </si>
  <si>
    <t>Chaudière à gaz</t>
  </si>
  <si>
    <t>Station de transfert</t>
  </si>
  <si>
    <t>Heures par an</t>
  </si>
  <si>
    <t>Part des coûts d'investissement</t>
  </si>
  <si>
    <t>Calcul de comparaison des coûts de chauffage</t>
  </si>
  <si>
    <t>PAC (ECS)</t>
  </si>
  <si>
    <t>PAC (Sol/Eau)</t>
  </si>
  <si>
    <t>Calcul des coûts</t>
  </si>
  <si>
    <t>Point 1</t>
  </si>
  <si>
    <t>Point 2</t>
  </si>
  <si>
    <t>Point 3</t>
  </si>
  <si>
    <t>Point 4</t>
  </si>
  <si>
    <t>Mazout</t>
  </si>
  <si>
    <t>Densité</t>
  </si>
  <si>
    <t>Propre</t>
  </si>
  <si>
    <t>Énergie primaire</t>
  </si>
  <si>
    <t>Données du projet</t>
  </si>
  <si>
    <t>Projet</t>
  </si>
  <si>
    <t>Station climatique</t>
  </si>
  <si>
    <t>Nouvelle construction</t>
  </si>
  <si>
    <t>Remplacement</t>
  </si>
  <si>
    <t>Surface de référence énergétique (SRE)</t>
  </si>
  <si>
    <t>Valeur limite SIA 380/1</t>
  </si>
  <si>
    <t>Minergie</t>
  </si>
  <si>
    <t>Utilisation du bâtiment:</t>
  </si>
  <si>
    <t>Chaleur fournie</t>
  </si>
  <si>
    <t>Coûts d'investissement</t>
  </si>
  <si>
    <t>Coûts de capitaux</t>
  </si>
  <si>
    <t>Coûts d'entretien</t>
  </si>
  <si>
    <t>Espace requis pour la centrale</t>
  </si>
  <si>
    <t>Moyenne CH</t>
  </si>
  <si>
    <t>Coûts de l'énergie</t>
  </si>
  <si>
    <t>Besoin en puissance et chaleur nouvelles constructions</t>
  </si>
  <si>
    <t>Facteur de réduction pour standard énergetique</t>
  </si>
  <si>
    <t>Electricité</t>
  </si>
  <si>
    <t>Réseau de chaleur cogénération (gaz)</t>
  </si>
  <si>
    <t>Réseau de chaleur PAC (eaux souterraines)</t>
  </si>
  <si>
    <t>Réseau de chaleur copeaux de bois</t>
  </si>
  <si>
    <t>Coût de puissance</t>
  </si>
  <si>
    <t>Cheminée</t>
  </si>
  <si>
    <t>Stockage</t>
  </si>
  <si>
    <t>Sonde géothermique</t>
  </si>
  <si>
    <t>Loyer</t>
  </si>
  <si>
    <t>Coûts par mètre</t>
  </si>
  <si>
    <t>Temps d'amortissement</t>
  </si>
  <si>
    <t>Chaleur par mètre</t>
  </si>
  <si>
    <t>Taux d'intérêt</t>
  </si>
  <si>
    <t>Calcul des coûts cheminée</t>
  </si>
  <si>
    <t>Données disponibles?</t>
  </si>
  <si>
    <t>Somme</t>
  </si>
  <si>
    <t>Chaudière à mazout</t>
  </si>
  <si>
    <t>Armatures et appareils</t>
  </si>
  <si>
    <t>Abonnement d'entretien</t>
  </si>
  <si>
    <t>Ramoneur</t>
  </si>
  <si>
    <t>Regulation</t>
  </si>
  <si>
    <t>Pompe à chaleur</t>
  </si>
  <si>
    <t>Changement de filtre</t>
  </si>
  <si>
    <t>Impact écologique</t>
  </si>
  <si>
    <t>Chaleur</t>
  </si>
  <si>
    <t>Puissance de chaleur</t>
  </si>
  <si>
    <t>Racordement électro</t>
  </si>
  <si>
    <t>Production par année</t>
  </si>
  <si>
    <t>Pourcentage de la chaleur fournie</t>
  </si>
  <si>
    <t>Prix de l'énergie</t>
  </si>
  <si>
    <t>Prix de la puissance</t>
  </si>
  <si>
    <t>Temps d'amortissement (années)</t>
  </si>
  <si>
    <t>Installation solaire thermique</t>
  </si>
  <si>
    <t>Accumulateur de chauffage</t>
  </si>
  <si>
    <t>Extraction pellets</t>
  </si>
  <si>
    <t>Équipement</t>
  </si>
  <si>
    <t>Taxe de raccordement</t>
  </si>
  <si>
    <t>Circuit intermédiaire</t>
  </si>
  <si>
    <t>Contrôle annuel</t>
  </si>
  <si>
    <t>Heures de pleine charge centrale de chauffage</t>
  </si>
  <si>
    <t>Production de chaleur pour:</t>
  </si>
  <si>
    <t>Année</t>
  </si>
  <si>
    <t>Calcul des coûts complets</t>
  </si>
  <si>
    <t>Taxes</t>
  </si>
  <si>
    <t>Coûts de base</t>
  </si>
  <si>
    <t>Planification</t>
  </si>
  <si>
    <t>Propre installation</t>
  </si>
  <si>
    <t>Copeaux de bois</t>
  </si>
  <si>
    <t>PAC (A/E)</t>
  </si>
  <si>
    <t>Pris de base</t>
  </si>
  <si>
    <t>Vieilles installations</t>
  </si>
  <si>
    <t>Nouvelles installations</t>
  </si>
  <si>
    <t>Explications et indications</t>
  </si>
  <si>
    <t>Nouvelles constructions</t>
  </si>
  <si>
    <t>UIOM</t>
  </si>
  <si>
    <t>Réseau de chaleur UIOM</t>
  </si>
  <si>
    <t>Frais de raccordement</t>
  </si>
  <si>
    <t>Pouvoir calorifique</t>
  </si>
  <si>
    <t>Facteurs source d'énergie</t>
  </si>
  <si>
    <t>Energie finale:</t>
  </si>
  <si>
    <t>Coûts de capitaux:</t>
  </si>
  <si>
    <t>Coûts d'entretien:</t>
  </si>
  <si>
    <t>Résultats</t>
  </si>
  <si>
    <t>Espace requis pour le stockage</t>
  </si>
  <si>
    <t>Coûts spéc. de puissance:</t>
  </si>
  <si>
    <t>Facteur de réduction pour standard des bâtiments</t>
  </si>
  <si>
    <t>Coûts du carburant</t>
  </si>
  <si>
    <t>Production de chaleur</t>
  </si>
  <si>
    <t>Location du compteur</t>
  </si>
  <si>
    <t>Supplément pour entretien</t>
  </si>
  <si>
    <t>Renchérissement des prix</t>
  </si>
  <si>
    <t>Si elle est connue, la puissance de chaleur du générateur peut être saisi ici.</t>
  </si>
  <si>
    <t>Si il est connu, le besoin en énergie de chauffage peut être saisi ici.</t>
  </si>
  <si>
    <t>Calcul des coûts matériel de stockage et citerne</t>
  </si>
  <si>
    <t>Caisse de neutralisation</t>
  </si>
  <si>
    <t>Installation de reservoirs</t>
  </si>
  <si>
    <t>Chaudière incl. mise en service</t>
  </si>
  <si>
    <t>Entrepôt Pellet (téchnique)</t>
  </si>
  <si>
    <t>Conduit d'air</t>
  </si>
  <si>
    <t>Puit de pompage d'eau souterraine</t>
  </si>
  <si>
    <t>Données à une température de la pièce de 21°C et température externe de -8°C.</t>
  </si>
  <si>
    <t>Calculer production de chaleur?</t>
  </si>
  <si>
    <t>Coûts de base:</t>
  </si>
  <si>
    <t>Installation solaire</t>
  </si>
  <si>
    <t>Chaudière/PAC incl mise en service</t>
  </si>
  <si>
    <t>Solaire pour installation à gaz</t>
  </si>
  <si>
    <t>Coûts totaux pour l'installation (incl. montage)</t>
  </si>
  <si>
    <t>Degré d'utilisation annuel:</t>
  </si>
  <si>
    <t>Pour les réseaux de cogénération (gaz), seule la chaleur fournie est considérée.</t>
  </si>
  <si>
    <t>Chauffage uniquement</t>
  </si>
  <si>
    <t>Incl. ECS</t>
  </si>
  <si>
    <t>Source:http://www.ezv.admin.ch/zollinfo_firmen/04020/04256/04265/index.html?lang=de</t>
  </si>
  <si>
    <t>Pour les copeaux de bois, le prix de la chaleur et non celui de l'énergie doit être donné.</t>
  </si>
  <si>
    <t>Taux d'intérêt et renchérissement des prix</t>
  </si>
  <si>
    <t>Les valeurs ne peuvent pas être égales!</t>
  </si>
  <si>
    <t>Frais supplémentaires boîtier électrique</t>
  </si>
  <si>
    <t>Sur cette page, vous trouverez certaines indications pour le calcul et de où proviennent les données de base. La structure correspond à l'ordre de saisie des données.</t>
  </si>
  <si>
    <t>Dans une nouvelle construction, la surface de référence énergétique (SRE) forme la base, celle-ci est multipliée par des valeurs spécifiques selon le cahier technique de la SIA 2024. Si la température extérieure diffère de -8 ° C, ou la construction se fait selon Minergie ou Minergie-P, la valeur est corrigée. Les valeurs se trouvent dans la feuille Excel « Données de base » dans les tableaux « besoin en puissance et chaleur nouvelles construction » et « facteur de réduction pour standard du bâtiment» et peut être écrit par dessus au besoin.</t>
  </si>
  <si>
    <t>Puissance de chauffage et chaleur fournie</t>
  </si>
  <si>
    <t>Le calcul de la puissance de chauffage et de la chaleur fournie est décrite dans la norme SIA 384/1. Les heures à pleine charge peuvent également être remplacées, les valeurs se trouvent dans le tableau « heures à pleine charge de la production de chaleur ». La base du calcul est la garantie de performance installations techniques.</t>
  </si>
  <si>
    <t>Lors du remplacement d'une installation existante, la consommation annuelle est spécifiée. Seul une source d'énergie peut être saisie, sinon la puissance de chauffage est calculée de manière incorrecte. La consommation est ajustée selon les degré-jours de chauffage, pour le calcul de chaleur, les données des matériaux de la norme SIA 380 est utilisées. Le degré d'utilisation annuel pour de nouvelles installations est prise des documents Minergie. Pour les installations existantes, c'est la garantie de performance installations techniques de Suisse Energie qui fournit les bases de données. Les valeurs se trouvent dans la feuille Excel « Données de base » dans le tableau bases de données pour calcul énergétique et peuvent également être remplacés. Dans le même tableau se trouvent, les valeurs des gaz à effet de serre équivalents et les écopoints (UBP). La référence ici est le KBOB.</t>
  </si>
  <si>
    <t>Le calcul des coûts d'entretien suit le même principe que le calcul des coûts d'investissement. Les valeurs par défaut peuvent être remplacés dans la feuille Excel « coûts d'entretien ».</t>
  </si>
  <si>
    <t>Ecopoints (UBP)</t>
  </si>
  <si>
    <t>Données de base pour calcul énergétique</t>
  </si>
  <si>
    <t>Données de base pour le calcul des coûts</t>
  </si>
  <si>
    <t>Données de base pour le calcul des coûts d'entretien</t>
  </si>
  <si>
    <t>Les coûts de capitaux sont calculés selon la méthode d'annuité à partir des coûts d'investissement interpolés. La période d'amortissement et le taux d'intérêt se trouvent dans la feuille Excel « Données de base » et peuvent être remplacés.</t>
  </si>
  <si>
    <t>Données de base pour le calcul des coûts d'investissement</t>
  </si>
  <si>
    <t>Calcolatore dei costi di riscaldamento</t>
  </si>
  <si>
    <t>Calcolo dei costi</t>
  </si>
  <si>
    <t>Punto 1</t>
  </si>
  <si>
    <t>Punto 2</t>
  </si>
  <si>
    <t>Punto 3</t>
  </si>
  <si>
    <t>Punto 4</t>
  </si>
  <si>
    <t>Pellet</t>
  </si>
  <si>
    <t>PdC (acqua-acqua)</t>
  </si>
  <si>
    <t>PdC (sonda geotermica-acqua)</t>
  </si>
  <si>
    <t>Fattori vettore energetico</t>
  </si>
  <si>
    <t>Densità</t>
  </si>
  <si>
    <t>Potere calorifico</t>
  </si>
  <si>
    <t>Energia primaria</t>
  </si>
  <si>
    <t>Punti di impatto ambientale</t>
  </si>
  <si>
    <t>Impianto proprio</t>
  </si>
  <si>
    <t>NAP, località:</t>
  </si>
  <si>
    <t>Dati del progetto</t>
  </si>
  <si>
    <t>Progetto:</t>
  </si>
  <si>
    <t>Utilizzo dell'edificio:</t>
  </si>
  <si>
    <t>Stazione meteo:</t>
  </si>
  <si>
    <t>Edificio nuovo</t>
  </si>
  <si>
    <t>Sostituzione</t>
  </si>
  <si>
    <t>Superficie di riferimento energetico (SRE):</t>
  </si>
  <si>
    <t>Valore limite SIA 380/1</t>
  </si>
  <si>
    <t>Calore generato</t>
  </si>
  <si>
    <t>Energia finale:</t>
  </si>
  <si>
    <t>Costi di investimento</t>
  </si>
  <si>
    <t>Costo del capitale:</t>
  </si>
  <si>
    <t>Costi di manutenzione:</t>
  </si>
  <si>
    <t>Risultati</t>
  </si>
  <si>
    <t>Ingombro della centrale</t>
  </si>
  <si>
    <t>Ingombro del serbatoio</t>
  </si>
  <si>
    <t>Media CH</t>
  </si>
  <si>
    <t>Impianto di incenerimento dei rifiuti urbani</t>
  </si>
  <si>
    <t>Costo dell'energia</t>
  </si>
  <si>
    <t>Costo specifico della potenza:</t>
  </si>
  <si>
    <t>Fabbisogno di potenza e calore edifici nuovi</t>
  </si>
  <si>
    <t>Fattore di riduzione per standard energetico dell'edificio</t>
  </si>
  <si>
    <t>Corrente elettrica</t>
  </si>
  <si>
    <t>Costo del combustibile</t>
  </si>
  <si>
    <t>Rete termica inceneritore rifiuti</t>
  </si>
  <si>
    <t>Rete termica impianto di cogenerazione (gas)</t>
  </si>
  <si>
    <t>Rete termica PdC (acqua sotterranea)</t>
  </si>
  <si>
    <t>Rete termica cippato</t>
  </si>
  <si>
    <t>Costo della potenza</t>
  </si>
  <si>
    <t>Produzione di calore</t>
  </si>
  <si>
    <t>Camino</t>
  </si>
  <si>
    <t>Stoccaggio</t>
  </si>
  <si>
    <t>Sonda geotermica</t>
  </si>
  <si>
    <t>Tassa di allacciamento</t>
  </si>
  <si>
    <t>Noleggio</t>
  </si>
  <si>
    <t>Costi di base</t>
  </si>
  <si>
    <t>Noleggio del contatore</t>
  </si>
  <si>
    <t>Costo al metro</t>
  </si>
  <si>
    <t>Durata dell'ammortamento</t>
  </si>
  <si>
    <t>Supplemento per la manutenzione</t>
  </si>
  <si>
    <t>Calore al metro</t>
  </si>
  <si>
    <t>Inserire qui la potenza termica (se conosciuta).</t>
  </si>
  <si>
    <t>Tasso di interesse</t>
  </si>
  <si>
    <t>Inflazione</t>
  </si>
  <si>
    <t>Inserire qui il fabbisogno termico per il riscaldamento (se conosciuto).</t>
  </si>
  <si>
    <t>Calcolo dei costi infrastruttura/serbatoio</t>
  </si>
  <si>
    <t>Calcolo dei costi camino</t>
  </si>
  <si>
    <t>Dati disponibili?</t>
  </si>
  <si>
    <t>Fonte: KBOB (http://www.eco-bau.ch/index.cfm?Nav=17&amp;ID=46)</t>
  </si>
  <si>
    <t>Totale</t>
  </si>
  <si>
    <t>Caldaia a olio combustibile</t>
  </si>
  <si>
    <t>Scambiatore di calore gas di scarico</t>
  </si>
  <si>
    <t>Raccordi e apparecchi</t>
  </si>
  <si>
    <t>Dispositivo di neutralizzazione</t>
  </si>
  <si>
    <t>Impianto di stoccaggio</t>
  </si>
  <si>
    <t>Montaggio</t>
  </si>
  <si>
    <t>Abbonamento per la manutenzione</t>
  </si>
  <si>
    <t>Spazzacamino</t>
  </si>
  <si>
    <t>Caldaia a gas</t>
  </si>
  <si>
    <t>Caldaia incl. messa in esercizio</t>
  </si>
  <si>
    <t>Regolazione</t>
  </si>
  <si>
    <t>Termoaccumulatore</t>
  </si>
  <si>
    <t>Impianto caricamento pellet</t>
  </si>
  <si>
    <t>Serbatoio pellet (tecnica)</t>
  </si>
  <si>
    <t>Equipaggiamento</t>
  </si>
  <si>
    <t>Pompa di calore</t>
  </si>
  <si>
    <t>Condotta dell'aria</t>
  </si>
  <si>
    <t>Sostituzione dei filtri</t>
  </si>
  <si>
    <t>Circuito intermedio</t>
  </si>
  <si>
    <t>Pozzo acqua sotterranea</t>
  </si>
  <si>
    <t>Sottostazione</t>
  </si>
  <si>
    <t>Controllo annuale</t>
  </si>
  <si>
    <t>Ore a pieno carico centrale termica</t>
  </si>
  <si>
    <t>solo per il riscaldamento</t>
  </si>
  <si>
    <t>incl. acqua calda sanitaria</t>
  </si>
  <si>
    <t>Ore all'anno</t>
  </si>
  <si>
    <t>Produzione di calore per:</t>
  </si>
  <si>
    <t>Anno</t>
  </si>
  <si>
    <t>Calcolo dei costi complessivi</t>
  </si>
  <si>
    <t>Impatto ambientale</t>
  </si>
  <si>
    <t>Calore</t>
  </si>
  <si>
    <t>Potenza termica</t>
  </si>
  <si>
    <t>Valori per temperatura ambiente di 21°C e temperatura esterna di -8°C</t>
  </si>
  <si>
    <t>Tasse</t>
  </si>
  <si>
    <t>no</t>
  </si>
  <si>
    <t>Calcolare la produzione di calore?</t>
  </si>
  <si>
    <t>Costi di base:</t>
  </si>
  <si>
    <t>Progettazione</t>
  </si>
  <si>
    <t>Impianto solare</t>
  </si>
  <si>
    <t>Basi per il calcolo dei costi di investimento</t>
  </si>
  <si>
    <t>Cippato</t>
  </si>
  <si>
    <t>PdC (aria-acqua)</t>
  </si>
  <si>
    <t>Caldaia/PdC incl. messa in esercizio</t>
  </si>
  <si>
    <t>Solare termico per impianto a gas naturale</t>
  </si>
  <si>
    <t>Costo complessivo degli impianti (incl. montaggio)</t>
  </si>
  <si>
    <t>Basi per il calcolo dei costi di manutenzione annuali</t>
  </si>
  <si>
    <t>Prezzo di base</t>
  </si>
  <si>
    <t>Basi per il calcolo energetico</t>
  </si>
  <si>
    <t>Grado di rendimento annuo</t>
  </si>
  <si>
    <t>vecchi impianti</t>
  </si>
  <si>
    <t>nuovi impianti</t>
  </si>
  <si>
    <t>Rete termica impianto di cogenerazione: viene considerata unicamente la produzione di calore.</t>
  </si>
  <si>
    <t>Ore a pieno carico produzione calore</t>
  </si>
  <si>
    <t>Basi per il calcolo dei costi</t>
  </si>
  <si>
    <t>Cippato: va indicato il costo del calore invece del costo dell’energia.</t>
  </si>
  <si>
    <t>Fonte:http://www.ezv.admin.ch/zollinfo_firmen/04020/04256/04265/index.html?lang=de</t>
  </si>
  <si>
    <t>Tasso di interesse e inflazione</t>
  </si>
  <si>
    <t>I valori non possono essere identici!</t>
  </si>
  <si>
    <t>Impianto solare termico</t>
  </si>
  <si>
    <t>Quota di calore ceduto</t>
  </si>
  <si>
    <t>Durata dell'ammortamento (anni)</t>
  </si>
  <si>
    <t>Produzione annua</t>
  </si>
  <si>
    <t>Quota dei costi di investimento</t>
  </si>
  <si>
    <t>Allacciamento elettrico</t>
  </si>
  <si>
    <t>Spese suppl. quadro elettrico</t>
  </si>
  <si>
    <t>Spiegazioni e suggerimenti</t>
  </si>
  <si>
    <t>In questa pagina vengono dati alcuni suggerimenti per l’utilizzo dello strumento di calcolo. La struttura corrisponde alla sequenza con cui i dati vanno inseriti.</t>
  </si>
  <si>
    <t>Potenza termica e calore generato</t>
  </si>
  <si>
    <t>Nel caso di un edificio nuovo, la SRE viene moltiplicata con i valori specifici del quaderno tecnico SIA 2024. Se la temperatura esterna differisce dai -8°C o se l'edificio è costruito secondo lo standard Minergie o Minergie-P, il valore viene corretto. I valori si trovano nella rubrica "Grundlagen" nelle tabelle "Fabbisogno di potenza e calore edifici nuovi" e "Fattore di riduzione per standard energetico dell'edificio" e possono essere modificati in caso di necessità.</t>
  </si>
  <si>
    <t>Nel caso di sostituzione dell’impianto esistente va inserito il consumo annuo. È permesso indicare un unico vettore energetico; in caso contrario, la potenza termica non verrà calcolata correttamente. Il consumo energetico è rettificato secondo i gradi giorno. Per il calcolo del calore vengono utilizzati i valori dei vettori energetici secondo la norma SIA 380. Il grado di rendimento annuo per i nuovi impianti si basa sulla documentazione Minergie, mentre per i vecchi impianti sul documento “Garanzia di prestazione Installazioni domestiche” di SvizzeraEnergia. I valori si trovano nella rubrica "Grundlagen" nella tabella "Basi per il calcolo energetico" e possono essere modificati in caso di necessità. Nella stessa tabella si trovano anche i valori delle emissioni di gas serra e i punti di impatto ambientale (fonte: KBOB).</t>
  </si>
  <si>
    <t>Il calcolo della potenza termica e del calore generato è descritto nella norma SIA 384/1. Le ore a pieno carico possono essere modificate nella tabella “Ore a pieno carico produzione calore”. I valori si basano sul documento “Garanzia di prestazione Installazioni domestiche” di SvizzeraEnergia.</t>
  </si>
  <si>
    <t>Costo del capitale</t>
  </si>
  <si>
    <t>I costi del capitale sono calcolati con il metodo delle annualità sulla base dei costi di investimento interpolati. La durata dell’ammortamento e i tassi di interesse si trovano nella rubrica “Grundlagen” e possono essere modificati.</t>
  </si>
  <si>
    <t>Costi di manutenzione</t>
  </si>
  <si>
    <t>I costi di manutenzione sono calcolati secondo lo stesso principio dei costi d’investimento. I valori standard nella rubrica “Unterhaltskosten” possono essere modificati.</t>
  </si>
  <si>
    <t>proprio</t>
  </si>
  <si>
    <t>Echangeur de chaleur pour gaz d'échap.</t>
  </si>
  <si>
    <t>Korrektur für zu grosse Leistungen</t>
  </si>
  <si>
    <t>spez. Wärmekosten</t>
  </si>
  <si>
    <t>Coût spec. de chaleur</t>
  </si>
  <si>
    <t>Costo specifico del calore</t>
  </si>
  <si>
    <t>sì</t>
  </si>
  <si>
    <t>oui</t>
  </si>
  <si>
    <t>non</t>
  </si>
  <si>
    <t>Gaz et solaire (max. 70 kW)</t>
  </si>
  <si>
    <t>Gas e solare (max. 70 kW)</t>
  </si>
  <si>
    <t>Olio</t>
  </si>
  <si>
    <t>Gaz</t>
  </si>
  <si>
    <t>HGT 2021</t>
  </si>
  <si>
    <t>HGT 2022</t>
  </si>
  <si>
    <t>HGT 2023</t>
  </si>
  <si>
    <t>HGT 2024</t>
  </si>
  <si>
    <t>750 kW</t>
  </si>
  <si>
    <t>1000 kW</t>
  </si>
  <si>
    <t>1500 kW</t>
  </si>
  <si>
    <t>2000 kW</t>
  </si>
  <si>
    <t xml:space="preserve">Für die Berechnung der  Investitionskosten wurden bei den Wärmeerzeugerleistungen 5 kW, 10 kW, 20 kW, 70 kW, 100 kW, 200 kW, 350 kW, 500kW, 750kW, 1'000 kW, 1'500 kW und 2'000 kW für jede Wärmeerzeugungsart Marktwerte berechnet (exkl. MwSt.) und auf dem Excelblatt "Investitionskosten" hinterlegt. Liegen eigene Wert vor, können die vorhandenen Standardwerte überschrieben werden.    </t>
  </si>
  <si>
    <t>Per i costi di investimento per le potenze termiche 5 kW, 10 kW, 20 kW, 70 kW, 100 kW, 200 kW, 350 kW, 500kW, 750kW, 1'000 kW, 1'500 kW e 2'000kW sono stati calcolati i valori di mercato (IVA esclusa) per ogni sistema di produzione di calore. Questi valori si trovano nella rubrica “Investitionskosten” e possono essere modificati con i dati specifici del proprio impianto.</t>
  </si>
  <si>
    <t>Subventionen</t>
  </si>
  <si>
    <t>Subventionsbeitrag</t>
  </si>
  <si>
    <t>Bauliche Massnahmen</t>
  </si>
  <si>
    <t>Kosten für bauliche Massnahmen</t>
  </si>
  <si>
    <t>Einheit für die baulichen Massnahmen</t>
  </si>
  <si>
    <t>PV-Anlage</t>
  </si>
  <si>
    <t>Typ</t>
  </si>
  <si>
    <t>Ausrichtung</t>
  </si>
  <si>
    <t>Neigung</t>
  </si>
  <si>
    <t>Ausrichtung PV-Anlage</t>
  </si>
  <si>
    <t>Osten</t>
  </si>
  <si>
    <t>Süden</t>
  </si>
  <si>
    <t>Neigung der PV-Anlage</t>
  </si>
  <si>
    <t>Typ des Moduls</t>
  </si>
  <si>
    <t>Westen</t>
  </si>
  <si>
    <t>L</t>
  </si>
  <si>
    <t>M</t>
  </si>
  <si>
    <t>N</t>
  </si>
  <si>
    <t>O</t>
  </si>
  <si>
    <t>Punkt 10</t>
  </si>
  <si>
    <t>Punkt 11</t>
  </si>
  <si>
    <t>Punkt 12</t>
  </si>
  <si>
    <t>Punkt 13</t>
  </si>
  <si>
    <t>m²</t>
  </si>
  <si>
    <t>kWh/kWp</t>
  </si>
  <si>
    <t>Ertrag pro Jahr (Süden, 45°)</t>
  </si>
  <si>
    <t>Umrechnung von m² auf kWp</t>
  </si>
  <si>
    <t>Fr./kWp</t>
  </si>
  <si>
    <t>Kosten pro kWp</t>
  </si>
  <si>
    <t>kWp</t>
  </si>
  <si>
    <t>Preis pro kWp</t>
  </si>
  <si>
    <t>Fr/kWp</t>
  </si>
  <si>
    <t>Erlös aus Verkauf</t>
  </si>
  <si>
    <t>Erlös aus Stromverkauf</t>
  </si>
  <si>
    <t>Unterhaltskosten &gt; 100 kWp</t>
  </si>
  <si>
    <t>Unterhaltskosten ≤ 100 kWp</t>
  </si>
  <si>
    <t>Ertrag PV-Anlage</t>
  </si>
  <si>
    <t>SIA 384/3:2014, Tabelle 6</t>
  </si>
  <si>
    <t>0° (horizontal)</t>
  </si>
  <si>
    <t>45°</t>
  </si>
  <si>
    <t>90° (senkrecht)</t>
  </si>
  <si>
    <t>Südosten</t>
  </si>
  <si>
    <t>Südwest</t>
  </si>
  <si>
    <t>Azimut</t>
  </si>
  <si>
    <t>Südwesten</t>
  </si>
  <si>
    <t>PV-Anlage (inkl. Gebühren)</t>
  </si>
  <si>
    <t>Ertrag pro Jahr (Südenost, 45°)</t>
  </si>
  <si>
    <t>0 (horizontal)</t>
  </si>
  <si>
    <t>90 (senkrecht)</t>
  </si>
  <si>
    <t>Bauliche Massnahmen (exkl. Gebäudehülle)</t>
  </si>
  <si>
    <t>Unter baulichen Massnahmen fallen alle Kosten in Zusammenhang mit dem Wärmeerzeugerersatz.</t>
  </si>
  <si>
    <t>Die Art und Höhe der Subvention ist von Kanton zu Kanton unterschiedlich. Informationen sind zu finden unter z. B. www.energiefranken.ch.</t>
  </si>
  <si>
    <t>bis 10 m²-Anlage</t>
  </si>
  <si>
    <t>bis 32 m²-Anlage</t>
  </si>
  <si>
    <t>ab 32 m²-Anlage</t>
  </si>
  <si>
    <t>Fr./m² (Kollektorfläche)</t>
  </si>
  <si>
    <t>Fr./m² (surface de collecteur)</t>
  </si>
  <si>
    <t>A partir d'une installation de 32 m²</t>
  </si>
  <si>
    <t>Jusqu'à une installation de 32 m²</t>
  </si>
  <si>
    <t>Jusqu'à une installation de 10 m²</t>
  </si>
  <si>
    <t>impianto fino a 10 m²</t>
  </si>
  <si>
    <t>impianto fino a 32 m²</t>
  </si>
  <si>
    <t>impianto da 32 m²</t>
  </si>
  <si>
    <t>Fr./m² (superficie del collettore)</t>
  </si>
  <si>
    <t>ab 100 kWp</t>
  </si>
  <si>
    <t>bis und mit 10 kWp</t>
  </si>
  <si>
    <t>bis und mit 30 kWp</t>
  </si>
  <si>
    <t>bis und mit 100 kWp</t>
  </si>
  <si>
    <t>Anschluss Elektrokasten</t>
  </si>
  <si>
    <t>Unterhaltskosten ≤ 10 kWp</t>
  </si>
  <si>
    <t>Unterhaltskosten ≤ 30 kWp</t>
  </si>
  <si>
    <t>Kosten pro kWp ≤ 10 kWp</t>
  </si>
  <si>
    <t>Kosten pro kWp ≤ 100 kWp</t>
  </si>
  <si>
    <t>Kosten pro kWp ≤ 30 kWp</t>
  </si>
  <si>
    <t>Kosten pro kWp &gt; 100 kWp</t>
  </si>
  <si>
    <t>Anpassungen Elektro ≤ 10 kWp</t>
  </si>
  <si>
    <t>Anpassungen Elektro ≤ 30 kWp</t>
  </si>
  <si>
    <t>Anpassungen Elektro ≤ 100 kWp</t>
  </si>
  <si>
    <t>Anpassungen Elektro &gt; 100 kWp</t>
  </si>
  <si>
    <t>Subventions</t>
  </si>
  <si>
    <t>Restructurations (excl. l'enveloppe du bâtiment)</t>
  </si>
  <si>
    <t>Coûts pour restructurations</t>
  </si>
  <si>
    <t>Les restructurations comprennent tous les coûts liés au remplacement de la chaudière.</t>
  </si>
  <si>
    <t>Installation PV</t>
  </si>
  <si>
    <t>Type</t>
  </si>
  <si>
    <t>Grandeur de l'installation</t>
  </si>
  <si>
    <t>Orientation</t>
  </si>
  <si>
    <t>Inclinaison</t>
  </si>
  <si>
    <t>Sud-est</t>
  </si>
  <si>
    <t>Est</t>
  </si>
  <si>
    <t>Sud</t>
  </si>
  <si>
    <t>Ouest</t>
  </si>
  <si>
    <t>Conversion de m² en kWp</t>
  </si>
  <si>
    <t>Coûts par kWp</t>
  </si>
  <si>
    <t>Installation PV (frais incl.)</t>
  </si>
  <si>
    <t>Sud-ouest</t>
  </si>
  <si>
    <t>90 (vertical)</t>
  </si>
  <si>
    <t>jusqu'à et y compris 10 kWp</t>
  </si>
  <si>
    <t>jusqu'à et y compris 30 kWp</t>
  </si>
  <si>
    <t>jusqu'à et y compris 100 kWp</t>
  </si>
  <si>
    <t>à partir de 100 kWp</t>
  </si>
  <si>
    <t>Sovvenzioni</t>
  </si>
  <si>
    <t>Ristrutturazioni (escl. involucro dell'edificio)</t>
  </si>
  <si>
    <t>Costi per ristrutturazioni</t>
  </si>
  <si>
    <t>Impianto PV</t>
  </si>
  <si>
    <t>Tipo</t>
  </si>
  <si>
    <t>Grandezza dell'impianto</t>
  </si>
  <si>
    <t>Orientamento</t>
  </si>
  <si>
    <t>Inclinazione</t>
  </si>
  <si>
    <t>Ovest</t>
  </si>
  <si>
    <t>Conversione da m² a kWp</t>
  </si>
  <si>
    <t>Costi per kWp</t>
  </si>
  <si>
    <t>Revenus de la vente d'électricité</t>
  </si>
  <si>
    <t>Sud-ovest</t>
  </si>
  <si>
    <t>90 (verticale)</t>
  </si>
  <si>
    <t>fino a compreso 10 kWp</t>
  </si>
  <si>
    <t>fino a compreso 30 kWp</t>
  </si>
  <si>
    <t>fino a compreso 100 kWp</t>
  </si>
  <si>
    <t>a partire da 100 kWp</t>
  </si>
  <si>
    <t>Le ristrutturazioni includono tutti i costi relativi alla sostituzione della caldaia.</t>
  </si>
  <si>
    <t>Impianto PV (spese incl.)</t>
  </si>
  <si>
    <t>Contributo alle sovvenzioni</t>
  </si>
  <si>
    <t>Contribution aux subventions</t>
  </si>
  <si>
    <t>Rendimento annuo (sud-est, 45°)</t>
  </si>
  <si>
    <t>Rendement annuel (sud-est, 45°)</t>
  </si>
  <si>
    <t>Rendita dalla vendita di elettricità</t>
  </si>
  <si>
    <t>0 (orizzontale)</t>
  </si>
  <si>
    <t>Hackschnitzel  (ab 20 kW)</t>
  </si>
  <si>
    <t>Copeaux de bois (dès 20 kW)</t>
  </si>
  <si>
    <t>Cippato (da 20 kW)</t>
  </si>
  <si>
    <t>PAC (Air/Eau) (max. 200 kW)</t>
  </si>
  <si>
    <t>PdC (aria-acqua)         (max. 200 kW)</t>
  </si>
  <si>
    <t>Leistungsbereich von 0kW - 200kW</t>
  </si>
  <si>
    <t>Leistungsbereich von 70kW - 2000kW</t>
  </si>
  <si>
    <t>Plage de puissance 0 kW - 200 kW</t>
  </si>
  <si>
    <t>Gamma di potenza da 0 kW a 200 kW</t>
  </si>
  <si>
    <t>Gamma di potenza da 70 kW a 2000 kW</t>
  </si>
  <si>
    <t>Plage de puissance de 70 kW - 2000 kW</t>
  </si>
  <si>
    <t>Pour le calcul des coûts d'investissement, des valeurs du marché ont été calculées (TVA inclue) pour les puissance de production de chaleur 5 kW, 10 kW, 20 kW, 70 kW, 100 kW, 200 kW, 350 kW, 500kW, 750kW, 1'000 kW, 1'500 kW et 2'000 kW et sont documentés sur la feuille excel « coût de capitaux ». Si des valeurs propes existent, les valeurs par défaut existantes peuvent être remplacées.</t>
  </si>
  <si>
    <t>Verstärkung Netzanschluss</t>
  </si>
  <si>
    <t>Renforcement de la connexion au réseau</t>
  </si>
  <si>
    <t>Rinforzo della connessione di rete</t>
  </si>
  <si>
    <t>Versterkung Netzanschluss</t>
  </si>
  <si>
    <t>Standorthöhe</t>
  </si>
  <si>
    <t xml:space="preserve">Angaben anhand der </t>
  </si>
  <si>
    <t>Nutzung</t>
  </si>
  <si>
    <t>Personen</t>
  </si>
  <si>
    <t>Anzahl Personen</t>
  </si>
  <si>
    <t>Stk.</t>
  </si>
  <si>
    <t>Berücksichtigen bei</t>
  </si>
  <si>
    <t>Art der Eingabe</t>
  </si>
  <si>
    <t>Wärme für Heizung</t>
  </si>
  <si>
    <t>Wärme für Warmwasser</t>
  </si>
  <si>
    <t>Der Wärmebedarf für das Warmwasser muss kleiner sein als der Gesamt-Wärmebedarf.</t>
  </si>
  <si>
    <t>Warmwasser</t>
  </si>
  <si>
    <t>Heizung+Warmwasser</t>
  </si>
  <si>
    <t xml:space="preserve">Solarthermie für </t>
  </si>
  <si>
    <t>Solartermi für</t>
  </si>
  <si>
    <t>Wärmeerzeugung wird gerechnet</t>
  </si>
  <si>
    <t>inkl. thermische Solaranlage</t>
  </si>
  <si>
    <t>Heizung+Warmwasser (bestehend)</t>
  </si>
  <si>
    <t>WW-Verbrach pro Tag und Person</t>
  </si>
  <si>
    <t>Spezifischer Wärmebedarf</t>
  </si>
  <si>
    <t>kWh/m²</t>
  </si>
  <si>
    <t>Berechnung nur für WW-Nutzung</t>
  </si>
  <si>
    <t>Wärme WW TH</t>
  </si>
  <si>
    <t>Ausrichtungsfaktor</t>
  </si>
  <si>
    <t>Höhe über Meter</t>
  </si>
  <si>
    <t xml:space="preserve">m </t>
  </si>
  <si>
    <t>Maximale Ertrag pro Aperturfläche</t>
  </si>
  <si>
    <t>Berechnung für H+WW-Nutzung</t>
  </si>
  <si>
    <t>Ertrag Solar Total</t>
  </si>
  <si>
    <t>Anteil für H</t>
  </si>
  <si>
    <t>Anteil für WW</t>
  </si>
  <si>
    <t>Anteil für Wärmeerzeugung</t>
  </si>
  <si>
    <t>Aperturfläche</t>
  </si>
  <si>
    <t>Max. Ertrag</t>
  </si>
  <si>
    <t>Warmwasser (bestehend)</t>
  </si>
  <si>
    <t xml:space="preserve">Spezifische Kosten </t>
  </si>
  <si>
    <t>Kollektorfläche</t>
  </si>
  <si>
    <t>Relevant für den Ertrag</t>
  </si>
  <si>
    <t>Relevant für die Kosten</t>
  </si>
  <si>
    <t>Kosten der Anlage</t>
  </si>
  <si>
    <t>Unterhaltskosten bis 10 m²-Anlage</t>
  </si>
  <si>
    <t>Unterhaltskosten bis 32 m²-Anlage</t>
  </si>
  <si>
    <t>Unterhaltskosten ab 32 m²-Anlage</t>
  </si>
  <si>
    <t>Fr./m²</t>
  </si>
  <si>
    <t>Relevante Wärmeanteil für die Energiekosten</t>
  </si>
  <si>
    <t>Wärmebedarf Gebäude</t>
  </si>
  <si>
    <t>Solare Dekung für Warmwasser</t>
  </si>
  <si>
    <t>Solare Dekung für Heizung</t>
  </si>
  <si>
    <t>Basis</t>
  </si>
  <si>
    <t>Korrektur Aufgrund regionaler Einflüsse</t>
  </si>
  <si>
    <t>auf Investitionskosten</t>
  </si>
  <si>
    <t>auf Unterhaltskosten</t>
  </si>
  <si>
    <t>Prozent</t>
  </si>
  <si>
    <t>Regionale Einflüsse</t>
  </si>
  <si>
    <t>Investition</t>
  </si>
  <si>
    <t>Basisdaten Unterhaltskosten</t>
  </si>
  <si>
    <t>Basisdaten Investitionskosten</t>
  </si>
  <si>
    <t>(Diese Seite wird nicht übersetzt.)</t>
  </si>
  <si>
    <t xml:space="preserve">Welche Neuerungen und Korrekturen wurden im Tool aufgenommen? </t>
  </si>
  <si>
    <t>Personnes</t>
  </si>
  <si>
    <t>Chaleur pour le chauffage</t>
  </si>
  <si>
    <t>Pertinent pour les coûts</t>
  </si>
  <si>
    <t>Pertinent pour le rendement</t>
  </si>
  <si>
    <t>sur les coûts d'investissement</t>
  </si>
  <si>
    <t>sur les coûts de maintenance</t>
  </si>
  <si>
    <t>Persone</t>
  </si>
  <si>
    <t>Calore per il riscaldamento</t>
  </si>
  <si>
    <t>Calore per l'acqua calda</t>
  </si>
  <si>
    <t>Acqua calda</t>
  </si>
  <si>
    <t>incl. sistema solare termico</t>
  </si>
  <si>
    <t>Acqua calda (esistente)</t>
  </si>
  <si>
    <t>Rilevante per i costi</t>
  </si>
  <si>
    <t>Rilevante per il rendimento</t>
  </si>
  <si>
    <t>sui costi di investimento</t>
  </si>
  <si>
    <t>sui costi di manutenzione</t>
  </si>
  <si>
    <t>Misure strutturali</t>
  </si>
  <si>
    <t>Solare Deckung für Heizung</t>
  </si>
  <si>
    <t>Solare Deckung für Warmwasser</t>
  </si>
  <si>
    <t>Copertura solare per il riscaldamento</t>
  </si>
  <si>
    <t>Copertura solare per l'acqua calda</t>
  </si>
  <si>
    <t xml:space="preserve">*https://www.vese.ch/pvtarif/ </t>
  </si>
  <si>
    <t>Altitude lieu</t>
  </si>
  <si>
    <t>Altitudine luogo</t>
  </si>
  <si>
    <t>Angaben zum Warmwasserverbrauch</t>
  </si>
  <si>
    <t>Données sur la consommation d'eau chaude sanitaire</t>
  </si>
  <si>
    <t>Informazioni sul consumo d'acqua calda</t>
  </si>
  <si>
    <t>Données à partir de</t>
  </si>
  <si>
    <t>Informazioni sulla base di</t>
  </si>
  <si>
    <t>Utilisation</t>
  </si>
  <si>
    <t>Utilizzo</t>
  </si>
  <si>
    <t>Nombre de personnes</t>
  </si>
  <si>
    <t>Numero di persone</t>
  </si>
  <si>
    <t>Pc.</t>
  </si>
  <si>
    <t>P.zi</t>
  </si>
  <si>
    <t>A prendre en compte lors de</t>
  </si>
  <si>
    <t>Da prendere in considerazione per</t>
  </si>
  <si>
    <t>Chaleur pour l'eau chaude sanitaire</t>
  </si>
  <si>
    <t>Le besoin en chaleur pour l'eau chaude sanitaire doit être inférieure au besoin en chaleur total.</t>
  </si>
  <si>
    <t>Il fabbisogno di calore per l'acqua calda deve essere inferiore al fabbisogno di calore totale.</t>
  </si>
  <si>
    <t>mètres</t>
  </si>
  <si>
    <t>m. s.l.m.</t>
  </si>
  <si>
    <t xml:space="preserve">Solaire thermique pour </t>
  </si>
  <si>
    <t xml:space="preserve">Solare termico per </t>
  </si>
  <si>
    <t>Eau chaude sanitaire</t>
  </si>
  <si>
    <t>Chauffage + eau chaude sanitaire</t>
  </si>
  <si>
    <t>Riscaldamento + acqua calda</t>
  </si>
  <si>
    <t>Calcul de la production de chaleur</t>
  </si>
  <si>
    <t>Calcolo della produzione di calore</t>
  </si>
  <si>
    <t>y compris installation solaire thermique</t>
  </si>
  <si>
    <t>Eau chaude sanitaire (existante)</t>
  </si>
  <si>
    <t>Chauffage + eau chaude sanitaire (existants)</t>
  </si>
  <si>
    <t>Riscaldamento + acqua calda (esistenti)</t>
  </si>
  <si>
    <t>WW-Verbrauch pro Tag und Person</t>
  </si>
  <si>
    <t>Consommation d'ECS par jour et par personne</t>
  </si>
  <si>
    <t>Consumo d'acqua calda a persona al giorno</t>
  </si>
  <si>
    <t>Besoin en chaleur spécifique</t>
  </si>
  <si>
    <t>Fabbisogno specifico di calore</t>
  </si>
  <si>
    <t>Besoin en chaleur des bâtiments</t>
  </si>
  <si>
    <t>Fabbisogno di calore degli edifici</t>
  </si>
  <si>
    <t>Couverture solaire pour le chauffage</t>
  </si>
  <si>
    <t>Couverture solaire pour l'eau chaude sanitaire</t>
  </si>
  <si>
    <t>Correction due aux conditions régionales</t>
  </si>
  <si>
    <t>Correzione dovuta alle condizioni regionali</t>
  </si>
  <si>
    <t>Pourcent</t>
  </si>
  <si>
    <t>Percento</t>
  </si>
  <si>
    <t>Mesures de construction</t>
  </si>
  <si>
    <t>mittel</t>
  </si>
  <si>
    <t>Demontage bestehende Heizanlage</t>
  </si>
  <si>
    <t>Demontage bestehendes Lager, inkl. Baumeister</t>
  </si>
  <si>
    <t>Warmwassererzeugung, inkl. Elektro, Sanitär</t>
  </si>
  <si>
    <t>WP-Wassererwärmer, inkl. Elektro, Sanitär</t>
  </si>
  <si>
    <t>Heizverteiler, inkl. Unterstationen ab 200 kW</t>
  </si>
  <si>
    <t>Verteilleitungen</t>
  </si>
  <si>
    <t>Wärmeabgabe</t>
  </si>
  <si>
    <t>Überwachungsanlagen</t>
  </si>
  <si>
    <t>Wärmeerzeugung 1:</t>
  </si>
  <si>
    <t>Wärmeerzeugung 2:</t>
  </si>
  <si>
    <t>Bitte wählen…</t>
  </si>
  <si>
    <t>Wärmeerzeugerleistung:</t>
  </si>
  <si>
    <t>Variante A</t>
  </si>
  <si>
    <t>Variante B</t>
  </si>
  <si>
    <t>Variante C</t>
  </si>
  <si>
    <t>Variante D</t>
  </si>
  <si>
    <t>Variante E</t>
  </si>
  <si>
    <t>Variante F</t>
  </si>
  <si>
    <t>Variante G</t>
  </si>
  <si>
    <t>Variante H</t>
  </si>
  <si>
    <t>Variante I</t>
  </si>
  <si>
    <t>BKP</t>
  </si>
  <si>
    <t>Luftkanal (Innenaufstellung)</t>
  </si>
  <si>
    <t>Armaturen, Apparate, Rohrleitungen, Dämmung</t>
  </si>
  <si>
    <t>Transport und Montage</t>
  </si>
  <si>
    <t>Zentrale Starkstomanlagen</t>
  </si>
  <si>
    <t>Bauseitige Arbeiten</t>
  </si>
  <si>
    <t>Fundament, Sickergrube, Grabarbeiten</t>
  </si>
  <si>
    <t>Lärmschutzhauben, Lärmschutzwände</t>
  </si>
  <si>
    <t>Grundlagen für die Wirtschaftlichkeitsberechnung</t>
  </si>
  <si>
    <t>Eingabe der Varianten</t>
  </si>
  <si>
    <t>WP (LW) (max. 200 kW)</t>
  </si>
  <si>
    <t>WKK Anlage (Gas)</t>
  </si>
  <si>
    <t>Grösse Anlage 2:</t>
  </si>
  <si>
    <t>Treibhausgas (KBOB)</t>
  </si>
  <si>
    <t>Gaz à effet de serre  (KBOB)</t>
  </si>
  <si>
    <t>Gas serra  (KBOB)</t>
  </si>
  <si>
    <t>Bezeichnung für Diagramm ind Spalten</t>
  </si>
  <si>
    <t>Name des Namenfelds</t>
  </si>
  <si>
    <t>Auswahl</t>
  </si>
  <si>
    <t>ArtWärmeerzeuger</t>
  </si>
  <si>
    <t>aufwändig</t>
  </si>
  <si>
    <t>Kostenstufen</t>
  </si>
  <si>
    <t>gering</t>
  </si>
  <si>
    <t>Heizöl</t>
  </si>
  <si>
    <t>Energiezulieferung, Lagerung</t>
  </si>
  <si>
    <t>Öl Heizkessel, Abgaswärmetauscher, Neutralisationsbox</t>
  </si>
  <si>
    <t>Abgasanlagen</t>
  </si>
  <si>
    <t>II</t>
  </si>
  <si>
    <t>III</t>
  </si>
  <si>
    <t>Pelletkessel</t>
  </si>
  <si>
    <t>IV</t>
  </si>
  <si>
    <t>Hackschnitzelsilo</t>
  </si>
  <si>
    <t>Hackschnitzelkessel</t>
  </si>
  <si>
    <t>V</t>
  </si>
  <si>
    <t>Elektroanlagen</t>
  </si>
  <si>
    <t>VI</t>
  </si>
  <si>
    <t>WP (GW)</t>
  </si>
  <si>
    <t>Wärmeerzeuger</t>
  </si>
  <si>
    <t>VII</t>
  </si>
  <si>
    <t>VIII</t>
  </si>
  <si>
    <t>IX</t>
  </si>
  <si>
    <t>Demontage</t>
  </si>
  <si>
    <t>Vorbereitungsarbeiten</t>
  </si>
  <si>
    <t>*</t>
  </si>
  <si>
    <t>Öl, Pellets</t>
  </si>
  <si>
    <t>X</t>
  </si>
  <si>
    <t>Weitere gebäudetechnische Installationen</t>
  </si>
  <si>
    <t>Warmwassererzeugung</t>
  </si>
  <si>
    <t>Wärmepumpen-Boiler, inkl. Elektro, Sanitär</t>
  </si>
  <si>
    <t>Wärmeverteilung</t>
  </si>
  <si>
    <t>Gebäudeautomation</t>
  </si>
  <si>
    <t>Feldgeräte und Schaltgerätekombination</t>
  </si>
  <si>
    <t>* ab 100 kW</t>
  </si>
  <si>
    <t>Elektromessgeräte</t>
  </si>
  <si>
    <t>WP</t>
  </si>
  <si>
    <t>Volumenmessgeräte</t>
  </si>
  <si>
    <t>Vernetzung</t>
  </si>
  <si>
    <t>Sicherheitsanlagen</t>
  </si>
  <si>
    <t>Gross-Wärmepumpen (Evac., Exschutz, BMA)</t>
  </si>
  <si>
    <t>WP ab 200 kW</t>
  </si>
  <si>
    <t>XI</t>
  </si>
  <si>
    <t>Baumeisterarbeiten</t>
  </si>
  <si>
    <t>Grabarbeiten</t>
  </si>
  <si>
    <t>Gas, Fernwärme</t>
  </si>
  <si>
    <t>Erstellung Lagerraum</t>
  </si>
  <si>
    <t>Wanddurchbrüche, Kernbohrungen</t>
  </si>
  <si>
    <t>WP LW innen</t>
  </si>
  <si>
    <t>WP LW split, aussen</t>
  </si>
  <si>
    <t>Statische Massnahmen</t>
  </si>
  <si>
    <t>WP LW Dach</t>
  </si>
  <si>
    <t>Lärmschutzmassnahmen</t>
  </si>
  <si>
    <t>WP LW aussen</t>
  </si>
  <si>
    <t>Gartenarbeiten</t>
  </si>
  <si>
    <t>Wiederherstellung Umgebung</t>
  </si>
  <si>
    <t>WP SW, GW</t>
  </si>
  <si>
    <t>Vom Wärmeerzeugertyp (weitgehend) unabhängige Kostenpositionen</t>
  </si>
  <si>
    <t>Die Werte für die Berechnung der Variante sind in der Spalte:</t>
  </si>
  <si>
    <t>Kostenstufe</t>
  </si>
  <si>
    <t>Leistung n</t>
  </si>
  <si>
    <t>Leistung n+1</t>
  </si>
  <si>
    <t>Interpoliert</t>
  </si>
  <si>
    <t>1:1-Ersatz</t>
  </si>
  <si>
    <t>Systemwechsel</t>
  </si>
  <si>
    <t>Ausgewählt</t>
  </si>
  <si>
    <t>Code:</t>
  </si>
  <si>
    <t>Bauart:</t>
  </si>
  <si>
    <t>Q</t>
  </si>
  <si>
    <t>R</t>
  </si>
  <si>
    <t>S</t>
  </si>
  <si>
    <t>aufwendig</t>
  </si>
  <si>
    <t>Hackschnitzelsilo (Bestückung)</t>
  </si>
  <si>
    <t>Tankanlage (Öl)</t>
  </si>
  <si>
    <t>Anschlussgebühren (Elektro)</t>
  </si>
  <si>
    <t>Gewählt</t>
  </si>
  <si>
    <t>XII</t>
  </si>
  <si>
    <t>WKK Anlagen (Gas)</t>
  </si>
  <si>
    <t>Lärmschutzhauben, Lärmschutzwände (WP (LW))</t>
  </si>
  <si>
    <t>Feldgeräte und Schaltgerätekombination (ab 100 kW)</t>
  </si>
  <si>
    <t>Gross-Wärmepumpen ab 200 kW (Evac., Exschutz, BMA)</t>
  </si>
  <si>
    <t>WKK-Anlage (Gas)</t>
  </si>
  <si>
    <t>Kalkulationszinssatz, real</t>
  </si>
  <si>
    <t>Betrachtungsperiode</t>
  </si>
  <si>
    <t>q</t>
  </si>
  <si>
    <t>Lebenszykluskosten</t>
  </si>
  <si>
    <t>Kapitalwert</t>
  </si>
  <si>
    <t>Jährliche Preissteigerung Unterhalt</t>
  </si>
  <si>
    <t>Kalkulationszinssatz, nominal</t>
  </si>
  <si>
    <t>i</t>
  </si>
  <si>
    <t>Restwert berücksichtigen</t>
  </si>
  <si>
    <t>1=ja;0=nein</t>
  </si>
  <si>
    <t>Barwerte</t>
  </si>
  <si>
    <t>Position:</t>
  </si>
  <si>
    <t>Einnahmen</t>
  </si>
  <si>
    <t>kumuliert</t>
  </si>
  <si>
    <t>Nutzungsdauer:</t>
  </si>
  <si>
    <t>Restwert:</t>
  </si>
  <si>
    <t>Wärmeerzeugung 1</t>
  </si>
  <si>
    <t>Wärmeerzeugung 2</t>
  </si>
  <si>
    <t>Vorhandene Wärmeerzeugung 1:</t>
  </si>
  <si>
    <t>WKK (Gas)</t>
  </si>
  <si>
    <t>Nutzungsdauer</t>
  </si>
  <si>
    <t>Jährliche Preissteigerung Energiekosten</t>
  </si>
  <si>
    <t>Honorar, Gebühren, MwSt</t>
  </si>
  <si>
    <t>U</t>
  </si>
  <si>
    <t>W</t>
  </si>
  <si>
    <t>Y</t>
  </si>
  <si>
    <t>Z</t>
  </si>
  <si>
    <t>AA</t>
  </si>
  <si>
    <t>AB</t>
  </si>
  <si>
    <t>AC</t>
  </si>
  <si>
    <t>AD</t>
  </si>
  <si>
    <t>AF</t>
  </si>
  <si>
    <t>Investitionskosten bis 10 m²</t>
  </si>
  <si>
    <t>Investitionskosten ab 32 m²</t>
  </si>
  <si>
    <t>Investitionskosten bis  32 m²</t>
  </si>
  <si>
    <t>Summe Investition</t>
  </si>
  <si>
    <r>
      <t>i</t>
    </r>
    <r>
      <rPr>
        <i/>
        <vertAlign val="subscript"/>
        <sz val="10"/>
        <color theme="1"/>
        <rFont val="Arial"/>
        <family val="2"/>
      </rPr>
      <t>r</t>
    </r>
  </si>
  <si>
    <t>Prozentsatz Planung</t>
  </si>
  <si>
    <t>Vorhandene Wärmeerzeugung 2:</t>
  </si>
  <si>
    <t>Ausgangswerte für die Berechnung</t>
  </si>
  <si>
    <r>
      <t>Q</t>
    </r>
    <r>
      <rPr>
        <i/>
        <vertAlign val="subscript"/>
        <sz val="10"/>
        <rFont val="Arial"/>
        <family val="2"/>
      </rPr>
      <t>gen,out,H</t>
    </r>
  </si>
  <si>
    <t>Grösse Anlage 1</t>
  </si>
  <si>
    <t>Grösse Anlage 2</t>
  </si>
  <si>
    <t>Wärmeerzeugerleistung</t>
  </si>
  <si>
    <t>Heizwärmebedarf</t>
  </si>
  <si>
    <t>Wärmebedarf für Warmwasser</t>
  </si>
  <si>
    <t>QH</t>
  </si>
  <si>
    <t>Qgen,out,H kWh</t>
  </si>
  <si>
    <t>Qgen,out,W kWh</t>
  </si>
  <si>
    <t xml:space="preserve">Hackschnitzel </t>
  </si>
  <si>
    <t xml:space="preserve">WP (LW) </t>
  </si>
  <si>
    <t>den Neubau</t>
  </si>
  <si>
    <t>den Ersatz</t>
  </si>
  <si>
    <t>Ertrag thermische Solaranlage</t>
  </si>
  <si>
    <t>Deckungsgrad</t>
  </si>
  <si>
    <t>Deckungsgrad nur WW</t>
  </si>
  <si>
    <t>Deckungsgrad H+WW</t>
  </si>
  <si>
    <t>Dekung WW</t>
  </si>
  <si>
    <t>Code Ausrichtung</t>
  </si>
  <si>
    <t>Code Neigung</t>
  </si>
  <si>
    <t>Fläche</t>
  </si>
  <si>
    <t>Heizwärme H Wärmeerzeugung</t>
  </si>
  <si>
    <t>Heizwärme WW Wärmeerzeugung</t>
  </si>
  <si>
    <t>E</t>
  </si>
  <si>
    <t>Solarer Dekungsgrad H+WW</t>
  </si>
  <si>
    <t>Ertrag WKK-Anlage</t>
  </si>
  <si>
    <t>Ertrag Anlage 1</t>
  </si>
  <si>
    <t>Ertrag Anlage 2</t>
  </si>
  <si>
    <t>Ertrag Total</t>
  </si>
  <si>
    <t>Anteil Elektrizität</t>
  </si>
  <si>
    <t>Abgegebene Elektrizität</t>
  </si>
  <si>
    <r>
      <t>q</t>
    </r>
    <r>
      <rPr>
        <vertAlign val="subscript"/>
        <sz val="10"/>
        <color theme="1"/>
        <rFont val="Arial"/>
        <family val="2"/>
      </rPr>
      <t>i</t>
    </r>
  </si>
  <si>
    <r>
      <t>q</t>
    </r>
    <r>
      <rPr>
        <vertAlign val="subscript"/>
        <sz val="10"/>
        <color theme="1"/>
        <rFont val="Arial"/>
        <family val="2"/>
      </rPr>
      <t>e</t>
    </r>
  </si>
  <si>
    <r>
      <t>q</t>
    </r>
    <r>
      <rPr>
        <vertAlign val="subscript"/>
        <sz val="10"/>
        <color theme="1"/>
        <rFont val="Arial"/>
        <family val="2"/>
      </rPr>
      <t>e,a</t>
    </r>
  </si>
  <si>
    <r>
      <t>h</t>
    </r>
    <r>
      <rPr>
        <vertAlign val="subscript"/>
        <sz val="10"/>
        <color theme="1"/>
        <rFont val="Arial"/>
        <family val="2"/>
      </rPr>
      <t>old</t>
    </r>
  </si>
  <si>
    <r>
      <t>h</t>
    </r>
    <r>
      <rPr>
        <vertAlign val="subscript"/>
        <sz val="10"/>
        <color theme="1"/>
        <rFont val="Arial"/>
        <family val="2"/>
      </rPr>
      <t>new</t>
    </r>
  </si>
  <si>
    <r>
      <t>h</t>
    </r>
    <r>
      <rPr>
        <vertAlign val="subscript"/>
        <sz val="10"/>
        <color theme="1"/>
        <rFont val="Arial"/>
        <family val="2"/>
      </rPr>
      <t>gen,new</t>
    </r>
  </si>
  <si>
    <t>Fgen,out</t>
  </si>
  <si>
    <t>Erzeuger 1</t>
  </si>
  <si>
    <t>Erzeuger 2</t>
  </si>
  <si>
    <t>Anteil Wassererwärmung</t>
  </si>
  <si>
    <t>Code Wärmeerzeugung</t>
  </si>
  <si>
    <t>Heizwärme Warmwasser</t>
  </si>
  <si>
    <t>Heizwärme Raumheizung</t>
  </si>
  <si>
    <t>Heizwärme Raumheizung (Biogas)</t>
  </si>
  <si>
    <t>Heizwärme Warmwasser (Biogas)</t>
  </si>
  <si>
    <t>Spezifische Kosten</t>
  </si>
  <si>
    <t>Nutzungsgrad für Raumheizung</t>
  </si>
  <si>
    <t>Nutzungsgrad für Warmwasser</t>
  </si>
  <si>
    <t>Treibhausgas-Emissionen KBOB</t>
  </si>
  <si>
    <t>Treibhausgas-Emissionen Vollzug</t>
  </si>
  <si>
    <t>Umweltbelastungspunkte</t>
  </si>
  <si>
    <t>Leistung Wärmeerzeuger</t>
  </si>
  <si>
    <t>spezifische Leistungskosten</t>
  </si>
  <si>
    <t>Jahresnutzungsgrad Raumwärme</t>
  </si>
  <si>
    <t>Jahresnutzungsgrad Warmwasser</t>
  </si>
  <si>
    <t>spez. Kosten CO2-Abgabe</t>
  </si>
  <si>
    <t>Kosten CO2-Abgabe</t>
  </si>
  <si>
    <t>Fr./t</t>
  </si>
  <si>
    <t>Faktor KBOB</t>
  </si>
  <si>
    <t>Faktor Vollzug</t>
  </si>
  <si>
    <t>Faktor UBP</t>
  </si>
  <si>
    <t>Punkte</t>
  </si>
  <si>
    <t>Punkte/kWh</t>
  </si>
  <si>
    <t>KBOB</t>
  </si>
  <si>
    <t>Vollzug</t>
  </si>
  <si>
    <t>Punkte/MWh</t>
  </si>
  <si>
    <t>Bio-Treibstoff</t>
  </si>
  <si>
    <t>Summen</t>
  </si>
  <si>
    <t>Energie, Spalte 1:</t>
  </si>
  <si>
    <t>Energie, Spalte 2:</t>
  </si>
  <si>
    <t>Optionale / zusätzliche Arbeiten</t>
  </si>
  <si>
    <t>Gestehungskosten</t>
  </si>
  <si>
    <t>Honorar und Gebühren</t>
  </si>
  <si>
    <t>Honorar, Gebühren</t>
  </si>
  <si>
    <r>
      <t>E</t>
    </r>
    <r>
      <rPr>
        <i/>
        <vertAlign val="subscript"/>
        <sz val="10"/>
        <color theme="1"/>
        <rFont val="Arial"/>
        <family val="2"/>
      </rPr>
      <t>gen,in,W</t>
    </r>
  </si>
  <si>
    <t>Endenergie</t>
  </si>
  <si>
    <t>Endenergie (Bio)</t>
  </si>
  <si>
    <t>Konventionelle Energiequelle</t>
  </si>
  <si>
    <t>Bio-Energiequelle</t>
  </si>
  <si>
    <r>
      <t>h</t>
    </r>
    <r>
      <rPr>
        <i/>
        <vertAlign val="subscript"/>
        <sz val="10"/>
        <color theme="1"/>
        <rFont val="Arial"/>
        <family val="2"/>
      </rPr>
      <t>an,new,H</t>
    </r>
  </si>
  <si>
    <r>
      <t>h</t>
    </r>
    <r>
      <rPr>
        <i/>
        <vertAlign val="subscript"/>
        <sz val="10"/>
        <color theme="1"/>
        <rFont val="Arial"/>
        <family val="2"/>
      </rPr>
      <t>an,new,W</t>
    </r>
  </si>
  <si>
    <r>
      <t>A</t>
    </r>
    <r>
      <rPr>
        <i/>
        <vertAlign val="subscript"/>
        <sz val="10"/>
        <color theme="1"/>
        <rFont val="Arial"/>
        <family val="2"/>
      </rPr>
      <t>F</t>
    </r>
  </si>
  <si>
    <t>Wärmeerzeuger 1</t>
  </si>
  <si>
    <t>Wärmeerzeuger 2</t>
  </si>
  <si>
    <t>WKK Anlagen</t>
  </si>
  <si>
    <t>Jährliche Kosten</t>
  </si>
  <si>
    <t>Zusammenzug der Investitionskosten</t>
  </si>
  <si>
    <t>Lager/EWS/GWS</t>
  </si>
  <si>
    <t>Barwert</t>
  </si>
  <si>
    <t>Energiekosten:</t>
  </si>
  <si>
    <t>Restwert der Anlage</t>
  </si>
  <si>
    <t>Jährlichen Kosten</t>
  </si>
  <si>
    <t>Energie</t>
  </si>
  <si>
    <t>Restwert</t>
  </si>
  <si>
    <t>Lebenszykluskosten in Fr.</t>
  </si>
  <si>
    <t>Investitionskosten in Fr.</t>
  </si>
  <si>
    <r>
      <t>Q</t>
    </r>
    <r>
      <rPr>
        <i/>
        <vertAlign val="subscript"/>
        <sz val="10"/>
        <rFont val="Arial"/>
        <family val="2"/>
      </rPr>
      <t>gen,out,W</t>
    </r>
  </si>
  <si>
    <t>Keine Daten vorhanden</t>
  </si>
  <si>
    <t>Gewählte  Wärmeerzeugerleistung</t>
  </si>
  <si>
    <t>Gewählte Wärmebedarf für Warmwasser</t>
  </si>
  <si>
    <t>Gewählte Heizwärmebedarf</t>
  </si>
  <si>
    <t>TH. Solaranlage</t>
  </si>
  <si>
    <t>Korr. WW</t>
  </si>
  <si>
    <t>Dekung H+WW</t>
  </si>
  <si>
    <t>Wärmeerzeuger ausgewählt?</t>
  </si>
  <si>
    <r>
      <rPr>
        <sz val="10"/>
        <color theme="1"/>
        <rFont val="Symbol"/>
        <family val="1"/>
        <charset val="2"/>
      </rPr>
      <t>F</t>
    </r>
    <r>
      <rPr>
        <sz val="10"/>
        <color theme="1"/>
        <rFont val="Arial"/>
        <family val="2"/>
      </rPr>
      <t>H,W</t>
    </r>
  </si>
  <si>
    <r>
      <rPr>
        <sz val="10"/>
        <color theme="1"/>
        <rFont val="Symbol"/>
        <family val="1"/>
        <charset val="2"/>
      </rPr>
      <t>F</t>
    </r>
    <r>
      <rPr>
        <sz val="10"/>
        <color theme="1"/>
        <rFont val="Arial"/>
        <family val="2"/>
      </rPr>
      <t>gen,out kW</t>
    </r>
  </si>
  <si>
    <t>Code Wärmeerzeuger</t>
  </si>
  <si>
    <t>e-BKP-H</t>
  </si>
  <si>
    <t>Anteil Strom</t>
  </si>
  <si>
    <t>Code Th.Solaranlage</t>
  </si>
  <si>
    <t>D05.02</t>
  </si>
  <si>
    <t>Aufteilung auf Wärmeerzeuger</t>
  </si>
  <si>
    <t>D05.01</t>
  </si>
  <si>
    <t>D05.03</t>
  </si>
  <si>
    <t>D05.04</t>
  </si>
  <si>
    <t>D01</t>
  </si>
  <si>
    <t>V01.04</t>
  </si>
  <si>
    <t>Z01.01</t>
  </si>
  <si>
    <t>D01.01</t>
  </si>
  <si>
    <t>B05.02</t>
  </si>
  <si>
    <t>D08.03</t>
  </si>
  <si>
    <t>D05.05</t>
  </si>
  <si>
    <t>D08</t>
  </si>
  <si>
    <t>D02</t>
  </si>
  <si>
    <t>I01</t>
  </si>
  <si>
    <t>C05</t>
  </si>
  <si>
    <t>C01</t>
  </si>
  <si>
    <t>Einsparungen durch Eigennutzung</t>
  </si>
  <si>
    <t>Anteil Eigenverbrach</t>
  </si>
  <si>
    <t>Verkauf</t>
  </si>
  <si>
    <t>Eigennutzung</t>
  </si>
  <si>
    <t>Angaben zu Stromkosten</t>
  </si>
  <si>
    <t>Ausgleich für Wirtschaftlichkeitsrechnung</t>
  </si>
  <si>
    <t>Investition_gewählt</t>
  </si>
  <si>
    <t>Total Ertrag (PV + WKK)</t>
  </si>
  <si>
    <t>Ausgleich</t>
  </si>
  <si>
    <t>Kosten Stromeinkauf</t>
  </si>
  <si>
    <t>Wärmequellen, -senken, Lager</t>
  </si>
  <si>
    <t>Wärmespeicherung</t>
  </si>
  <si>
    <t>D01.04</t>
  </si>
  <si>
    <t>Installation Starkstrom</t>
  </si>
  <si>
    <t>Umgebungsgestaltung</t>
  </si>
  <si>
    <t>Ergänzende Leistung zu Konstruktion</t>
  </si>
  <si>
    <t>B05.2</t>
  </si>
  <si>
    <t>Rodung, Rückbau</t>
  </si>
  <si>
    <t>Wasserspeicher</t>
  </si>
  <si>
    <t>Anlage Erzeugung Starkstrom</t>
  </si>
  <si>
    <t>Fachingenieur Gebäudetechnik</t>
  </si>
  <si>
    <t>Planungskosten und Mehrwertsteuer</t>
  </si>
  <si>
    <t>D05.02.01</t>
  </si>
  <si>
    <t>th. Solaranlage</t>
  </si>
  <si>
    <t>D05.02.02</t>
  </si>
  <si>
    <t>Th.Solaranlage</t>
  </si>
  <si>
    <t>Subventionen Wärmeerzeugung</t>
  </si>
  <si>
    <t>Kontrolle</t>
  </si>
  <si>
    <t>Beschreibung</t>
  </si>
  <si>
    <t>Quellen, Senken, Lager</t>
  </si>
  <si>
    <t>Total Energiekosten</t>
  </si>
  <si>
    <t>Anlagecode (0=nicht vorhanden; 1=Vorhanden)</t>
  </si>
  <si>
    <t>Summe Variante</t>
  </si>
  <si>
    <t>MwSt.</t>
  </si>
  <si>
    <t>Mehrwertsteuer-Satz</t>
  </si>
  <si>
    <t>Besoin en chaleur de chauffage</t>
  </si>
  <si>
    <t>Fabbisogno termico per il riscaldamento</t>
  </si>
  <si>
    <t>ZEV</t>
  </si>
  <si>
    <t>Wassererwärmung mitrechnen?</t>
  </si>
  <si>
    <t>Vorhandene Wärmeerzeugung 1</t>
  </si>
  <si>
    <t>Vorhandene Wärmeerzeugung 2</t>
  </si>
  <si>
    <t>Jährliche Preissteigerung der Investitionskosten</t>
  </si>
  <si>
    <t>Kapitalzinssatz real</t>
  </si>
  <si>
    <t>Validierung Eingaben</t>
  </si>
  <si>
    <t>Kollektorfläche (für Kosten)</t>
  </si>
  <si>
    <t>Aperturfläche (für Ertrag)</t>
  </si>
  <si>
    <t>Puissance de chauffage</t>
  </si>
  <si>
    <t>Anteil Heizwärme</t>
  </si>
  <si>
    <t>Investitionskosten (Summe)</t>
  </si>
  <si>
    <t>Grösse Anlage</t>
  </si>
  <si>
    <t>Mehrwertsteuer (MwSt.)</t>
  </si>
  <si>
    <t>Verbrauch</t>
  </si>
  <si>
    <t>Consommation</t>
  </si>
  <si>
    <t>Consumo</t>
  </si>
  <si>
    <t>Nutzungsgrad Heizung</t>
  </si>
  <si>
    <t>Nutzungsgrad Warmwasser</t>
  </si>
  <si>
    <t>Investitionskosten (inkl. MwSt.)</t>
  </si>
  <si>
    <t>Investitionskosten (inkl. Honorar)</t>
  </si>
  <si>
    <t>Investitionskosten (abzüglich  Subventionen)</t>
  </si>
  <si>
    <t>Jährliche Unterhaltskosten (inkl. MwSt.)</t>
  </si>
  <si>
    <t>Energiekosten (inkl. MwSt.)</t>
  </si>
  <si>
    <t>Abgaben (inkl. MwSt.)</t>
  </si>
  <si>
    <t>Lebenszykluskosten (inkl. MwSt.)</t>
  </si>
  <si>
    <t>Summe inkl. MwSt.</t>
  </si>
  <si>
    <t>Leistungskosten:</t>
  </si>
  <si>
    <t>Erlös aus Stromverkauf:</t>
  </si>
  <si>
    <t>Maximum an Ertrag</t>
  </si>
  <si>
    <t>Anschlussgebühren (Wärmenetz, Gas)</t>
  </si>
  <si>
    <t>Wärmenetz</t>
  </si>
  <si>
    <t>Treibhausgase (Vollzug)</t>
  </si>
  <si>
    <t>Treibhausgase (KBOB)</t>
  </si>
  <si>
    <t>*Vom Wärmeerzeugertyp (weitgehend) unabhängige Kostenpositionen</t>
  </si>
  <si>
    <t>Wärmekraftkopplung (WKK)</t>
  </si>
  <si>
    <t>Zeitwert</t>
  </si>
  <si>
    <t xml:space="preserve"> Einnahmen</t>
  </si>
  <si>
    <t>Jährliche Preissteigerung Investition</t>
  </si>
  <si>
    <t>Aufteilung auf Wärmeerzeuger, Anteil Heizwärme</t>
  </si>
  <si>
    <t>Aufteilung auf Wärmeerzeuger, Anteil Warmwasser</t>
  </si>
  <si>
    <t>Benutzerdef.*</t>
  </si>
  <si>
    <t>Benutzerdef</t>
  </si>
  <si>
    <t>AG</t>
  </si>
  <si>
    <t>Möglich ist eine Leistung bis 2000 kW.</t>
  </si>
  <si>
    <t>Fehler: Die Leistung ist grösser als 2000 kW.</t>
  </si>
  <si>
    <t>Ersatz (Instandsetzung)</t>
  </si>
  <si>
    <t>m</t>
  </si>
  <si>
    <t>* Die Kosten für  Investition und Unterhalt werden ohne Korrektur übernommen.</t>
  </si>
  <si>
    <t>keine Hinweise</t>
  </si>
  <si>
    <t>Daten inkl. Warmwasser?</t>
  </si>
  <si>
    <t>gewählte Klimastation:</t>
  </si>
  <si>
    <t>gewählte Nutzung:</t>
  </si>
  <si>
    <t>gewälter Energiestandard:</t>
  </si>
  <si>
    <t>Gebäudenutzung: (Auswahl für Neubau)</t>
  </si>
  <si>
    <t>Vorhandene Daten (Auswahl für Neubau):</t>
  </si>
  <si>
    <t>Standard (Auswahl für Neubau):</t>
  </si>
  <si>
    <t>Warmwasser mitrechnen?</t>
  </si>
  <si>
    <t>Gebäudenutzung: (Auswahl für Ersatz)</t>
  </si>
  <si>
    <t>Vorhandene Daten (Auswahl für Ersatz):</t>
  </si>
  <si>
    <t>Daten ink. Warmwasser (Auswahl für Ersatz)?</t>
  </si>
  <si>
    <t>Bedingungen für die Formatierung</t>
  </si>
  <si>
    <t>Sind informative Eingaben.</t>
  </si>
  <si>
    <t>ZEV vorhanden</t>
  </si>
  <si>
    <t>gewählte EBF:</t>
  </si>
  <si>
    <r>
      <t>Q</t>
    </r>
    <r>
      <rPr>
        <vertAlign val="subscript"/>
        <sz val="10"/>
        <color theme="1"/>
        <rFont val="Arial"/>
        <family val="2"/>
      </rPr>
      <t>WW</t>
    </r>
  </si>
  <si>
    <t>MwSt. Stromverkauf.</t>
  </si>
  <si>
    <t>WKK-Aggregat</t>
  </si>
  <si>
    <t>Lärmschutz</t>
  </si>
  <si>
    <t>Kamin inkl. Bau &amp; Abgasreinigung</t>
  </si>
  <si>
    <t>Lüftungsanlage</t>
  </si>
  <si>
    <t>Hydraulische Einbindung</t>
  </si>
  <si>
    <t>Erschliessung Elektro und Anschlussbeiträge</t>
  </si>
  <si>
    <t>Rundung</t>
  </si>
  <si>
    <t>th.Solaranlage vorhanden?</t>
  </si>
  <si>
    <t>PV-Anlage vorhanden?</t>
  </si>
  <si>
    <t>Informationen für Berechnung relevant.</t>
  </si>
  <si>
    <t>Surface du collecteur (pour coûts)</t>
  </si>
  <si>
    <t>Superficie del collettore (per costi)</t>
  </si>
  <si>
    <t>Surface d'ouverture (pour rendement)</t>
  </si>
  <si>
    <t>Superficie di apertura (per rendimento)</t>
  </si>
  <si>
    <t>Installation CCF (gaz)</t>
  </si>
  <si>
    <t>Impianto di cogenerazione (gas)</t>
  </si>
  <si>
    <t>Remplacement (remise en état)</t>
  </si>
  <si>
    <t>Sostituzione (riparazione)</t>
  </si>
  <si>
    <t>Degré d'utilisation chauffage</t>
  </si>
  <si>
    <t>Grado di rendimento riscaldamento</t>
  </si>
  <si>
    <t>Gas serra (KBOB)</t>
  </si>
  <si>
    <t>Verbrauchsdaten vorhanden</t>
  </si>
  <si>
    <t>Données consommation disponibles</t>
  </si>
  <si>
    <t>Dati consumo disponibili</t>
  </si>
  <si>
    <t>Pas de données disponibles</t>
  </si>
  <si>
    <t>Niente dati disponibili</t>
  </si>
  <si>
    <t>È possibile una potenza fino a 2000 kW.</t>
  </si>
  <si>
    <t>Une puissance jusqu'à 2000 kW est possible.</t>
  </si>
  <si>
    <t>Erreur: la puissance dépasse 2000 kW.</t>
  </si>
  <si>
    <t>Errore: la potenza supera 2000 kW.</t>
  </si>
  <si>
    <t>Costi annuali</t>
  </si>
  <si>
    <t>Coûts annuels</t>
  </si>
  <si>
    <t>Coûts d'entretien annuels (y compris TVA)</t>
  </si>
  <si>
    <t>Costi di mantenimento (incluso IVA)</t>
  </si>
  <si>
    <t>La Haute école de Lucerne n'est pas responsable des dommages pouvant résulter de l'utilisation de la présente publication.</t>
  </si>
  <si>
    <t>La Scuola universitaria professionale di Lucerna non è responsabile per eventuali danni derivanti dall'uso di questa pubblicazione.</t>
  </si>
  <si>
    <t>Besoin de chaleur pour l'eau chaude sanitaire</t>
  </si>
  <si>
    <t>Fabbisogno di calore per l'acqua calda</t>
  </si>
  <si>
    <t>Considérer l'ECS dans le calcul?</t>
  </si>
  <si>
    <t>Includere l'acqua calda nel calcolo?</t>
  </si>
  <si>
    <t>Production de chaleur existante 1</t>
  </si>
  <si>
    <t>Production de chaleur existante 2</t>
  </si>
  <si>
    <t>Produzione di calore esistente 1</t>
  </si>
  <si>
    <t>Produzione di calore esistente 2</t>
  </si>
  <si>
    <t>RCP</t>
  </si>
  <si>
    <t>Valeurs de départ pour le calcul</t>
  </si>
  <si>
    <t>Valori iniziali per il calcolo</t>
  </si>
  <si>
    <t>Durée considérée</t>
  </si>
  <si>
    <t>Tempo considerato</t>
  </si>
  <si>
    <t>Taux d'intérêt réel du capital</t>
  </si>
  <si>
    <t>Tasso di interesse del capitale reale</t>
  </si>
  <si>
    <t>Taxe sur la valeur ajoutée (TVA)</t>
  </si>
  <si>
    <t>Imposta sul valore aggiunto (IVA)</t>
  </si>
  <si>
    <t>Jährliche Preissteigerung der Unterhaltskosten</t>
  </si>
  <si>
    <t>Augmentation annuelle des coûts d'entretien</t>
  </si>
  <si>
    <t>Aumento annuale dei costi di manutenzione</t>
  </si>
  <si>
    <t>Augmentation annuelle du prix des coûts d'investissement</t>
  </si>
  <si>
    <t>Aumento annuale dei prezzi dei costi di investimento</t>
  </si>
  <si>
    <t>Production de chaleur 1</t>
  </si>
  <si>
    <t>Production de chaleur 2</t>
  </si>
  <si>
    <t>Produzione di calore 1</t>
  </si>
  <si>
    <t>Produzione di calore 2</t>
  </si>
  <si>
    <t>eBKP-H</t>
  </si>
  <si>
    <t>eCCC-Bât</t>
  </si>
  <si>
    <t>eCCC-E</t>
  </si>
  <si>
    <t>Validation saisie</t>
  </si>
  <si>
    <t>Entretien</t>
  </si>
  <si>
    <t>Manutenzione</t>
  </si>
  <si>
    <t>Répartition sur les producteurs de chaleur, part chauffage</t>
  </si>
  <si>
    <t>Répartition sur les producteurs de chaleur, part ECS</t>
  </si>
  <si>
    <t>Part chauffage</t>
  </si>
  <si>
    <t>Quota riscaldamento</t>
  </si>
  <si>
    <t>Assegnazione ai produttori di calore, quota riscaldamento</t>
  </si>
  <si>
    <t>Part ECS</t>
  </si>
  <si>
    <t>Assegnazione ai produttori di calore, quota acqua calda</t>
  </si>
  <si>
    <t>Quota acqua calda</t>
  </si>
  <si>
    <t>Eigenstromverbrauch</t>
  </si>
  <si>
    <t>Consommation propre d'électricité</t>
  </si>
  <si>
    <t>Consumo proprio di elettricità</t>
  </si>
  <si>
    <t>Coûts d'investissement (moins les subventions)</t>
  </si>
  <si>
    <t>Costi di investimento (meno le sovvenzioni)</t>
  </si>
  <si>
    <t>Coûts d'investissement (total)</t>
  </si>
  <si>
    <t>Costi di investimento (totale)</t>
  </si>
  <si>
    <t>Honoraires, taxes, TVA</t>
  </si>
  <si>
    <t>Tasse, oneri, IVA</t>
  </si>
  <si>
    <t>Coûts d'investissement (honoraires inclus)</t>
  </si>
  <si>
    <t>Costi di investimento (comprese le commissioni)</t>
  </si>
  <si>
    <t>Coûts d'investissement (TVA incluse)</t>
  </si>
  <si>
    <t>Costi di investimento (IVA inclusa)</t>
  </si>
  <si>
    <t>Démontage de l'installation de chauffage existante</t>
  </si>
  <si>
    <t>Smantellamento dell'impianto di riscaldamento esistente</t>
  </si>
  <si>
    <t>Production d'eau chaude, y compris électricité, plomberie</t>
  </si>
  <si>
    <t>Chauffe-eau PAC, y compris électricité, plomberie</t>
  </si>
  <si>
    <t>Distributeur chauffage, y compris sous-stations à partir de 200 kW</t>
  </si>
  <si>
    <t>Distributore riscaldamento, incluse le sottostazioni da 200 kW</t>
  </si>
  <si>
    <t>medio</t>
  </si>
  <si>
    <t>Protection contre le bruit</t>
  </si>
  <si>
    <t>Protezione dal rumore</t>
  </si>
  <si>
    <t>Intégration hydraulique</t>
  </si>
  <si>
    <t>Integrazione idraulica</t>
  </si>
  <si>
    <t>Système de ventilation</t>
  </si>
  <si>
    <t>Sistema di ventilazione</t>
  </si>
  <si>
    <t>Chaudière à pellets</t>
  </si>
  <si>
    <t>Caldaia a pellet</t>
  </si>
  <si>
    <t>Chaudière à copeaux de bois</t>
  </si>
  <si>
    <t>Caldaia a cippato</t>
  </si>
  <si>
    <t xml:space="preserve">Pompe à chaleur </t>
  </si>
  <si>
    <t xml:space="preserve">Pompa di calore </t>
  </si>
  <si>
    <t>Couplage chaleur-force (CCF)</t>
  </si>
  <si>
    <t>Cogenerazione</t>
  </si>
  <si>
    <t>Démontage</t>
  </si>
  <si>
    <t>Smontaggio</t>
  </si>
  <si>
    <t>Mesures de protection contre le bruit</t>
  </si>
  <si>
    <t>Misure di protezione dal rumore</t>
  </si>
  <si>
    <t>Coûts du cycle de vie en Fr.</t>
  </si>
  <si>
    <t>Costi del ciclo di vita in Fr.</t>
  </si>
  <si>
    <t>Coûts d'investissement en Fr.</t>
  </si>
  <si>
    <t>Costi di investimento in CHF</t>
  </si>
  <si>
    <t>Réseau de chaleur</t>
  </si>
  <si>
    <t>Rete di teleriscaldamento</t>
  </si>
  <si>
    <t>Quota elettricità</t>
  </si>
  <si>
    <t>Part électricité</t>
  </si>
  <si>
    <t>Source d'énergie conventionnelle</t>
  </si>
  <si>
    <t>Fonte di energia convenzionale</t>
  </si>
  <si>
    <t>Source d'énergie bio</t>
  </si>
  <si>
    <t>Fonte di bioenergia</t>
  </si>
  <si>
    <t>Stockage de chaleur</t>
  </si>
  <si>
    <t>Distribution de chaleur</t>
  </si>
  <si>
    <t>Distribuzione del calore</t>
  </si>
  <si>
    <t>Diffusion de chaleur</t>
  </si>
  <si>
    <t>Dissipazione del calore</t>
  </si>
  <si>
    <t>Réservoir d'eau</t>
  </si>
  <si>
    <t>Accumulatore d'acqua</t>
  </si>
  <si>
    <t>Stoccagio di calore</t>
  </si>
  <si>
    <t>Travaux de fouille</t>
  </si>
  <si>
    <t>Lavori di scavo</t>
  </si>
  <si>
    <t>Conduites de distribution</t>
  </si>
  <si>
    <t>Condotte di distribuzione</t>
  </si>
  <si>
    <t>Citerne (mazout)</t>
  </si>
  <si>
    <t>Robinetterie, appareils, tuyauterie, isolation</t>
  </si>
  <si>
    <t>Raccordi, apparecchi, tubazioni, isolamento</t>
  </si>
  <si>
    <t>Stazione di trasferimento</t>
  </si>
  <si>
    <t>Transport et montage</t>
  </si>
  <si>
    <t>Trasporto e installazione</t>
  </si>
  <si>
    <t>Serbatoi (olio combustibile)</t>
  </si>
  <si>
    <t>Accumulatore riscaldamento</t>
  </si>
  <si>
    <t>Accumulateur chauffage</t>
  </si>
  <si>
    <t>Silo à copeaux</t>
  </si>
  <si>
    <t>Silo per trucioli di legno</t>
  </si>
  <si>
    <t>Mesures statiques</t>
  </si>
  <si>
    <t>Misure statiche</t>
  </si>
  <si>
    <t>Création local de stockage</t>
  </si>
  <si>
    <t>Costruzione stoccaggio</t>
  </si>
  <si>
    <t>Autres installations techniques du bâtiment</t>
  </si>
  <si>
    <t>Altre installazioni techniche per l'edilizia</t>
  </si>
  <si>
    <t>TVA vente d'électricité.</t>
  </si>
  <si>
    <t>IVA vendita d’elettricità</t>
  </si>
  <si>
    <t>Informations pertinentes pour le calcul.</t>
  </si>
  <si>
    <t>Informazioni rilevanti per il calcolo.</t>
  </si>
  <si>
    <t>Saisies à titre informatif</t>
  </si>
  <si>
    <t>Dati compresi acqua calda?</t>
  </si>
  <si>
    <t>Données y compris ECS?</t>
  </si>
  <si>
    <t>Installation courant fort</t>
  </si>
  <si>
    <t>Installazione di corrente forte</t>
  </si>
  <si>
    <t>Automatisation du bâtiment</t>
  </si>
  <si>
    <t>Automazione degli edifici</t>
  </si>
  <si>
    <t>Prestation complémentaire à la construction</t>
  </si>
  <si>
    <t>Prestazione complementare alla costruzione</t>
  </si>
  <si>
    <t>Raccordement électrique</t>
  </si>
  <si>
    <t>Collegamento elettrico</t>
  </si>
  <si>
    <t>Travaux génie civil</t>
  </si>
  <si>
    <t>Lavori di costruzione</t>
  </si>
  <si>
    <t>Frais de raccordement (électricité)</t>
  </si>
  <si>
    <t>Tasse di allacciamento (elettricità)</t>
  </si>
  <si>
    <t>Valeur résiduelle de l'installation</t>
  </si>
  <si>
    <t>Valore residuo dell'impianto</t>
  </si>
  <si>
    <t>Stockage de pellets (technique)</t>
  </si>
  <si>
    <t>Stoccagio di pellet (tecnica)</t>
  </si>
  <si>
    <t>Coûts de l'énergie (y compris TVA)</t>
  </si>
  <si>
    <t>Costi dell'energia (IVA inclusa)</t>
  </si>
  <si>
    <t>Données des coûts de l'électricité</t>
  </si>
  <si>
    <t>Dati sui costi dell'elettricità</t>
  </si>
  <si>
    <t>Installation production courant fort</t>
  </si>
  <si>
    <t>Impianto generazione corrente forte intensità</t>
  </si>
  <si>
    <t>Somme variante</t>
  </si>
  <si>
    <t>Somma variante</t>
  </si>
  <si>
    <t>Convalida dati</t>
  </si>
  <si>
    <t>Zentrale Starkstromanlagen</t>
  </si>
  <si>
    <t>Degré d'utilisation ECS</t>
  </si>
  <si>
    <t>Grado di rendimento acqua calda</t>
  </si>
  <si>
    <t>Frais de raccordement (réseau de chaleur, gaz)</t>
  </si>
  <si>
    <t>Spese di allacciamento (rete di teleriscaldamento, gas)</t>
  </si>
  <si>
    <t>Conduit d'air (installation intérieure)</t>
  </si>
  <si>
    <t>Condotto d'aria (installazione interna)</t>
  </si>
  <si>
    <t>Défrichement, démantèlement</t>
  </si>
  <si>
    <t>Coûts du cycle de vie (TVA incluse)</t>
  </si>
  <si>
    <t>Costi del ciclo di vita (IVA inclusa)</t>
  </si>
  <si>
    <t>Sources et puits de chaleur, stoccage</t>
  </si>
  <si>
    <t>Cheminée, y compris construction &amp; nettoyage des gaz d'échappement</t>
  </si>
  <si>
    <t>Camino incl. costruzione e pulizia dei gas di scarico</t>
  </si>
  <si>
    <t>Aucune indication</t>
  </si>
  <si>
    <t>Nessun suggerimento</t>
  </si>
  <si>
    <t>Wärme ist 0 kWh!</t>
  </si>
  <si>
    <t>Leistung zu gross!</t>
  </si>
  <si>
    <t>Leistung ist 0 kW!</t>
  </si>
  <si>
    <t>Démontage entrepôt existant, y compris travaux</t>
  </si>
  <si>
    <t>Produzione acqua calda, incl. impianto elettrico, idraulico</t>
  </si>
  <si>
    <t>Boiler a pompa di calore, incl. impianto elettrico, idraulico</t>
  </si>
  <si>
    <t>Smantellamento del magazzino esistente, incl. lavori</t>
  </si>
  <si>
    <t>niente</t>
  </si>
  <si>
    <t>poco</t>
  </si>
  <si>
    <t>impegnativo</t>
  </si>
  <si>
    <t>moyen</t>
  </si>
  <si>
    <t>peu</t>
  </si>
  <si>
    <t>beaucoup</t>
  </si>
  <si>
    <t>pas</t>
  </si>
  <si>
    <t>Connexion</t>
  </si>
  <si>
    <t>Collegamento</t>
  </si>
  <si>
    <t>Impianti elettrici centrali a corrente forte</t>
  </si>
  <si>
    <t>Installations électriques centrales à courant fort</t>
  </si>
  <si>
    <t>Sgombero, demolizione</t>
  </si>
  <si>
    <t>Fonti e pozzi di calore, stoccaggio</t>
  </si>
  <si>
    <t>Conception de l'espace environnant</t>
  </si>
  <si>
    <t>Progettazione dei dintorni</t>
  </si>
  <si>
    <t>Gaz à effet de serre (exécution)</t>
  </si>
  <si>
    <t>Gas serra (esecuzione)</t>
  </si>
  <si>
    <t>Contatori elettrici</t>
  </si>
  <si>
    <t>Compteurs électriques</t>
  </si>
  <si>
    <t>Compteurs volumétriques</t>
  </si>
  <si>
    <t>Contatori volumetrici</t>
  </si>
  <si>
    <t>Appareils de mesure sur le terrain et ensembles d'appareillage</t>
  </si>
  <si>
    <t>Dispositivi da campo e apparecchiature assiemate di protezione e manovra</t>
  </si>
  <si>
    <t>Estrazione pellet</t>
  </si>
  <si>
    <t>Puissance trop élevée!</t>
  </si>
  <si>
    <t>Potenza troppo alta!</t>
  </si>
  <si>
    <t>*Positions de coûts (largement) indépendantes du type de production de chaleur</t>
  </si>
  <si>
    <t>*Posizioni di costo (in gran parte) indipendenti dal tipo di produzione di calore</t>
  </si>
  <si>
    <t>Personalizzato*</t>
  </si>
  <si>
    <t>Personnalisé</t>
  </si>
  <si>
    <t>* Les coûts d'investissement et d'entretien sont repris sans rectification.</t>
  </si>
  <si>
    <t>* I costi di investimento e di manutenzione sono ripresi senza modifiche.</t>
  </si>
  <si>
    <t>Allacciamento elettrico e spese di allacciamento</t>
  </si>
  <si>
    <t>Raccordement électrique et contribution au raccordement</t>
  </si>
  <si>
    <t>Sfondamento delle pareti, carotaggi</t>
  </si>
  <si>
    <t>Percements de murs, carottages</t>
  </si>
  <si>
    <t>Fondazione, pozzo di infiltrazione, lavori di scavo</t>
  </si>
  <si>
    <t>Fondations, fosse sceptique, travaux de creusement</t>
  </si>
  <si>
    <t>Capots antibruit, murs antibruit</t>
  </si>
  <si>
    <t>Cappotto antirumore, pareti antirumore</t>
  </si>
  <si>
    <t>Risistemazione dei dintorni</t>
  </si>
  <si>
    <t>Restauration des environs</t>
  </si>
  <si>
    <t>Silo à copeaux (équipement)</t>
  </si>
  <si>
    <t>Silo per trucioli di legno (attrezzatura)</t>
  </si>
  <si>
    <t>Grandes pompes à chaleur (évacuation, protection contre explosions, détection d'incendie)</t>
  </si>
  <si>
    <t>Pompe di calore di grandi dimensioni (evacuazione, protezione dalle esplosioni, allarme antincendio)</t>
  </si>
  <si>
    <t>Puissance de 0 kW!</t>
  </si>
  <si>
    <t>Chaleur de 0 kWh!</t>
  </si>
  <si>
    <t>Potenza di 0 kW!</t>
  </si>
  <si>
    <t>Calore di 0 kWh!</t>
  </si>
  <si>
    <t>Bases pour le calcul de rentabilité</t>
  </si>
  <si>
    <t>Basi per il calcolo di redditività</t>
  </si>
  <si>
    <t>Saisie des données variantes</t>
  </si>
  <si>
    <t>Inserimento dati per varianti</t>
  </si>
  <si>
    <t>Inserimento dati a titolo informativo</t>
  </si>
  <si>
    <t>Le type et le montant des subventions varient d'un canton à l'autre. Vous trouverez par exemple des informations à l'adresse suivante : www.francsenergie.ch/fr.</t>
  </si>
  <si>
    <t>Il tipo e il contributo delle sovvenzioni varia da cantone a cantone. Le informazioni si trovano, ad esempio, su www.franchienergia.ch/it.</t>
  </si>
  <si>
    <t>Gaz à effet de serre (KBOB)</t>
  </si>
  <si>
    <t>Coûts de production</t>
  </si>
  <si>
    <t>Costi di produzione</t>
  </si>
  <si>
    <t>Heures à pleine charge chauffage</t>
  </si>
  <si>
    <t>Stromkosten Allgemeinverbrauch</t>
  </si>
  <si>
    <t>Coûts d'électricité générale</t>
  </si>
  <si>
    <t>Consumo corrente generale</t>
  </si>
  <si>
    <t xml:space="preserve">Hier steht eine Auswahl zur Verfügung </t>
  </si>
  <si>
    <t xml:space="preserve">Une sélection est disponible ici </t>
  </si>
  <si>
    <t xml:space="preserve">Una selezione è disponibile qui </t>
  </si>
  <si>
    <r>
      <t>m</t>
    </r>
    <r>
      <rPr>
        <vertAlign val="superscript"/>
        <sz val="10"/>
        <color theme="1"/>
        <rFont val="Arial"/>
        <family val="2"/>
      </rPr>
      <t>2</t>
    </r>
  </si>
  <si>
    <t>Daten vorhanden (z.B. SIA 380/1, SIA 384/2)</t>
  </si>
  <si>
    <t xml:space="preserve">Données disponibles (SIA 380/1, SIA 384/2) </t>
  </si>
  <si>
    <t>Dati disponibili (SIA 380/1, SIA 384/2)</t>
  </si>
  <si>
    <t>Energiepreise</t>
  </si>
  <si>
    <t>800 - 1500 l</t>
  </si>
  <si>
    <t>1501 - 3000 l</t>
  </si>
  <si>
    <t>3001 - 6000 l</t>
  </si>
  <si>
    <t>6001- 9000 l</t>
  </si>
  <si>
    <t>9001 - 14000 l</t>
  </si>
  <si>
    <t>14000 - 20000 l</t>
  </si>
  <si>
    <t>&gt; 20000 l</t>
  </si>
  <si>
    <t>6000 kg</t>
  </si>
  <si>
    <t>Jährliche Preissteigerung</t>
  </si>
  <si>
    <t>Augmentation annuelle</t>
  </si>
  <si>
    <t>Aumento annuale</t>
  </si>
  <si>
    <t>kWh/a</t>
  </si>
  <si>
    <t>H1</t>
  </si>
  <si>
    <t>H2</t>
  </si>
  <si>
    <t>H3</t>
  </si>
  <si>
    <t>H4</t>
  </si>
  <si>
    <t>H5</t>
  </si>
  <si>
    <t>H6</t>
  </si>
  <si>
    <t>H7</t>
  </si>
  <si>
    <t>H8</t>
  </si>
  <si>
    <t>C1</t>
  </si>
  <si>
    <t>C2</t>
  </si>
  <si>
    <t>C3</t>
  </si>
  <si>
    <t>C4</t>
  </si>
  <si>
    <t>C5</t>
  </si>
  <si>
    <t>C6</t>
  </si>
  <si>
    <t>C7</t>
  </si>
  <si>
    <t>&lt;  1430 m³</t>
  </si>
  <si>
    <t>1431 - 3570 m³</t>
  </si>
  <si>
    <t>3571 - 7150 m³</t>
  </si>
  <si>
    <t>&gt; 7150 m³</t>
  </si>
  <si>
    <t>Konventionell</t>
  </si>
  <si>
    <t>Energie- und Leistungspreise</t>
  </si>
  <si>
    <t>Bio</t>
  </si>
  <si>
    <t>Preissteigerung</t>
  </si>
  <si>
    <t>Spaltenindex für den SVERWEIS</t>
  </si>
  <si>
    <t>Preissteigerung Leistungspreise</t>
  </si>
  <si>
    <t>Preissteigerung Energiepreise (Bio)</t>
  </si>
  <si>
    <t>Preissteigerung Energiepreise (konventionell)</t>
  </si>
  <si>
    <t>MWh/a</t>
  </si>
  <si>
    <t>Leistungspreise</t>
  </si>
  <si>
    <t>Energiepreise (Bio)</t>
  </si>
  <si>
    <t>Energiepreise (konventionell)</t>
  </si>
  <si>
    <t>Konvenzionell</t>
  </si>
  <si>
    <t>Überschreibt die Standartwerte</t>
  </si>
  <si>
    <t>Sovrascrive i valori predefiniti</t>
  </si>
  <si>
    <t>Remplace les valeurs par défaut</t>
  </si>
  <si>
    <t>Stromverbraucherprofil</t>
  </si>
  <si>
    <t>Profil des consommateurs d'électricité</t>
  </si>
  <si>
    <t>Profilo del consumatore di energia elettrica</t>
  </si>
  <si>
    <t>Stromverbrachsprofil</t>
  </si>
  <si>
    <t>Informationen für die Funktion Indirekt</t>
  </si>
  <si>
    <t>Zeile Energieeinsparung:</t>
  </si>
  <si>
    <t>Energiepreissteigerug:</t>
  </si>
  <si>
    <t>Zeile Energiekosten:</t>
  </si>
  <si>
    <t>Allgemein</t>
  </si>
  <si>
    <t>Massgebende Preissteigerung für die Varainten</t>
  </si>
  <si>
    <t>Preise inkl. CO2-Abgabe, exkl. MwSt.</t>
  </si>
  <si>
    <t>Prezzi comprensivi di tassa sul CO2, IVA esclusa.</t>
  </si>
  <si>
    <t>Prix incluant la taxe sur le CO2, hors TVA.</t>
  </si>
  <si>
    <t>Taxe CO2 (Inclus dans les coûts énergétiques)</t>
  </si>
  <si>
    <t>CO2-Abgabe (in Energiekosten enthalten)</t>
  </si>
  <si>
    <t>Tassa sul CO2 (Incluso nei costi energetici)</t>
  </si>
  <si>
    <t>Risparmi grazie all'uso proprio</t>
  </si>
  <si>
    <t>Économies grâce à l'utilisation personnelle</t>
  </si>
  <si>
    <t>Anteil Bio-Brennstoff</t>
  </si>
  <si>
    <t>Bei einem Neubau bildet die Energiebezugsfläche (EBF) die Basis, diese wird mit spezifischen Werten nach Merkblatt SIA 2024 multipliziert. Weicht die Aussentemperatur von -8°C ab, oder wird nach Minergie bzw. Minergie-P gebaut, wird der Wert korrigiert. Die Werte sind auf dem Excelblatt "Grundlagen" in den Tabellen "Leistungs- und Wärmebedarf Neubau" und "Reduktionsfaktor für Gebäudestandard" zu finden und können nach Bedarf überschrieben werden.</t>
  </si>
  <si>
    <t>Bezeichnung Varianten</t>
  </si>
  <si>
    <t>Investitionskosten in Fr./m² EBF</t>
  </si>
  <si>
    <t>Coûts d'investissement en Fr./m² SRE</t>
  </si>
  <si>
    <t>Costi di investimento in CHF./m² SRE</t>
  </si>
  <si>
    <t>Gewinn Verkauf/Eigennutzung Strom</t>
  </si>
  <si>
    <t>Bénéfice Vente/onsommation propre d'électricité</t>
  </si>
  <si>
    <t>Profitto Vendita/Consumo proprio elettricità</t>
  </si>
  <si>
    <t>Die Hochschule Luzern haftet nicht für Schäden, die durch die Anwendung des vorliegenden Tools entstehen können.</t>
  </si>
  <si>
    <t>Jährliche Kosten und Einnahmen in Fr./a</t>
  </si>
  <si>
    <t>Costi e ricavi annuali in CHF/a</t>
  </si>
  <si>
    <t>Coûts et recettes annuels en Fr./a</t>
  </si>
  <si>
    <t>Bezeichnung der Variante</t>
  </si>
  <si>
    <t>Désignation de la variante</t>
  </si>
  <si>
    <t>Denominazione della variante</t>
  </si>
  <si>
    <t>Per questo servizio non sono disponibili parametri di costo.</t>
  </si>
  <si>
    <t>Il n'existe pas de valeurs caractéristiques des coûts pour cette prestation.</t>
  </si>
  <si>
    <t>Für diese Leistung sind keine Standard-Kostenkennwerte vorhanden.</t>
  </si>
  <si>
    <r>
      <t>A</t>
    </r>
    <r>
      <rPr>
        <i/>
        <vertAlign val="subscript"/>
        <sz val="10"/>
        <color theme="1"/>
        <rFont val="Arial"/>
        <family val="2"/>
      </rPr>
      <t>EBF</t>
    </r>
  </si>
  <si>
    <t>spez. Kosten pro EBF</t>
  </si>
  <si>
    <t>Coûts spéc. par SRE</t>
  </si>
  <si>
    <t>Costi spec. per SRE</t>
  </si>
  <si>
    <t>Gestehungskosten in Fr./m² EBF</t>
  </si>
  <si>
    <t>Coûts de production en Fr./m² SRE</t>
  </si>
  <si>
    <t>Costi di produzione in CHF/m² SRE</t>
  </si>
  <si>
    <t>Treibhausgas-Emissionen (kg/m² EBF)</t>
  </si>
  <si>
    <t>Émissions de gaz à effet de serre (kg/m² SRE)</t>
  </si>
  <si>
    <t>Emissioni di gas serra (kg/m² SRE)</t>
  </si>
  <si>
    <t>Jährliche Nettokosten in Fr./a</t>
  </si>
  <si>
    <t>Costi annui netti in Fr./a</t>
  </si>
  <si>
    <t>Coûts annuels nets en Fr./a</t>
  </si>
  <si>
    <t>Anteil Biogas (Anteil im Energieträger)</t>
  </si>
  <si>
    <t>Part du biogaz (part dans la source d'énergie)</t>
  </si>
  <si>
    <t>Percentuale di biogas (quota nella fonte di energia)</t>
  </si>
  <si>
    <t>Daten für Diagramm  Energiepreissteigerung</t>
  </si>
  <si>
    <t>Holz</t>
  </si>
  <si>
    <t>Bois</t>
  </si>
  <si>
    <t>Legno</t>
  </si>
  <si>
    <t>Per il calcolo dei costi di investimento e dei punti di impatto ambientale sono necessari la potenza termica e il calore generato. Se tali valori sono conosciuti, è possibile inserirli direttamente, altrimenti verranno calcolati. Il calore ceduto è la somma del calore necessario per il riscaldamento dei locali, l'acqua calda sanitaria e i sistemi connessi.
Per l'impianto solare termico, il rendimento viene calcolato secondo la norma SIA 384/3.</t>
  </si>
  <si>
    <t>Pour le calcul des coûts d'investissement et de l'impact écologique, les valeurs de la puissance de chauffage et de la chaleur fournie sont indispensables. Si les valeurs sont connues, celles-ci peuvent être directement insérées, ou sinon elles sont calculées. La chaleur fournie est la somme de la chaleur pour les locaux, l'eau chaude sanitaire et les systèmes connectés.
Pour l'installation solaire thermique, le rendement est calculé selon la norme SIA 384/3.</t>
  </si>
  <si>
    <t>Das Tool wurde neu erstellt.</t>
  </si>
  <si>
    <t>Der Aufbau und die Funktionen des Tool werden in einem Video erklärt. Der Link ist unten angegeben. Die Videos sind nur auf Deutsch vorhanden.</t>
  </si>
  <si>
    <t>La structure et les fonctions de l'outil sont expliquées dans une vidéo. Le lien est indiqué ci-dessous. Les vidéos ne sont disponibles qu'en allemand.</t>
  </si>
  <si>
    <t>La struttura e le funzioni dello strumento sono spiegate in un video. Il link è riportato di seguito. I video sono disponibili solo in tedesco.</t>
  </si>
  <si>
    <t>www.hslu.ch/ige-tools</t>
  </si>
  <si>
    <t>V001</t>
  </si>
  <si>
    <t>V002</t>
  </si>
  <si>
    <r>
      <t>i</t>
    </r>
    <r>
      <rPr>
        <i/>
        <vertAlign val="subscript"/>
        <sz val="11"/>
        <color theme="1"/>
        <rFont val="Arial"/>
        <family val="2"/>
      </rPr>
      <t>r</t>
    </r>
  </si>
  <si>
    <r>
      <t>e</t>
    </r>
    <r>
      <rPr>
        <i/>
        <vertAlign val="subscript"/>
        <sz val="11"/>
        <color theme="1"/>
        <rFont val="Arial"/>
        <family val="2"/>
      </rPr>
      <t>i</t>
    </r>
  </si>
  <si>
    <r>
      <t>A</t>
    </r>
    <r>
      <rPr>
        <i/>
        <vertAlign val="subscript"/>
        <sz val="10"/>
        <color theme="1"/>
        <rFont val="Arial"/>
        <family val="2"/>
      </rPr>
      <t>E</t>
    </r>
  </si>
  <si>
    <t>Werden Bezugsdaten angegeben, wird die Leistung wieder gerechnet.</t>
  </si>
  <si>
    <t>V003</t>
  </si>
  <si>
    <t xml:space="preserve">Der Inhalt aller Auswahllisten wird nun übersetzt. </t>
  </si>
  <si>
    <t>Spaltenhöhe und Zeilenbreite angepasst.</t>
  </si>
  <si>
    <t>Kleinere Anpassungen an der Schriftart und Schrittgrösse.</t>
  </si>
  <si>
    <t>V004</t>
  </si>
  <si>
    <t>Korrektur bei der Berechnung Energiekosten (Leistungspreis)</t>
  </si>
  <si>
    <t>V005</t>
  </si>
  <si>
    <t>Ertrag PV-Strom für Anlage 1 bei der Variante D wird nun gerechnet</t>
  </si>
  <si>
    <t>V006</t>
  </si>
  <si>
    <t>Blatt Erläuterungen, Zellengrösse angepasst</t>
  </si>
  <si>
    <t>(https://www.strompreis.elcom.admin.ch/)</t>
  </si>
  <si>
    <t>Auf Blatt Projektdaten die Bedingte Formatierung angepasst (bei der PV-Anlage)</t>
  </si>
  <si>
    <t>Die Heizgradtage 2022 wurden ergänzt (zwischen 12 % und 22 % tiefer als letztes Jahr)</t>
  </si>
  <si>
    <t>In der Grafik der jährlichen Kosten und Einheiten wird der Restwert bei allen Varianten berücksichtigt</t>
  </si>
  <si>
    <t>V007</t>
  </si>
  <si>
    <t>Die Funktion XVERGLEICH wurde durch WENN ersetzt, so kann das Tool auch mit älteren Excel-Versionen eingesetzt werden.</t>
  </si>
  <si>
    <t>Für die Berechnung der Investitionskosten und der Umweltbelastung sind die Wärmeerzeugerleistung und die abgegebene Wärme notwendig. Sind die Grössen bekannt, können diese direkt eingegeben werden, andernfalls werden diese berechnet. Die Raumwärme und die Wärme für die verbundenen Systeme sowie die Wärme für das Brauchwarmwasser werden separat eingegeben.
Der Ertrag der thermischen Solaranlage wird nach SIA 384/3 gerechnet.</t>
  </si>
  <si>
    <t xml:space="preserve">Die Berechnung der Wärmeerzeugerleistung und der abgegebenen Wärme ist in der Norm SIA 384/1 beschrieben. Die Volllaststunden können ebenfalls überschrieben werden, die Werte sind in der Tabelle "Volllaststunden Wärmeerzeugung" zu finden, Grundlage bildet hier die Leistungsgarantie Haustechnik. </t>
  </si>
  <si>
    <t xml:space="preserve">Aus den interpolierten Investitionskosten werden mit Hilfe der Annuitätsmethode die Kapitalkosten berechnet. Die Amortisationszeiten sind auf dem Blatt "Grundlagen" und der Zinssatz auf dem Excelblatt "Projektdaten" zu finden und können überschrieben werden. </t>
  </si>
  <si>
    <t>Coûts énergétiques</t>
  </si>
  <si>
    <t>Costi energetici</t>
  </si>
  <si>
    <t xml:space="preserve">Die jährlichen Preissteigerung werden nach der Zinseszins-Methode berechnet. Weitere Informationen sind in der SIA 480 zu finden.  </t>
  </si>
  <si>
    <t xml:space="preserve">Gli aumenti di prezzo annuali sono calcolati con il metodo dell'interesse composto. Ulteriori informazioni sono disponibili nella norma SIA 480. </t>
  </si>
  <si>
    <t xml:space="preserve">L'augmentation annuelle des prix est calculée selon la méthode des intérêts composés. Pour plus d'informations, voir la SIA 480. </t>
  </si>
  <si>
    <t>V008</t>
  </si>
  <si>
    <t>Energiepreissteigerung berücksichtigen:</t>
  </si>
  <si>
    <t>progressiver Verlauf</t>
  </si>
  <si>
    <t>linearer Verlauf</t>
  </si>
  <si>
    <t xml:space="preserve">Energiepreissteigerung berücksichtigen als </t>
  </si>
  <si>
    <t xml:space="preserve">Prendre en compte l'augmentation des prix de l'énergie comme </t>
  </si>
  <si>
    <t>Considerate gli aumenti dei prezzi dell'energia come</t>
  </si>
  <si>
    <t>progressione lineare</t>
  </si>
  <si>
    <t>progression linéaire</t>
  </si>
  <si>
    <t>progression progressive</t>
  </si>
  <si>
    <t>Percorso progressivo</t>
  </si>
  <si>
    <t>Der Heizkostenvergleichsrechner ist ein Instrument für die Berechnung von Investitions- und Betriebskosten von Heizungsanlagen.</t>
  </si>
  <si>
    <t>Es wurde realisiert von</t>
  </si>
  <si>
    <t>Hochschule Luzern</t>
  </si>
  <si>
    <t>Institut für Gebäudetechnik und Energie</t>
  </si>
  <si>
    <t>Technikumstrasse 21</t>
  </si>
  <si>
    <t>6048 Horw</t>
  </si>
  <si>
    <t xml:space="preserve">An der Erarbeitung der Grundlagen waren beteiligt </t>
  </si>
  <si>
    <t>Disclaimer</t>
  </si>
  <si>
    <t>Auch wenn die Grundlagendaten mit Sorgfalt erhoben und die Berechnung gewissenhaft geprüft wurde, schliessen</t>
  </si>
  <si>
    <t>die Hochschule Luzern jede Haftung und Gewährleistung bezüglich des Tools aus. Die Hochschule ist insbesondere</t>
  </si>
  <si>
    <t>nicht für irgendwelche Schäden ersatzpflichtig, die aufgrund der Benutzung der Software entstehen.</t>
  </si>
  <si>
    <t>swisspower, Schweizerhof-Passage 7, 3011 Bern</t>
  </si>
  <si>
    <t>TEP Energy GmbH</t>
  </si>
  <si>
    <t>Technology Economics Policy</t>
  </si>
  <si>
    <t>Rotbuchstrasse 68</t>
  </si>
  <si>
    <t>CH- 8037 Zürich</t>
  </si>
  <si>
    <t>Lauber IWISA</t>
  </si>
  <si>
    <t>Kehrstrasse 14</t>
  </si>
  <si>
    <t>3904 Naters</t>
  </si>
  <si>
    <t>Blatt Projektdaten, Link eingefügt zu den Erläuterungen der Stromverbrachsprofile eingefügt.</t>
  </si>
  <si>
    <t>Im Auftrag von:</t>
  </si>
  <si>
    <t>Die Amortisationszeit wird neu für die  Berechnung auf ganze Jahre gerundet</t>
  </si>
  <si>
    <t>Ergänzung der Heizgradtage 2023</t>
  </si>
  <si>
    <t>Auswahlmöglichkeit zwischen progressiver und linearer Energiepreissteigerung</t>
  </si>
  <si>
    <t>Impressum wurde eingefügt</t>
  </si>
  <si>
    <t>© 2024 Hochschule Luzern</t>
  </si>
  <si>
    <t>V009</t>
  </si>
  <si>
    <t>Sperrung der Zelle Energiepreise!H2 aufgehoben</t>
  </si>
  <si>
    <t>Heizgradtage 2024 ergänzt</t>
  </si>
  <si>
    <t>Neues WP-System mit Luftkollektoren aufgenommen (KW-WP)</t>
  </si>
  <si>
    <t>HGT 2025</t>
  </si>
  <si>
    <t>HGT 2026</t>
  </si>
  <si>
    <t>HGT 2027</t>
  </si>
  <si>
    <t>HGT 2028</t>
  </si>
  <si>
    <t>HGT 2029</t>
  </si>
  <si>
    <t>HGT 2030</t>
  </si>
  <si>
    <t>WP (KW)</t>
  </si>
  <si>
    <t>Erdsonde/Kollektor</t>
  </si>
  <si>
    <t>WP (SW mit Luftabsorber)</t>
  </si>
  <si>
    <t>XIII</t>
  </si>
  <si>
    <t>Luftabsorber</t>
  </si>
  <si>
    <t>WP (SW mit Absorber)</t>
  </si>
  <si>
    <t>Absorber</t>
  </si>
  <si>
    <t>Assorbitore</t>
  </si>
  <si>
    <t>Absorbeur</t>
  </si>
  <si>
    <t>PdC (con Assorbitore)</t>
  </si>
  <si>
    <t>PAC (Sol/Eau avec absorbeur)</t>
  </si>
  <si>
    <t>Für die Planung kann das Honorar auf dem Blatt Investitionskosten angepasst werden.</t>
  </si>
  <si>
    <t>Planungskosten</t>
  </si>
  <si>
    <t>Conseils de planification</t>
  </si>
  <si>
    <t>Costi di pianificazione</t>
  </si>
  <si>
    <t>V01.4</t>
  </si>
  <si>
    <t>Erdsondenbohrungen/Absorber</t>
  </si>
  <si>
    <t>Forage pour sonde géothermique/Absorbeur</t>
  </si>
  <si>
    <t>Sonda geotermica/Assorbitore</t>
  </si>
  <si>
    <t>V010</t>
  </si>
  <si>
    <t>Fehler in Formel für die Diagramm-Darstellung der Variante D angepasst.</t>
  </si>
  <si>
    <t>V011</t>
  </si>
  <si>
    <t>Blatt "Investitionskosten", gesperte Zellen bei den Solaranlagen entsperrt.</t>
  </si>
  <si>
    <t>Fehler bei der Berechnung der Investitionskosten bivalenter Anlagen behoben.</t>
  </si>
  <si>
    <t>Bei den Energiekosten wird die Preissteigerung nun korrekt mitberücksichtigt.</t>
  </si>
  <si>
    <t>V012</t>
  </si>
  <si>
    <t>10.13.2025</t>
  </si>
  <si>
    <t>V013</t>
  </si>
  <si>
    <t>Ergänzung der Heizgradtage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</si>
</sst>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CHF&quot;\ #,##0.00;[Red]&quot;CHF&quot;\ \-#,##0.00"/>
    <numFmt numFmtId="43" formatCode="_ * #,##0.00_ ;_ * \-#,##0.00_ ;_ * &quot;-&quot;??_ ;_ @_ "/>
    <numFmt numFmtId="164" formatCode="0.0"/>
    <numFmt numFmtId="165" formatCode="#,##0.0"/>
    <numFmt numFmtId="166" formatCode="0.000"/>
    <numFmt numFmtId="167" formatCode="#,##0.000"/>
    <numFmt numFmtId="168" formatCode="&quot;Fr. &quot;#,##0&quot;.-&quot;"/>
    <numFmt numFmtId="169" formatCode="#,##0.0&quot; kW&quot;"/>
    <numFmt numFmtId="170" formatCode="#,##0.0&quot; MWh&quot;"/>
    <numFmt numFmtId="171" formatCode="#,##0.0&quot; kWp&quot;"/>
    <numFmt numFmtId="172" formatCode="#,##0.0&quot; kWh&quot;"/>
    <numFmt numFmtId="173" formatCode="#,##0.0&quot; m²&quot;"/>
    <numFmt numFmtId="174" formatCode="#,##0&quot; kWh&quot;"/>
    <numFmt numFmtId="175" formatCode="0.0%"/>
  </numFmts>
  <fonts count="55">
    <font>
      <sz val="11"/>
      <color theme="1"/>
      <name val="Calibri"/>
      <family val="2"/>
      <scheme val="minor"/>
    </font>
    <font>
      <sz val="10"/>
      <color theme="1"/>
      <name val="Arial"/>
      <family val="2"/>
    </font>
    <font>
      <vertAlign val="superscript"/>
      <sz val="10"/>
      <color theme="1"/>
      <name val="Arial"/>
      <family val="2"/>
    </font>
    <font>
      <b/>
      <sz val="10"/>
      <color theme="1"/>
      <name val="Arial"/>
      <family val="2"/>
    </font>
    <font>
      <b/>
      <sz val="18"/>
      <color theme="1"/>
      <name val="Arial"/>
      <family val="2"/>
    </font>
    <font>
      <b/>
      <sz val="12"/>
      <color theme="1"/>
      <name val="Arial"/>
      <family val="2"/>
    </font>
    <font>
      <sz val="11"/>
      <name val="Calibri"/>
      <family val="2"/>
      <scheme val="minor"/>
    </font>
    <font>
      <sz val="10"/>
      <color indexed="8"/>
      <name val="Arial"/>
      <family val="2"/>
    </font>
    <font>
      <sz val="11"/>
      <color indexed="8"/>
      <name val="Calibri"/>
      <family val="2"/>
    </font>
    <font>
      <vertAlign val="subscript"/>
      <sz val="10"/>
      <color theme="1"/>
      <name val="Arial"/>
      <family val="2"/>
    </font>
    <font>
      <sz val="10"/>
      <name val="Arial"/>
      <family val="2"/>
    </font>
    <font>
      <sz val="10"/>
      <color theme="1"/>
      <name val="Symbol"/>
      <family val="1"/>
      <charset val="2"/>
    </font>
    <font>
      <vertAlign val="subscript"/>
      <sz val="10"/>
      <name val="Arial"/>
      <family val="2"/>
    </font>
    <font>
      <sz val="11"/>
      <color theme="1"/>
      <name val="Symbol"/>
      <family val="1"/>
      <charset val="2"/>
    </font>
    <font>
      <i/>
      <sz val="10"/>
      <color theme="1"/>
      <name val="Arial"/>
      <family val="2"/>
    </font>
    <font>
      <i/>
      <vertAlign val="subscript"/>
      <sz val="10"/>
      <color theme="1"/>
      <name val="Arial"/>
      <family val="2"/>
    </font>
    <font>
      <i/>
      <sz val="10"/>
      <color theme="1"/>
      <name val="Symbol"/>
      <family val="1"/>
      <charset val="2"/>
    </font>
    <font>
      <i/>
      <sz val="10"/>
      <name val="Arial"/>
      <family val="2"/>
    </font>
    <font>
      <i/>
      <vertAlign val="subscript"/>
      <sz val="10"/>
      <name val="Arial"/>
      <family val="2"/>
    </font>
    <font>
      <sz val="10"/>
      <color rgb="FFFF0000"/>
      <name val="Arial"/>
      <family val="2"/>
    </font>
    <font>
      <sz val="12"/>
      <color theme="1"/>
      <name val="Arial"/>
      <family val="2"/>
    </font>
    <font>
      <b/>
      <sz val="16"/>
      <color theme="1"/>
      <name val="Arial"/>
      <family val="2"/>
    </font>
    <font>
      <u/>
      <sz val="11"/>
      <color theme="10"/>
      <name val="Calibri"/>
      <family val="2"/>
      <scheme val="minor"/>
    </font>
    <font>
      <sz val="9"/>
      <color indexed="81"/>
      <name val="Tahoma"/>
      <family val="2"/>
    </font>
    <font>
      <b/>
      <sz val="9"/>
      <color indexed="81"/>
      <name val="Tahoma"/>
      <family val="2"/>
    </font>
    <font>
      <sz val="11"/>
      <color rgb="FF222222"/>
      <name val="Calibri"/>
      <family val="2"/>
      <scheme val="minor"/>
    </font>
    <font>
      <sz val="11"/>
      <color rgb="FF333333"/>
      <name val="Calibri"/>
      <family val="2"/>
      <scheme val="minor"/>
    </font>
    <font>
      <sz val="11"/>
      <color theme="1"/>
      <name val="Calibri"/>
      <family val="2"/>
      <scheme val="minor"/>
    </font>
    <font>
      <sz val="8"/>
      <name val="Calibri"/>
      <family val="2"/>
      <scheme val="minor"/>
    </font>
    <font>
      <sz val="11"/>
      <color rgb="FF333333"/>
      <name val="Arial"/>
      <family val="2"/>
    </font>
    <font>
      <sz val="10"/>
      <color theme="1"/>
      <name val="Segoe UI"/>
      <family val="2"/>
    </font>
    <font>
      <b/>
      <sz val="14"/>
      <color theme="1"/>
      <name val="Arial"/>
      <family val="2"/>
    </font>
    <font>
      <b/>
      <sz val="10"/>
      <name val="Arial"/>
      <family val="2"/>
    </font>
    <font>
      <b/>
      <sz val="12"/>
      <name val="Arial"/>
      <family val="2"/>
    </font>
    <font>
      <b/>
      <sz val="11"/>
      <color theme="1"/>
      <name val="Calibri"/>
      <family val="2"/>
      <scheme val="minor"/>
    </font>
    <font>
      <b/>
      <sz val="11"/>
      <name val="Calibri"/>
      <family val="2"/>
      <scheme val="minor"/>
    </font>
    <font>
      <b/>
      <sz val="11"/>
      <color theme="1"/>
      <name val="Arial"/>
      <family val="2"/>
    </font>
    <font>
      <b/>
      <sz val="10"/>
      <color rgb="FFFF0000"/>
      <name val="Arial"/>
      <family val="2"/>
    </font>
    <font>
      <sz val="10"/>
      <color rgb="FFFF0000"/>
      <name val="Segoe UI"/>
      <family val="2"/>
    </font>
    <font>
      <sz val="11"/>
      <color rgb="FFFF0000"/>
      <name val="Calibri"/>
      <family val="2"/>
      <scheme val="minor"/>
    </font>
    <font>
      <sz val="10"/>
      <name val="Segoe UI"/>
      <family val="2"/>
    </font>
    <font>
      <sz val="11"/>
      <name val="Calibri"/>
      <family val="2"/>
    </font>
    <font>
      <b/>
      <sz val="11"/>
      <name val="Calibri"/>
      <family val="2"/>
    </font>
    <font>
      <sz val="10"/>
      <color theme="1"/>
      <name val="Arial"/>
      <family val="1"/>
      <charset val="2"/>
    </font>
    <font>
      <b/>
      <sz val="11"/>
      <name val="Arial"/>
      <family val="2"/>
    </font>
    <font>
      <b/>
      <sz val="14"/>
      <name val="Arial"/>
      <family val="2"/>
    </font>
    <font>
      <b/>
      <sz val="11"/>
      <color rgb="FFFF0000"/>
      <name val="Calibri"/>
      <family val="2"/>
      <scheme val="minor"/>
    </font>
    <font>
      <sz val="11"/>
      <color theme="1"/>
      <name val="Arial"/>
      <family val="2"/>
    </font>
    <font>
      <sz val="11"/>
      <name val="Arial"/>
      <family val="2"/>
    </font>
    <font>
      <i/>
      <sz val="11"/>
      <color theme="1"/>
      <name val="Arial"/>
      <family val="2"/>
    </font>
    <font>
      <sz val="11"/>
      <color rgb="FFFF0000"/>
      <name val="Arial"/>
      <family val="2"/>
    </font>
    <font>
      <i/>
      <vertAlign val="subscript"/>
      <sz val="11"/>
      <color theme="1"/>
      <name val="Arial"/>
      <family val="2"/>
    </font>
    <font>
      <i/>
      <sz val="10"/>
      <color theme="1"/>
      <name val="Arial"/>
      <family val="1"/>
      <charset val="2"/>
    </font>
    <font>
      <sz val="10"/>
      <color theme="0" tint="-0.249977111117893"/>
      <name val="Arial"/>
      <family val="2"/>
    </font>
    <font>
      <sz val="11"/>
      <color theme="0" tint="-0.249977111117893"/>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indexed="22"/>
        <bgColor indexed="0"/>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1"/>
        <bgColor indexed="64"/>
      </patternFill>
    </fill>
    <fill>
      <patternFill patternType="solid">
        <fgColor theme="0" tint="-0.34998626667073579"/>
        <bgColor indexed="64"/>
      </patternFill>
    </fill>
    <fill>
      <patternFill patternType="solid">
        <fgColor theme="6"/>
        <bgColor indexed="64"/>
      </patternFill>
    </fill>
    <fill>
      <patternFill patternType="solid">
        <fgColor theme="6" tint="0.59996337778862885"/>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6" tint="-0.249977111117893"/>
        <bgColor indexed="64"/>
      </patternFill>
    </fill>
  </fills>
  <borders count="6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hair">
        <color auto="1"/>
      </bottom>
      <diagonal/>
    </border>
    <border>
      <left/>
      <right/>
      <top style="hair">
        <color auto="1"/>
      </top>
      <bottom style="hair">
        <color auto="1"/>
      </bottom>
      <diagonal/>
    </border>
    <border>
      <left style="hair">
        <color auto="1"/>
      </left>
      <right/>
      <top style="hair">
        <color auto="1"/>
      </top>
      <bottom style="hair">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style="thin">
        <color indexed="8"/>
      </left>
      <right/>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top style="thin">
        <color indexed="64"/>
      </top>
      <bottom/>
      <diagonal/>
    </border>
    <border>
      <left/>
      <right style="hair">
        <color auto="1"/>
      </right>
      <top style="hair">
        <color auto="1"/>
      </top>
      <bottom style="hair">
        <color auto="1"/>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auto="1"/>
      </left>
      <right/>
      <top/>
      <bottom/>
      <diagonal/>
    </border>
    <border>
      <left/>
      <right/>
      <top style="medium">
        <color auto="1"/>
      </top>
      <bottom/>
      <diagonal/>
    </border>
    <border>
      <left style="thick">
        <color indexed="64"/>
      </left>
      <right style="thick">
        <color indexed="64"/>
      </right>
      <top/>
      <bottom/>
      <diagonal/>
    </border>
    <border>
      <left style="thick">
        <color indexed="64"/>
      </left>
      <right/>
      <top/>
      <bottom/>
      <diagonal/>
    </border>
    <border>
      <left/>
      <right style="thick">
        <color indexed="64"/>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ck">
        <color indexed="64"/>
      </right>
      <top style="thick">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hair">
        <color auto="1"/>
      </left>
      <right/>
      <top style="hair">
        <color auto="1"/>
      </top>
      <bottom/>
      <diagonal/>
    </border>
    <border>
      <left/>
      <right/>
      <top style="hair">
        <color auto="1"/>
      </top>
      <bottom/>
      <diagonal/>
    </border>
    <border>
      <left/>
      <right/>
      <top style="thick">
        <color indexed="64"/>
      </top>
      <bottom style="thin">
        <color indexed="64"/>
      </bottom>
      <diagonal/>
    </border>
    <border>
      <left/>
      <right/>
      <top style="thin">
        <color indexed="64"/>
      </top>
      <bottom style="thick">
        <color indexed="64"/>
      </bottom>
      <diagonal/>
    </border>
    <border>
      <left/>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8">
    <xf numFmtId="0" fontId="0" fillId="0" borderId="0"/>
    <xf numFmtId="0" fontId="7" fillId="0" borderId="0"/>
    <xf numFmtId="0" fontId="22" fillId="0" borderId="0" applyNumberFormat="0" applyFill="0" applyBorder="0" applyAlignment="0" applyProtection="0"/>
    <xf numFmtId="0" fontId="27" fillId="0" borderId="0"/>
    <xf numFmtId="0" fontId="30" fillId="0" borderId="0"/>
    <xf numFmtId="9" fontId="30" fillId="0" borderId="0" applyFont="0" applyFill="0" applyBorder="0" applyAlignment="0" applyProtection="0"/>
    <xf numFmtId="0" fontId="30" fillId="0" borderId="0"/>
    <xf numFmtId="43" fontId="27" fillId="0" borderId="0" applyFont="0" applyFill="0" applyBorder="0" applyAlignment="0" applyProtection="0"/>
  </cellStyleXfs>
  <cellXfs count="662">
    <xf numFmtId="0" fontId="0" fillId="0" borderId="0" xfId="0"/>
    <xf numFmtId="0" fontId="1" fillId="0" borderId="0" xfId="0" applyFont="1"/>
    <xf numFmtId="0" fontId="1" fillId="0" borderId="3" xfId="0" applyFont="1" applyBorder="1"/>
    <xf numFmtId="0" fontId="1" fillId="0" borderId="6" xfId="0" applyFont="1" applyBorder="1"/>
    <xf numFmtId="0" fontId="1" fillId="0" borderId="7" xfId="0" applyFont="1" applyBorder="1"/>
    <xf numFmtId="0" fontId="1" fillId="0" borderId="9" xfId="0" applyFont="1" applyBorder="1"/>
    <xf numFmtId="0" fontId="1" fillId="0" borderId="5" xfId="0" applyFont="1" applyBorder="1"/>
    <xf numFmtId="0" fontId="1" fillId="0" borderId="0" xfId="0" applyFont="1" applyAlignment="1">
      <alignment horizontal="right"/>
    </xf>
    <xf numFmtId="0" fontId="3" fillId="0" borderId="0" xfId="0" applyFont="1"/>
    <xf numFmtId="0" fontId="8" fillId="5" borderId="15" xfId="1" applyFont="1" applyFill="1" applyBorder="1" applyAlignment="1">
      <alignment horizontal="center"/>
    </xf>
    <xf numFmtId="0" fontId="0" fillId="0" borderId="16" xfId="0" applyBorder="1"/>
    <xf numFmtId="0" fontId="8" fillId="0" borderId="16" xfId="1" applyFont="1" applyBorder="1" applyAlignment="1">
      <alignment wrapText="1"/>
    </xf>
    <xf numFmtId="0" fontId="8" fillId="0" borderId="16" xfId="1" applyFont="1" applyBorder="1" applyAlignment="1">
      <alignment horizontal="right" wrapText="1"/>
    </xf>
    <xf numFmtId="0" fontId="1" fillId="0" borderId="1" xfId="0" applyFont="1" applyBorder="1" applyAlignment="1">
      <alignment horizontal="center"/>
    </xf>
    <xf numFmtId="0" fontId="1" fillId="0" borderId="3" xfId="0" applyFont="1" applyBorder="1" applyAlignment="1">
      <alignment horizontal="center"/>
    </xf>
    <xf numFmtId="0" fontId="8" fillId="5" borderId="15" xfId="1" applyFont="1" applyFill="1" applyBorder="1" applyAlignment="1">
      <alignment horizontal="left"/>
    </xf>
    <xf numFmtId="0" fontId="1" fillId="0" borderId="16" xfId="0" applyFont="1" applyBorder="1"/>
    <xf numFmtId="0" fontId="0" fillId="0" borderId="0" xfId="0" applyAlignment="1">
      <alignment horizontal="right"/>
    </xf>
    <xf numFmtId="0" fontId="1" fillId="0" borderId="16" xfId="0" applyFont="1" applyBorder="1" applyAlignment="1">
      <alignment horizontal="center"/>
    </xf>
    <xf numFmtId="0" fontId="0" fillId="0" borderId="16" xfId="0" applyBorder="1" applyAlignment="1">
      <alignment horizontal="center"/>
    </xf>
    <xf numFmtId="0" fontId="10" fillId="0" borderId="16" xfId="0" applyFont="1" applyBorder="1" applyAlignment="1">
      <alignment horizontal="center"/>
    </xf>
    <xf numFmtId="0" fontId="0" fillId="0" borderId="0" xfId="0" applyAlignment="1">
      <alignment horizontal="center"/>
    </xf>
    <xf numFmtId="4" fontId="1" fillId="0" borderId="16" xfId="0" applyNumberFormat="1" applyFont="1" applyBorder="1"/>
    <xf numFmtId="0" fontId="1" fillId="0" borderId="16" xfId="0" quotePrefix="1" applyFont="1" applyBorder="1" applyAlignment="1">
      <alignment horizontal="center"/>
    </xf>
    <xf numFmtId="0" fontId="1" fillId="0" borderId="1" xfId="0" quotePrefix="1" applyFont="1" applyBorder="1" applyAlignment="1">
      <alignment horizontal="center"/>
    </xf>
    <xf numFmtId="0" fontId="1" fillId="0" borderId="18" xfId="0" applyFont="1" applyBorder="1"/>
    <xf numFmtId="3" fontId="1" fillId="0" borderId="16" xfId="0" applyNumberFormat="1" applyFont="1" applyBorder="1"/>
    <xf numFmtId="0" fontId="1" fillId="3" borderId="16" xfId="0" applyFont="1" applyFill="1" applyBorder="1" applyProtection="1">
      <protection locked="0"/>
    </xf>
    <xf numFmtId="0" fontId="1" fillId="0" borderId="0" xfId="0" applyFont="1" applyProtection="1">
      <protection locked="0"/>
    </xf>
    <xf numFmtId="0" fontId="1" fillId="0" borderId="18" xfId="0" applyFont="1" applyBorder="1" applyAlignment="1">
      <alignment horizontal="center"/>
    </xf>
    <xf numFmtId="0" fontId="13" fillId="0" borderId="16" xfId="0" applyFont="1" applyBorder="1" applyAlignment="1">
      <alignment horizontal="center"/>
    </xf>
    <xf numFmtId="0" fontId="1" fillId="0" borderId="1" xfId="0" applyFont="1" applyBorder="1" applyAlignment="1">
      <alignment horizontal="left"/>
    </xf>
    <xf numFmtId="0" fontId="1" fillId="0" borderId="0" xfId="0" quotePrefix="1" applyFont="1"/>
    <xf numFmtId="4" fontId="1" fillId="0" borderId="0" xfId="0" applyNumberFormat="1" applyFont="1"/>
    <xf numFmtId="0" fontId="0" fillId="0" borderId="2" xfId="0" applyBorder="1"/>
    <xf numFmtId="0" fontId="1" fillId="0" borderId="0" xfId="0" applyFont="1" applyAlignment="1">
      <alignment horizontal="center"/>
    </xf>
    <xf numFmtId="3" fontId="1" fillId="3" borderId="16" xfId="0" applyNumberFormat="1" applyFont="1" applyFill="1" applyBorder="1" applyAlignment="1" applyProtection="1">
      <alignment horizontal="right"/>
      <protection locked="0"/>
    </xf>
    <xf numFmtId="165" fontId="1" fillId="0" borderId="16" xfId="0" applyNumberFormat="1" applyFont="1" applyBorder="1" applyProtection="1">
      <protection locked="0"/>
    </xf>
    <xf numFmtId="3" fontId="1" fillId="0" borderId="16" xfId="0" applyNumberFormat="1" applyFont="1" applyBorder="1" applyAlignment="1" applyProtection="1">
      <alignment horizontal="right"/>
      <protection locked="0"/>
    </xf>
    <xf numFmtId="0" fontId="8" fillId="5" borderId="20" xfId="1" applyFont="1" applyFill="1" applyBorder="1" applyAlignment="1">
      <alignment horizontal="center"/>
    </xf>
    <xf numFmtId="0" fontId="8" fillId="0" borderId="1" xfId="1" applyFont="1" applyBorder="1" applyAlignment="1">
      <alignment horizontal="right" wrapText="1"/>
    </xf>
    <xf numFmtId="0" fontId="8" fillId="5" borderId="16" xfId="1" applyFont="1" applyFill="1" applyBorder="1" applyAlignment="1">
      <alignment horizontal="center"/>
    </xf>
    <xf numFmtId="0" fontId="0" fillId="0" borderId="0" xfId="0" applyAlignment="1">
      <alignment vertical="center" wrapText="1"/>
    </xf>
    <xf numFmtId="0" fontId="8" fillId="5" borderId="1" xfId="1" applyFont="1" applyFill="1" applyBorder="1" applyAlignment="1">
      <alignment horizontal="center"/>
    </xf>
    <xf numFmtId="0" fontId="8" fillId="5" borderId="21" xfId="1" applyFont="1" applyFill="1" applyBorder="1" applyAlignment="1">
      <alignment horizontal="center"/>
    </xf>
    <xf numFmtId="0" fontId="0" fillId="0" borderId="18" xfId="0" applyBorder="1"/>
    <xf numFmtId="4" fontId="1" fillId="0" borderId="16" xfId="0" applyNumberFormat="1" applyFont="1" applyBorder="1" applyProtection="1">
      <protection locked="0"/>
    </xf>
    <xf numFmtId="164" fontId="1" fillId="3" borderId="17" xfId="0" applyNumberFormat="1" applyFont="1" applyFill="1" applyBorder="1" applyProtection="1">
      <protection locked="0"/>
    </xf>
    <xf numFmtId="164" fontId="1" fillId="3" borderId="16" xfId="0" applyNumberFormat="1" applyFont="1" applyFill="1" applyBorder="1" applyProtection="1">
      <protection locked="0"/>
    </xf>
    <xf numFmtId="0" fontId="1" fillId="3" borderId="17" xfId="0" applyFont="1" applyFill="1" applyBorder="1" applyProtection="1">
      <protection locked="0"/>
    </xf>
    <xf numFmtId="0" fontId="1" fillId="0" borderId="1" xfId="0" applyFont="1" applyBorder="1"/>
    <xf numFmtId="0" fontId="1" fillId="0" borderId="8" xfId="0" applyFont="1" applyBorder="1"/>
    <xf numFmtId="0" fontId="1" fillId="0" borderId="16" xfId="0" applyFont="1" applyBorder="1" applyAlignment="1">
      <alignment horizontal="left"/>
    </xf>
    <xf numFmtId="0" fontId="0" fillId="0" borderId="3" xfId="0" applyBorder="1" applyAlignment="1">
      <alignment horizontal="center"/>
    </xf>
    <xf numFmtId="0" fontId="4" fillId="0" borderId="0" xfId="0" applyFont="1"/>
    <xf numFmtId="0" fontId="1" fillId="0" borderId="11" xfId="0" applyFont="1" applyBorder="1"/>
    <xf numFmtId="14" fontId="1" fillId="0" borderId="11" xfId="0" applyNumberFormat="1" applyFont="1" applyBorder="1"/>
    <xf numFmtId="0" fontId="5" fillId="0" borderId="0" xfId="0" applyFont="1"/>
    <xf numFmtId="0" fontId="14" fillId="0" borderId="0" xfId="0" applyFont="1"/>
    <xf numFmtId="0" fontId="17" fillId="0" borderId="0" xfId="0" applyFont="1"/>
    <xf numFmtId="0" fontId="1" fillId="0" borderId="17" xfId="0" applyFont="1" applyBorder="1"/>
    <xf numFmtId="0" fontId="1" fillId="0" borderId="19" xfId="0" applyFont="1" applyBorder="1"/>
    <xf numFmtId="0" fontId="14" fillId="0" borderId="0" xfId="0" applyFont="1" applyAlignment="1">
      <alignment horizontal="center"/>
    </xf>
    <xf numFmtId="0" fontId="1" fillId="0" borderId="10" xfId="0" applyFont="1" applyBorder="1"/>
    <xf numFmtId="0" fontId="10" fillId="0" borderId="0" xfId="0" applyFont="1"/>
    <xf numFmtId="0" fontId="3" fillId="0" borderId="0" xfId="0" applyFont="1" applyAlignment="1">
      <alignment horizontal="left"/>
    </xf>
    <xf numFmtId="0" fontId="1" fillId="0" borderId="16" xfId="0" applyFont="1" applyBorder="1" applyProtection="1">
      <protection locked="0"/>
    </xf>
    <xf numFmtId="3" fontId="1" fillId="6" borderId="16" xfId="0" applyNumberFormat="1" applyFont="1" applyFill="1" applyBorder="1" applyAlignment="1">
      <alignment horizontal="right"/>
    </xf>
    <xf numFmtId="3" fontId="1" fillId="0" borderId="0" xfId="0" applyNumberFormat="1" applyFont="1" applyAlignment="1">
      <alignment horizontal="right"/>
    </xf>
    <xf numFmtId="3" fontId="1" fillId="0" borderId="0" xfId="0" applyNumberFormat="1" applyFont="1"/>
    <xf numFmtId="0" fontId="1" fillId="0" borderId="4" xfId="0" applyFont="1" applyBorder="1"/>
    <xf numFmtId="0" fontId="1" fillId="0" borderId="2" xfId="0" applyFont="1" applyBorder="1"/>
    <xf numFmtId="164" fontId="1" fillId="0" borderId="16" xfId="0" applyNumberFormat="1" applyFont="1" applyBorder="1"/>
    <xf numFmtId="164" fontId="1" fillId="0" borderId="17" xfId="0" applyNumberFormat="1" applyFont="1" applyBorder="1"/>
    <xf numFmtId="164" fontId="1" fillId="0" borderId="0" xfId="0" applyNumberFormat="1" applyFont="1"/>
    <xf numFmtId="0" fontId="1" fillId="0" borderId="0" xfId="0" applyFont="1" applyAlignment="1">
      <alignment vertical="center"/>
    </xf>
    <xf numFmtId="2" fontId="1" fillId="0" borderId="16" xfId="0" applyNumberFormat="1" applyFont="1" applyBorder="1"/>
    <xf numFmtId="0" fontId="1" fillId="0" borderId="10" xfId="0" quotePrefix="1" applyFont="1" applyBorder="1"/>
    <xf numFmtId="2" fontId="1" fillId="3" borderId="16" xfId="0" applyNumberFormat="1" applyFont="1" applyFill="1" applyBorder="1" applyProtection="1">
      <protection locked="0"/>
    </xf>
    <xf numFmtId="0" fontId="1" fillId="3" borderId="3" xfId="0" applyFont="1" applyFill="1" applyBorder="1" applyProtection="1">
      <protection locked="0"/>
    </xf>
    <xf numFmtId="0" fontId="0" fillId="0" borderId="0" xfId="0" applyAlignment="1">
      <alignment vertical="center"/>
    </xf>
    <xf numFmtId="3" fontId="1" fillId="0" borderId="0" xfId="0" applyNumberFormat="1" applyFont="1" applyAlignment="1" applyProtection="1">
      <alignment horizontal="right"/>
      <protection locked="0"/>
    </xf>
    <xf numFmtId="0" fontId="10" fillId="0" borderId="0" xfId="0" applyFont="1" applyAlignment="1">
      <alignment horizontal="center"/>
    </xf>
    <xf numFmtId="0" fontId="1" fillId="0" borderId="0" xfId="0" applyFont="1" applyAlignment="1">
      <alignment horizontal="left"/>
    </xf>
    <xf numFmtId="0" fontId="26" fillId="0" borderId="0" xfId="0" applyFont="1" applyAlignment="1">
      <alignment vertical="center" wrapText="1"/>
    </xf>
    <xf numFmtId="0" fontId="0" fillId="7" borderId="16" xfId="0" applyFill="1" applyBorder="1"/>
    <xf numFmtId="0" fontId="27" fillId="7" borderId="16" xfId="3" applyFill="1" applyBorder="1"/>
    <xf numFmtId="1" fontId="0" fillId="0" borderId="16" xfId="0" applyNumberFormat="1" applyBorder="1"/>
    <xf numFmtId="1" fontId="0" fillId="0" borderId="16" xfId="0" applyNumberFormat="1" applyBorder="1" applyAlignment="1">
      <alignment horizontal="right"/>
    </xf>
    <xf numFmtId="3" fontId="1" fillId="0" borderId="16" xfId="0" applyNumberFormat="1" applyFont="1" applyBorder="1" applyAlignment="1">
      <alignment horizontal="right"/>
    </xf>
    <xf numFmtId="0" fontId="1" fillId="0" borderId="22" xfId="0" applyFont="1" applyBorder="1"/>
    <xf numFmtId="0" fontId="1" fillId="0" borderId="23" xfId="0" applyFont="1" applyBorder="1"/>
    <xf numFmtId="0" fontId="1" fillId="0" borderId="24" xfId="0" applyFont="1" applyBorder="1"/>
    <xf numFmtId="0" fontId="1" fillId="0" borderId="26" xfId="0" applyFont="1" applyBorder="1"/>
    <xf numFmtId="0" fontId="1" fillId="0" borderId="27" xfId="0" applyFont="1" applyBorder="1"/>
    <xf numFmtId="167" fontId="1" fillId="0" borderId="16" xfId="0" applyNumberFormat="1" applyFont="1" applyBorder="1" applyAlignment="1">
      <alignment horizontal="right"/>
    </xf>
    <xf numFmtId="0" fontId="22" fillId="0" borderId="0" xfId="2" applyFill="1" applyBorder="1" applyProtection="1"/>
    <xf numFmtId="0" fontId="17" fillId="0" borderId="0" xfId="0" applyFont="1" applyAlignment="1">
      <alignment horizontal="center"/>
    </xf>
    <xf numFmtId="0" fontId="0" fillId="0" borderId="0" xfId="0" applyProtection="1">
      <protection locked="0"/>
    </xf>
    <xf numFmtId="0" fontId="0" fillId="0" borderId="0" xfId="0" applyAlignment="1" applyProtection="1">
      <alignment horizontal="right"/>
      <protection locked="0"/>
    </xf>
    <xf numFmtId="0" fontId="0" fillId="4" borderId="0" xfId="0" applyFill="1" applyProtection="1">
      <protection locked="0"/>
    </xf>
    <xf numFmtId="0" fontId="25" fillId="0" borderId="0" xfId="0" applyFont="1" applyAlignment="1" applyProtection="1">
      <alignment vertical="center"/>
      <protection locked="0"/>
    </xf>
    <xf numFmtId="0" fontId="6" fillId="0" borderId="0" xfId="0" applyFont="1" applyProtection="1">
      <protection locked="0"/>
    </xf>
    <xf numFmtId="0" fontId="0" fillId="0" borderId="0" xfId="0" applyAlignment="1" applyProtection="1">
      <alignment vertical="center"/>
      <protection locked="0"/>
    </xf>
    <xf numFmtId="0" fontId="6" fillId="0" borderId="0" xfId="1" applyFont="1" applyAlignment="1" applyProtection="1">
      <alignment wrapText="1"/>
      <protection locked="0"/>
    </xf>
    <xf numFmtId="0" fontId="0" fillId="0" borderId="0" xfId="0" applyAlignment="1" applyProtection="1">
      <alignment vertical="top" wrapText="1"/>
      <protection locked="0"/>
    </xf>
    <xf numFmtId="0" fontId="0" fillId="3" borderId="0" xfId="0" applyFill="1"/>
    <xf numFmtId="0" fontId="0" fillId="3" borderId="0" xfId="0" applyFill="1" applyAlignment="1">
      <alignment vertical="top" wrapText="1"/>
    </xf>
    <xf numFmtId="1" fontId="1" fillId="0" borderId="0" xfId="0" applyNumberFormat="1" applyFont="1" applyAlignment="1">
      <alignment horizontal="center" vertical="top" wrapText="1"/>
    </xf>
    <xf numFmtId="0" fontId="0" fillId="0" borderId="16" xfId="0" applyBorder="1" applyAlignment="1">
      <alignment vertical="top" wrapText="1"/>
    </xf>
    <xf numFmtId="0" fontId="0" fillId="0" borderId="23" xfId="0" applyBorder="1" applyAlignment="1">
      <alignment horizontal="center"/>
    </xf>
    <xf numFmtId="0" fontId="1" fillId="0" borderId="16" xfId="0" applyFont="1" applyBorder="1" applyAlignment="1">
      <alignment horizontal="center" vertical="top" wrapText="1"/>
    </xf>
    <xf numFmtId="9" fontId="1" fillId="3" borderId="16" xfId="0" applyNumberFormat="1" applyFont="1" applyFill="1" applyBorder="1" applyProtection="1">
      <protection locked="0"/>
    </xf>
    <xf numFmtId="9" fontId="1" fillId="0" borderId="16" xfId="0" applyNumberFormat="1" applyFont="1" applyBorder="1"/>
    <xf numFmtId="0" fontId="0" fillId="0" borderId="16" xfId="0" quotePrefix="1" applyBorder="1" applyAlignment="1">
      <alignment horizontal="center"/>
    </xf>
    <xf numFmtId="167" fontId="1" fillId="0" borderId="0" xfId="0" applyNumberFormat="1" applyFont="1" applyAlignment="1">
      <alignment horizontal="right"/>
    </xf>
    <xf numFmtId="0" fontId="29" fillId="0" borderId="0" xfId="0" applyFont="1" applyAlignment="1">
      <alignment vertical="top" wrapText="1"/>
    </xf>
    <xf numFmtId="0" fontId="3" fillId="0" borderId="11" xfId="0" applyFont="1" applyBorder="1"/>
    <xf numFmtId="0" fontId="1" fillId="0" borderId="11" xfId="0" applyFont="1" applyBorder="1" applyAlignment="1">
      <alignment horizontal="right"/>
    </xf>
    <xf numFmtId="0" fontId="14" fillId="0" borderId="11" xfId="0" applyFont="1" applyBorder="1" applyAlignment="1">
      <alignment horizontal="center"/>
    </xf>
    <xf numFmtId="0" fontId="3" fillId="0" borderId="0" xfId="0" applyFont="1" applyAlignment="1">
      <alignment horizontal="right"/>
    </xf>
    <xf numFmtId="0" fontId="31" fillId="0" borderId="0" xfId="0" applyFont="1"/>
    <xf numFmtId="0" fontId="21" fillId="0" borderId="0" xfId="0" applyFont="1"/>
    <xf numFmtId="0" fontId="31" fillId="0" borderId="0" xfId="0" applyFont="1" applyAlignment="1">
      <alignment horizontal="left"/>
    </xf>
    <xf numFmtId="0" fontId="3" fillId="0" borderId="0" xfId="0" applyFont="1" applyAlignment="1">
      <alignment horizontal="center"/>
    </xf>
    <xf numFmtId="0" fontId="32" fillId="0" borderId="0" xfId="0" applyFont="1"/>
    <xf numFmtId="0" fontId="10" fillId="0" borderId="23" xfId="0" applyFont="1" applyBorder="1"/>
    <xf numFmtId="0" fontId="6" fillId="0" borderId="0" xfId="0" applyFont="1"/>
    <xf numFmtId="0" fontId="33" fillId="0" borderId="0" xfId="0" applyFont="1"/>
    <xf numFmtId="0" fontId="10" fillId="0" borderId="0" xfId="0" applyFont="1" applyAlignment="1">
      <alignment horizontal="right"/>
    </xf>
    <xf numFmtId="3" fontId="10" fillId="0" borderId="0" xfId="0" applyNumberFormat="1" applyFont="1" applyAlignment="1">
      <alignment horizontal="right"/>
    </xf>
    <xf numFmtId="0" fontId="10" fillId="0" borderId="11" xfId="0" applyFont="1" applyBorder="1"/>
    <xf numFmtId="3" fontId="10" fillId="0" borderId="11" xfId="0" applyNumberFormat="1" applyFont="1" applyBorder="1"/>
    <xf numFmtId="3" fontId="10" fillId="0" borderId="23" xfId="0" applyNumberFormat="1" applyFont="1" applyBorder="1"/>
    <xf numFmtId="0" fontId="10" fillId="0" borderId="27" xfId="0" applyFont="1" applyBorder="1"/>
    <xf numFmtId="3" fontId="10" fillId="0" borderId="27" xfId="0" applyNumberFormat="1" applyFont="1" applyBorder="1"/>
    <xf numFmtId="3" fontId="10" fillId="0" borderId="11" xfId="0" applyNumberFormat="1" applyFont="1" applyBorder="1" applyAlignment="1">
      <alignment horizontal="right"/>
    </xf>
    <xf numFmtId="3" fontId="10" fillId="0" borderId="23" xfId="0" applyNumberFormat="1" applyFont="1" applyBorder="1" applyAlignment="1">
      <alignment horizontal="right"/>
    </xf>
    <xf numFmtId="3" fontId="10" fillId="0" borderId="27" xfId="0" applyNumberFormat="1" applyFont="1" applyBorder="1" applyAlignment="1">
      <alignment horizontal="right"/>
    </xf>
    <xf numFmtId="0" fontId="10" fillId="0" borderId="11" xfId="0" applyFont="1" applyBorder="1" applyAlignment="1">
      <alignment horizontal="right"/>
    </xf>
    <xf numFmtId="0" fontId="1" fillId="0" borderId="0" xfId="0" quotePrefix="1" applyFont="1" applyAlignment="1">
      <alignment horizontal="center"/>
    </xf>
    <xf numFmtId="0" fontId="1" fillId="0" borderId="0" xfId="0" applyFont="1" applyAlignment="1">
      <alignment horizontal="center" vertical="center"/>
    </xf>
    <xf numFmtId="0" fontId="1" fillId="0" borderId="25" xfId="0" applyFont="1" applyBorder="1"/>
    <xf numFmtId="0" fontId="1" fillId="0" borderId="9" xfId="0" applyFont="1" applyBorder="1" applyAlignment="1">
      <alignment horizontal="center"/>
    </xf>
    <xf numFmtId="0" fontId="1" fillId="0" borderId="8" xfId="0" applyFont="1" applyBorder="1" applyAlignment="1">
      <alignment horizontal="center"/>
    </xf>
    <xf numFmtId="0" fontId="3" fillId="9" borderId="0" xfId="0" applyFont="1" applyFill="1"/>
    <xf numFmtId="0" fontId="1" fillId="9" borderId="0" xfId="0" applyFont="1" applyFill="1"/>
    <xf numFmtId="3" fontId="10" fillId="0" borderId="0" xfId="0" applyNumberFormat="1" applyFont="1"/>
    <xf numFmtId="0" fontId="1" fillId="0" borderId="33" xfId="0" applyFont="1" applyBorder="1"/>
    <xf numFmtId="0" fontId="35" fillId="0" borderId="0" xfId="0" applyFont="1"/>
    <xf numFmtId="9" fontId="1" fillId="0" borderId="37" xfId="0" applyNumberFormat="1" applyFont="1" applyBorder="1" applyAlignment="1">
      <alignment horizontal="center"/>
    </xf>
    <xf numFmtId="9" fontId="1" fillId="0" borderId="0" xfId="0" applyNumberFormat="1" applyFont="1" applyAlignment="1">
      <alignment horizontal="center"/>
    </xf>
    <xf numFmtId="0" fontId="1" fillId="0" borderId="35" xfId="0" applyFont="1" applyBorder="1" applyAlignment="1">
      <alignment horizontal="center" vertical="top" wrapText="1"/>
    </xf>
    <xf numFmtId="0" fontId="1" fillId="0" borderId="35" xfId="0" applyFont="1" applyBorder="1"/>
    <xf numFmtId="0" fontId="3" fillId="0" borderId="0" xfId="0" applyFont="1" applyAlignment="1">
      <alignment horizontal="right" vertical="top"/>
    </xf>
    <xf numFmtId="0" fontId="1" fillId="2" borderId="0" xfId="0" applyFont="1" applyFill="1"/>
    <xf numFmtId="10" fontId="1" fillId="0" borderId="0" xfId="0" applyNumberFormat="1" applyFont="1"/>
    <xf numFmtId="3" fontId="3" fillId="0" borderId="0" xfId="0" applyNumberFormat="1" applyFont="1"/>
    <xf numFmtId="2" fontId="3" fillId="0" borderId="0" xfId="0" applyNumberFormat="1" applyFont="1"/>
    <xf numFmtId="10" fontId="3" fillId="0" borderId="0" xfId="0" applyNumberFormat="1" applyFont="1"/>
    <xf numFmtId="166" fontId="3" fillId="0" borderId="0" xfId="0" applyNumberFormat="1" applyFont="1"/>
    <xf numFmtId="0" fontId="1" fillId="2" borderId="27" xfId="0" applyFont="1" applyFill="1" applyBorder="1"/>
    <xf numFmtId="3" fontId="1" fillId="0" borderId="18" xfId="0" applyNumberFormat="1" applyFont="1" applyBorder="1"/>
    <xf numFmtId="3" fontId="1" fillId="0" borderId="26" xfId="0" applyNumberFormat="1" applyFont="1" applyBorder="1"/>
    <xf numFmtId="0" fontId="1" fillId="0" borderId="34" xfId="0" applyFont="1" applyBorder="1"/>
    <xf numFmtId="3" fontId="1" fillId="0" borderId="11" xfId="0" applyNumberFormat="1" applyFont="1" applyBorder="1"/>
    <xf numFmtId="167" fontId="1" fillId="0" borderId="0" xfId="0" applyNumberFormat="1" applyFont="1"/>
    <xf numFmtId="3" fontId="1" fillId="0" borderId="33" xfId="0" applyNumberFormat="1" applyFont="1" applyBorder="1"/>
    <xf numFmtId="0" fontId="19" fillId="0" borderId="0" xfId="0" applyFont="1" applyAlignment="1">
      <alignment horizontal="right"/>
    </xf>
    <xf numFmtId="0" fontId="1" fillId="0" borderId="33" xfId="0" applyFont="1" applyBorder="1" applyAlignment="1">
      <alignment horizontal="center" vertical="top" wrapText="1"/>
    </xf>
    <xf numFmtId="0" fontId="1" fillId="0" borderId="0" xfId="0" applyFont="1" applyAlignment="1">
      <alignment horizontal="center" vertical="top" wrapText="1"/>
    </xf>
    <xf numFmtId="0" fontId="1" fillId="0" borderId="16" xfId="0" applyFont="1" applyBorder="1" applyAlignment="1">
      <alignment horizontal="right"/>
    </xf>
    <xf numFmtId="0" fontId="1" fillId="0" borderId="7" xfId="0" applyFont="1" applyBorder="1" applyAlignment="1">
      <alignment horizontal="center"/>
    </xf>
    <xf numFmtId="175" fontId="1" fillId="0" borderId="16" xfId="0" applyNumberFormat="1" applyFont="1" applyBorder="1"/>
    <xf numFmtId="175" fontId="1" fillId="0" borderId="17" xfId="0" applyNumberFormat="1" applyFont="1" applyBorder="1" applyAlignment="1">
      <alignment vertical="center"/>
    </xf>
    <xf numFmtId="175" fontId="1" fillId="0" borderId="16" xfId="0" applyNumberFormat="1" applyFont="1" applyBorder="1" applyAlignment="1">
      <alignment vertical="center"/>
    </xf>
    <xf numFmtId="175" fontId="1" fillId="3" borderId="16" xfId="0" applyNumberFormat="1" applyFont="1" applyFill="1" applyBorder="1" applyProtection="1">
      <protection locked="0"/>
    </xf>
    <xf numFmtId="175" fontId="1" fillId="3" borderId="17" xfId="0" applyNumberFormat="1" applyFont="1" applyFill="1" applyBorder="1" applyProtection="1">
      <protection locked="0"/>
    </xf>
    <xf numFmtId="0" fontId="1" fillId="0" borderId="2" xfId="0" applyFont="1" applyBorder="1" applyAlignment="1">
      <alignment horizontal="center"/>
    </xf>
    <xf numFmtId="0" fontId="10" fillId="0" borderId="16" xfId="0" applyFont="1" applyBorder="1"/>
    <xf numFmtId="3" fontId="3" fillId="0" borderId="16" xfId="0" applyNumberFormat="1" applyFont="1" applyBorder="1"/>
    <xf numFmtId="0" fontId="3" fillId="0" borderId="0" xfId="0" quotePrefix="1" applyFont="1" applyAlignment="1">
      <alignment horizontal="center"/>
    </xf>
    <xf numFmtId="2" fontId="1" fillId="0" borderId="0" xfId="0" applyNumberFormat="1" applyFont="1" applyAlignment="1">
      <alignment horizontal="center" vertical="top" wrapText="1"/>
    </xf>
    <xf numFmtId="165" fontId="1" fillId="0" borderId="0" xfId="0" applyNumberFormat="1" applyFont="1" applyAlignment="1">
      <alignment horizontal="center" vertical="top" wrapText="1"/>
    </xf>
    <xf numFmtId="3" fontId="1" fillId="0" borderId="0" xfId="0" applyNumberFormat="1" applyFont="1" applyAlignment="1">
      <alignment horizontal="center" vertical="top" wrapText="1"/>
    </xf>
    <xf numFmtId="0" fontId="10" fillId="0" borderId="2" xfId="0" applyFont="1" applyBorder="1"/>
    <xf numFmtId="0" fontId="41" fillId="0" borderId="0" xfId="0" applyFont="1"/>
    <xf numFmtId="0" fontId="41" fillId="0" borderId="1" xfId="0" applyFont="1" applyBorder="1"/>
    <xf numFmtId="0" fontId="41" fillId="0" borderId="2" xfId="0" applyFont="1" applyBorder="1"/>
    <xf numFmtId="0" fontId="41" fillId="0" borderId="2" xfId="0" applyFont="1" applyBorder="1" applyAlignment="1">
      <alignment horizontal="center"/>
    </xf>
    <xf numFmtId="0" fontId="41" fillId="0" borderId="3" xfId="0" applyFont="1" applyBorder="1"/>
    <xf numFmtId="0" fontId="41" fillId="0" borderId="3" xfId="0" applyFont="1" applyBorder="1" applyAlignment="1">
      <alignment horizontal="center"/>
    </xf>
    <xf numFmtId="0" fontId="41" fillId="0" borderId="1" xfId="0" applyFont="1" applyBorder="1" applyAlignment="1">
      <alignment horizontal="center"/>
    </xf>
    <xf numFmtId="0" fontId="41" fillId="0" borderId="16" xfId="0" applyFont="1" applyBorder="1"/>
    <xf numFmtId="0" fontId="41" fillId="0" borderId="16" xfId="0" applyFont="1" applyBorder="1" applyAlignment="1">
      <alignment horizontal="center"/>
    </xf>
    <xf numFmtId="0" fontId="42" fillId="0" borderId="0" xfId="0" applyFont="1"/>
    <xf numFmtId="0" fontId="41" fillId="0" borderId="11" xfId="0" applyFont="1" applyBorder="1"/>
    <xf numFmtId="0" fontId="41" fillId="0" borderId="18" xfId="0" applyFont="1" applyBorder="1"/>
    <xf numFmtId="0" fontId="41" fillId="0" borderId="8" xfId="0" applyFont="1" applyBorder="1"/>
    <xf numFmtId="0" fontId="41" fillId="0" borderId="9" xfId="0" applyFont="1" applyBorder="1"/>
    <xf numFmtId="0" fontId="41" fillId="0" borderId="27" xfId="0" applyFont="1" applyBorder="1"/>
    <xf numFmtId="0" fontId="41" fillId="0" borderId="26" xfId="0" applyFont="1" applyBorder="1"/>
    <xf numFmtId="0" fontId="41" fillId="0" borderId="24" xfId="0" applyFont="1" applyBorder="1"/>
    <xf numFmtId="0" fontId="41" fillId="0" borderId="25" xfId="0" applyFont="1" applyBorder="1"/>
    <xf numFmtId="0" fontId="41" fillId="0" borderId="19" xfId="0" applyFont="1" applyBorder="1"/>
    <xf numFmtId="0" fontId="41" fillId="0" borderId="33" xfId="0" applyFont="1" applyBorder="1"/>
    <xf numFmtId="0" fontId="41" fillId="0" borderId="7" xfId="0" applyFont="1" applyBorder="1"/>
    <xf numFmtId="0" fontId="42" fillId="0" borderId="0" xfId="0" applyFont="1" applyAlignment="1">
      <alignment horizontal="center"/>
    </xf>
    <xf numFmtId="0" fontId="32" fillId="0" borderId="0" xfId="7" applyNumberFormat="1" applyFont="1" applyFill="1" applyBorder="1"/>
    <xf numFmtId="0" fontId="10" fillId="0" borderId="0" xfId="7" applyNumberFormat="1" applyFont="1" applyFill="1" applyBorder="1"/>
    <xf numFmtId="0" fontId="10" fillId="0" borderId="11" xfId="7" applyNumberFormat="1" applyFont="1" applyFill="1" applyBorder="1"/>
    <xf numFmtId="0" fontId="10" fillId="0" borderId="27" xfId="7" applyNumberFormat="1" applyFont="1" applyFill="1" applyBorder="1"/>
    <xf numFmtId="0" fontId="41" fillId="0" borderId="2" xfId="0" applyFont="1" applyBorder="1" applyAlignment="1">
      <alignment horizontal="right"/>
    </xf>
    <xf numFmtId="0" fontId="10" fillId="0" borderId="0" xfId="7" applyNumberFormat="1" applyFont="1" applyFill="1" applyBorder="1" applyAlignment="1">
      <alignment horizontal="center"/>
    </xf>
    <xf numFmtId="0" fontId="10" fillId="0" borderId="18" xfId="7" applyNumberFormat="1" applyFont="1" applyFill="1" applyBorder="1"/>
    <xf numFmtId="0" fontId="10" fillId="0" borderId="18" xfId="7" applyNumberFormat="1" applyFont="1" applyFill="1" applyBorder="1" applyAlignment="1">
      <alignment horizontal="center"/>
    </xf>
    <xf numFmtId="3" fontId="1" fillId="0" borderId="19" xfId="0" applyNumberFormat="1" applyFont="1" applyBorder="1"/>
    <xf numFmtId="4" fontId="1" fillId="0" borderId="2" xfId="0" quotePrefix="1" applyNumberFormat="1" applyFont="1" applyBorder="1" applyAlignment="1">
      <alignment horizontal="center"/>
    </xf>
    <xf numFmtId="2" fontId="1" fillId="0" borderId="2" xfId="0" applyNumberFormat="1" applyFont="1" applyBorder="1" applyAlignment="1">
      <alignment horizontal="center" vertical="top" wrapText="1"/>
    </xf>
    <xf numFmtId="0" fontId="1" fillId="0" borderId="2" xfId="0" quotePrefix="1" applyFont="1" applyBorder="1" applyAlignment="1">
      <alignment horizontal="center"/>
    </xf>
    <xf numFmtId="3" fontId="1" fillId="0" borderId="2" xfId="0" applyNumberFormat="1" applyFont="1" applyBorder="1" applyAlignment="1">
      <alignment horizontal="center" vertical="top" wrapText="1"/>
    </xf>
    <xf numFmtId="4" fontId="1" fillId="0" borderId="2" xfId="0" applyNumberFormat="1" applyFont="1" applyBorder="1" applyAlignment="1">
      <alignment horizontal="center"/>
    </xf>
    <xf numFmtId="0" fontId="32" fillId="0" borderId="0" xfId="0" applyFont="1" applyAlignment="1">
      <alignment horizontal="right" vertical="top"/>
    </xf>
    <xf numFmtId="0" fontId="1" fillId="11" borderId="16" xfId="0" applyFont="1" applyFill="1" applyBorder="1"/>
    <xf numFmtId="3" fontId="1" fillId="0" borderId="27" xfId="0" applyNumberFormat="1" applyFont="1" applyBorder="1"/>
    <xf numFmtId="3" fontId="14" fillId="0" borderId="0" xfId="0" applyNumberFormat="1" applyFont="1"/>
    <xf numFmtId="8" fontId="1" fillId="0" borderId="0" xfId="0" applyNumberFormat="1" applyFont="1"/>
    <xf numFmtId="3" fontId="1" fillId="0" borderId="0" xfId="0" applyNumberFormat="1" applyFont="1" applyAlignment="1">
      <alignment horizontal="center"/>
    </xf>
    <xf numFmtId="1" fontId="1" fillId="0" borderId="16" xfId="0" applyNumberFormat="1" applyFont="1" applyBorder="1"/>
    <xf numFmtId="165" fontId="1" fillId="0" borderId="16" xfId="0" applyNumberFormat="1" applyFont="1" applyBorder="1"/>
    <xf numFmtId="0" fontId="43" fillId="0" borderId="16" xfId="0" applyFont="1" applyBorder="1"/>
    <xf numFmtId="0" fontId="0" fillId="0" borderId="35" xfId="0" applyBorder="1" applyAlignment="1">
      <alignment horizontal="center" vertical="top" wrapText="1"/>
    </xf>
    <xf numFmtId="0" fontId="0" fillId="0" borderId="35" xfId="0" applyBorder="1" applyAlignment="1">
      <alignment horizontal="left" wrapText="1"/>
    </xf>
    <xf numFmtId="9" fontId="1" fillId="0" borderId="31" xfId="0" applyNumberFormat="1" applyFont="1" applyBorder="1" applyAlignment="1">
      <alignment horizontal="center"/>
    </xf>
    <xf numFmtId="169" fontId="0" fillId="0" borderId="35" xfId="0" applyNumberFormat="1" applyBorder="1" applyAlignment="1">
      <alignment horizontal="center"/>
    </xf>
    <xf numFmtId="169" fontId="0" fillId="0" borderId="32" xfId="0" applyNumberFormat="1" applyBorder="1" applyAlignment="1">
      <alignment horizontal="center"/>
    </xf>
    <xf numFmtId="170" fontId="0" fillId="0" borderId="35" xfId="0" applyNumberFormat="1" applyBorder="1" applyAlignment="1">
      <alignment horizontal="center"/>
    </xf>
    <xf numFmtId="170" fontId="0" fillId="0" borderId="32" xfId="0" applyNumberFormat="1" applyBorder="1" applyAlignment="1">
      <alignment horizontal="center"/>
    </xf>
    <xf numFmtId="9" fontId="1" fillId="0" borderId="29" xfId="0" applyNumberFormat="1" applyFont="1" applyBorder="1" applyAlignment="1">
      <alignment horizontal="center"/>
    </xf>
    <xf numFmtId="170" fontId="0" fillId="0" borderId="30" xfId="0" applyNumberFormat="1" applyBorder="1" applyAlignment="1">
      <alignment horizontal="center"/>
    </xf>
    <xf numFmtId="9" fontId="1" fillId="0" borderId="23" xfId="0" applyNumberFormat="1" applyFont="1" applyBorder="1" applyAlignment="1">
      <alignment horizontal="center"/>
    </xf>
    <xf numFmtId="170" fontId="0" fillId="0" borderId="23" xfId="0" applyNumberFormat="1" applyBorder="1" applyAlignment="1">
      <alignment horizontal="center"/>
    </xf>
    <xf numFmtId="168" fontId="1" fillId="0" borderId="32" xfId="0" applyNumberFormat="1" applyFont="1" applyBorder="1" applyAlignment="1">
      <alignment horizontal="center"/>
    </xf>
    <xf numFmtId="168" fontId="1" fillId="0" borderId="1" xfId="0" applyNumberFormat="1" applyFont="1" applyBorder="1" applyAlignment="1">
      <alignment horizontal="center"/>
    </xf>
    <xf numFmtId="168" fontId="1" fillId="0" borderId="35" xfId="0" applyNumberFormat="1" applyFont="1" applyBorder="1" applyAlignment="1">
      <alignment horizontal="center"/>
    </xf>
    <xf numFmtId="3" fontId="1" fillId="0" borderId="31" xfId="0" applyNumberFormat="1" applyFont="1" applyBorder="1" applyAlignment="1">
      <alignment horizontal="center"/>
    </xf>
    <xf numFmtId="168" fontId="1" fillId="0" borderId="0" xfId="0" applyNumberFormat="1" applyFont="1" applyAlignment="1">
      <alignment horizontal="center"/>
    </xf>
    <xf numFmtId="3" fontId="1" fillId="0" borderId="29" xfId="0" applyNumberFormat="1" applyFont="1" applyBorder="1" applyAlignment="1">
      <alignment horizontal="center"/>
    </xf>
    <xf numFmtId="3" fontId="1" fillId="0" borderId="3" xfId="0" applyNumberFormat="1" applyFont="1" applyBorder="1" applyAlignment="1">
      <alignment horizontal="center"/>
    </xf>
    <xf numFmtId="0" fontId="0" fillId="0" borderId="35" xfId="0" applyBorder="1" applyAlignment="1">
      <alignment horizontal="center"/>
    </xf>
    <xf numFmtId="3" fontId="1" fillId="0" borderId="36" xfId="0" applyNumberFormat="1" applyFont="1" applyBorder="1" applyAlignment="1">
      <alignment horizontal="center"/>
    </xf>
    <xf numFmtId="168" fontId="1" fillId="0" borderId="37" xfId="0" applyNumberFormat="1" applyFont="1" applyBorder="1" applyAlignment="1">
      <alignment horizontal="center"/>
    </xf>
    <xf numFmtId="171" fontId="1" fillId="0" borderId="36" xfId="0" applyNumberFormat="1" applyFont="1" applyBorder="1" applyAlignment="1">
      <alignment horizontal="center"/>
    </xf>
    <xf numFmtId="0" fontId="1" fillId="0" borderId="32" xfId="0" applyFont="1" applyBorder="1" applyAlignment="1">
      <alignment horizontal="center"/>
    </xf>
    <xf numFmtId="0" fontId="1" fillId="0" borderId="36" xfId="0" applyFont="1" applyBorder="1" applyAlignment="1">
      <alignment horizontal="center"/>
    </xf>
    <xf numFmtId="0" fontId="1" fillId="0" borderId="37" xfId="0" applyFont="1" applyBorder="1" applyAlignment="1">
      <alignment horizontal="center"/>
    </xf>
    <xf numFmtId="0" fontId="1" fillId="0" borderId="31" xfId="0" applyFont="1" applyBorder="1" applyAlignment="1">
      <alignment horizontal="center"/>
    </xf>
    <xf numFmtId="172" fontId="1" fillId="0" borderId="0" xfId="0" applyNumberFormat="1" applyFont="1" applyAlignment="1">
      <alignment horizontal="center"/>
    </xf>
    <xf numFmtId="172" fontId="1" fillId="0" borderId="37" xfId="0" applyNumberFormat="1" applyFont="1" applyBorder="1" applyAlignment="1">
      <alignment horizontal="center"/>
    </xf>
    <xf numFmtId="172" fontId="1" fillId="0" borderId="32" xfId="0" applyNumberFormat="1" applyFont="1" applyBorder="1" applyAlignment="1">
      <alignment horizontal="center"/>
    </xf>
    <xf numFmtId="168" fontId="1" fillId="0" borderId="36" xfId="0" applyNumberFormat="1" applyFont="1" applyBorder="1" applyAlignment="1">
      <alignment horizontal="center"/>
    </xf>
    <xf numFmtId="0" fontId="0" fillId="0" borderId="30" xfId="0" applyBorder="1" applyAlignment="1">
      <alignment horizontal="center"/>
    </xf>
    <xf numFmtId="173" fontId="1" fillId="0" borderId="36" xfId="0" applyNumberFormat="1" applyFont="1" applyBorder="1"/>
    <xf numFmtId="0" fontId="1" fillId="0" borderId="32" xfId="0" applyFont="1" applyBorder="1"/>
    <xf numFmtId="0" fontId="1" fillId="0" borderId="36" xfId="0" applyFont="1" applyBorder="1" applyAlignment="1">
      <alignment horizontal="right"/>
    </xf>
    <xf numFmtId="172" fontId="1" fillId="0" borderId="31" xfId="0" applyNumberFormat="1" applyFont="1" applyBorder="1" applyAlignment="1">
      <alignment horizontal="center"/>
    </xf>
    <xf numFmtId="172" fontId="1" fillId="0" borderId="36" xfId="0" applyNumberFormat="1" applyFont="1" applyBorder="1" applyAlignment="1">
      <alignment horizontal="center"/>
    </xf>
    <xf numFmtId="0" fontId="30" fillId="0" borderId="0" xfId="6" applyAlignment="1">
      <alignment horizontal="center"/>
    </xf>
    <xf numFmtId="0" fontId="38" fillId="0" borderId="0" xfId="6" applyFont="1" applyAlignment="1">
      <alignment horizontal="right"/>
    </xf>
    <xf numFmtId="2" fontId="1" fillId="0" borderId="0" xfId="0" applyNumberFormat="1" applyFont="1" applyAlignment="1">
      <alignment horizontal="left"/>
    </xf>
    <xf numFmtId="3" fontId="1" fillId="0" borderId="27" xfId="0" applyNumberFormat="1" applyFont="1" applyBorder="1" applyAlignment="1">
      <alignment horizontal="right"/>
    </xf>
    <xf numFmtId="4" fontId="1" fillId="0" borderId="26" xfId="0" applyNumberFormat="1" applyFont="1" applyBorder="1"/>
    <xf numFmtId="3" fontId="1" fillId="0" borderId="11" xfId="0" applyNumberFormat="1" applyFont="1" applyBorder="1" applyAlignment="1">
      <alignment horizontal="right"/>
    </xf>
    <xf numFmtId="0" fontId="31" fillId="0" borderId="27" xfId="0" applyFont="1" applyBorder="1"/>
    <xf numFmtId="0" fontId="0" fillId="0" borderId="27" xfId="0" applyBorder="1"/>
    <xf numFmtId="0" fontId="1" fillId="0" borderId="27" xfId="0" applyFont="1" applyBorder="1" applyAlignment="1">
      <alignment horizontal="right"/>
    </xf>
    <xf numFmtId="0" fontId="14" fillId="0" borderId="27" xfId="0" applyFont="1" applyBorder="1" applyAlignment="1">
      <alignment horizontal="center"/>
    </xf>
    <xf numFmtId="0" fontId="19" fillId="0" borderId="0" xfId="0" applyFont="1" applyAlignment="1">
      <alignment horizontal="center"/>
    </xf>
    <xf numFmtId="0" fontId="39" fillId="0" borderId="0" xfId="0" applyFont="1"/>
    <xf numFmtId="0" fontId="0" fillId="0" borderId="0" xfId="0" applyAlignment="1">
      <alignment horizontal="left" wrapText="1"/>
    </xf>
    <xf numFmtId="3" fontId="1" fillId="0" borderId="27" xfId="0" applyNumberFormat="1" applyFont="1" applyBorder="1" applyAlignment="1">
      <alignment horizontal="left" wrapText="1"/>
    </xf>
    <xf numFmtId="0" fontId="0" fillId="0" borderId="27" xfId="0" applyBorder="1" applyAlignment="1">
      <alignment horizontal="left" wrapText="1"/>
    </xf>
    <xf numFmtId="9" fontId="10" fillId="0" borderId="31" xfId="0" applyNumberFormat="1" applyFont="1" applyBorder="1" applyAlignment="1" applyProtection="1">
      <alignment horizontal="center"/>
      <protection locked="0"/>
    </xf>
    <xf numFmtId="170" fontId="0" fillId="0" borderId="2" xfId="0" applyNumberFormat="1" applyBorder="1" applyAlignment="1">
      <alignment horizontal="center"/>
    </xf>
    <xf numFmtId="174" fontId="1" fillId="0" borderId="30" xfId="0" applyNumberFormat="1" applyFont="1" applyBorder="1" applyAlignment="1">
      <alignment horizontal="center"/>
    </xf>
    <xf numFmtId="0" fontId="1" fillId="0" borderId="27"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9" fillId="0" borderId="0" xfId="0" applyFont="1"/>
    <xf numFmtId="9" fontId="1" fillId="6" borderId="16" xfId="0" applyNumberFormat="1" applyFont="1" applyFill="1" applyBorder="1" applyAlignment="1">
      <alignment horizontal="right"/>
    </xf>
    <xf numFmtId="9" fontId="1" fillId="3" borderId="16" xfId="0" applyNumberFormat="1" applyFont="1" applyFill="1" applyBorder="1" applyAlignment="1" applyProtection="1">
      <alignment horizontal="right"/>
      <protection locked="0"/>
    </xf>
    <xf numFmtId="173" fontId="1" fillId="0" borderId="31" xfId="0" applyNumberFormat="1" applyFont="1" applyBorder="1" applyProtection="1">
      <protection locked="0"/>
    </xf>
    <xf numFmtId="0" fontId="1" fillId="0" borderId="31" xfId="0" applyFont="1" applyBorder="1" applyAlignment="1" applyProtection="1">
      <alignment horizontal="center"/>
      <protection locked="0"/>
    </xf>
    <xf numFmtId="172" fontId="1" fillId="0" borderId="31" xfId="0" applyNumberFormat="1" applyFont="1" applyBorder="1" applyAlignment="1" applyProtection="1">
      <alignment horizontal="center"/>
      <protection locked="0"/>
    </xf>
    <xf numFmtId="2" fontId="1" fillId="0" borderId="16" xfId="0" applyNumberFormat="1" applyFont="1" applyBorder="1" applyProtection="1">
      <protection locked="0"/>
    </xf>
    <xf numFmtId="170" fontId="1" fillId="0" borderId="32" xfId="0" applyNumberFormat="1" applyFont="1" applyBorder="1" applyAlignment="1">
      <alignment horizontal="center"/>
    </xf>
    <xf numFmtId="3" fontId="1" fillId="0" borderId="17" xfId="0" applyNumberFormat="1" applyFont="1" applyBorder="1"/>
    <xf numFmtId="0" fontId="10" fillId="0" borderId="10" xfId="0" applyFont="1" applyBorder="1"/>
    <xf numFmtId="0" fontId="1" fillId="0" borderId="36" xfId="0" applyFont="1" applyBorder="1"/>
    <xf numFmtId="168" fontId="1" fillId="0" borderId="30" xfId="0" applyNumberFormat="1" applyFont="1" applyBorder="1" applyAlignment="1">
      <alignment horizontal="center"/>
    </xf>
    <xf numFmtId="168" fontId="1" fillId="0" borderId="29" xfId="0" applyNumberFormat="1" applyFont="1" applyBorder="1" applyAlignment="1">
      <alignment horizontal="center"/>
    </xf>
    <xf numFmtId="3" fontId="10" fillId="0" borderId="2" xfId="0" applyNumberFormat="1" applyFont="1" applyBorder="1" applyAlignment="1">
      <alignment horizontal="right"/>
    </xf>
    <xf numFmtId="0" fontId="1" fillId="10" borderId="16" xfId="0" applyFont="1" applyFill="1" applyBorder="1"/>
    <xf numFmtId="3" fontId="1" fillId="10" borderId="16" xfId="0" applyNumberFormat="1" applyFont="1" applyFill="1" applyBorder="1"/>
    <xf numFmtId="0" fontId="10" fillId="0" borderId="11" xfId="0" applyFont="1" applyBorder="1" applyAlignment="1">
      <alignment horizontal="center"/>
    </xf>
    <xf numFmtId="0" fontId="10" fillId="0" borderId="23" xfId="0" applyFont="1" applyBorder="1" applyAlignment="1">
      <alignment horizontal="center"/>
    </xf>
    <xf numFmtId="0" fontId="10" fillId="0" borderId="27" xfId="0" applyFont="1" applyBorder="1" applyAlignment="1">
      <alignment horizontal="center"/>
    </xf>
    <xf numFmtId="0" fontId="10" fillId="0" borderId="10" xfId="0" applyFont="1" applyBorder="1" applyAlignment="1">
      <alignment horizontal="center"/>
    </xf>
    <xf numFmtId="0" fontId="1" fillId="0" borderId="23" xfId="0" applyFont="1" applyBorder="1" applyAlignment="1">
      <alignment horizontal="center"/>
    </xf>
    <xf numFmtId="175" fontId="1" fillId="0" borderId="31" xfId="0" applyNumberFormat="1" applyFont="1" applyBorder="1" applyAlignment="1">
      <alignment horizontal="center"/>
    </xf>
    <xf numFmtId="0" fontId="10" fillId="0" borderId="0" xfId="0" applyFont="1" applyAlignment="1">
      <alignment horizontal="left"/>
    </xf>
    <xf numFmtId="0" fontId="10" fillId="0" borderId="7" xfId="0" applyFont="1" applyBorder="1" applyAlignment="1">
      <alignment horizontal="left"/>
    </xf>
    <xf numFmtId="0" fontId="10" fillId="0" borderId="1" xfId="0" applyFont="1" applyBorder="1" applyAlignment="1">
      <alignment horizontal="center"/>
    </xf>
    <xf numFmtId="0" fontId="1" fillId="0" borderId="10" xfId="0" applyFont="1" applyBorder="1" applyProtection="1">
      <protection locked="0"/>
    </xf>
    <xf numFmtId="175" fontId="1" fillId="0" borderId="0" xfId="0" applyNumberFormat="1" applyFont="1" applyAlignment="1">
      <alignment horizontal="center"/>
    </xf>
    <xf numFmtId="3" fontId="19" fillId="0" borderId="0" xfId="0" applyNumberFormat="1" applyFont="1"/>
    <xf numFmtId="3" fontId="1" fillId="4" borderId="16" xfId="0" applyNumberFormat="1" applyFont="1" applyFill="1" applyBorder="1"/>
    <xf numFmtId="0" fontId="20" fillId="0" borderId="0" xfId="0" applyFont="1"/>
    <xf numFmtId="0" fontId="20" fillId="0" borderId="0" xfId="0" applyFont="1" applyAlignment="1">
      <alignment vertical="top" wrapText="1"/>
    </xf>
    <xf numFmtId="0" fontId="1" fillId="0" borderId="0" xfId="0" applyFont="1" applyAlignment="1">
      <alignment vertical="top" wrapText="1"/>
    </xf>
    <xf numFmtId="0" fontId="5" fillId="0" borderId="0" xfId="0" applyFont="1" applyAlignment="1">
      <alignment vertical="top" wrapText="1"/>
    </xf>
    <xf numFmtId="0" fontId="45" fillId="0" borderId="27" xfId="0" applyFont="1" applyBorder="1"/>
    <xf numFmtId="0" fontId="40" fillId="0" borderId="0" xfId="6" applyFont="1" applyAlignment="1">
      <alignment horizontal="right"/>
    </xf>
    <xf numFmtId="0" fontId="45" fillId="0" borderId="0" xfId="6" applyFont="1"/>
    <xf numFmtId="0" fontId="32" fillId="0" borderId="0" xfId="0" applyFont="1" applyAlignment="1">
      <alignment horizontal="right"/>
    </xf>
    <xf numFmtId="0" fontId="0" fillId="0" borderId="0" xfId="0" applyAlignment="1">
      <alignment vertical="top" wrapText="1"/>
    </xf>
    <xf numFmtId="0" fontId="37" fillId="0" borderId="0" xfId="0" applyFont="1"/>
    <xf numFmtId="0" fontId="19" fillId="0" borderId="11" xfId="0" applyFont="1" applyBorder="1"/>
    <xf numFmtId="0" fontId="46" fillId="0" borderId="0" xfId="0" applyFont="1"/>
    <xf numFmtId="9" fontId="1" fillId="0" borderId="31" xfId="0" applyNumberFormat="1" applyFont="1" applyBorder="1" applyAlignment="1" applyProtection="1">
      <alignment horizontal="center"/>
      <protection locked="0"/>
    </xf>
    <xf numFmtId="3" fontId="1" fillId="0" borderId="31" xfId="0" applyNumberFormat="1" applyFont="1" applyBorder="1" applyAlignment="1" applyProtection="1">
      <alignment horizontal="center"/>
      <protection locked="0"/>
    </xf>
    <xf numFmtId="171" fontId="1" fillId="0" borderId="31" xfId="0" applyNumberFormat="1" applyFont="1" applyBorder="1" applyAlignment="1" applyProtection="1">
      <alignment horizontal="center"/>
      <protection locked="0"/>
    </xf>
    <xf numFmtId="0" fontId="10" fillId="0" borderId="17" xfId="0" applyFont="1" applyBorder="1"/>
    <xf numFmtId="164" fontId="10" fillId="0" borderId="16" xfId="0" applyNumberFormat="1" applyFont="1" applyBorder="1"/>
    <xf numFmtId="164" fontId="10" fillId="3" borderId="16" xfId="0" applyNumberFormat="1" applyFont="1" applyFill="1" applyBorder="1" applyProtection="1">
      <protection locked="0"/>
    </xf>
    <xf numFmtId="0" fontId="1" fillId="0" borderId="38" xfId="0" applyFont="1" applyBorder="1" applyAlignment="1">
      <alignment horizontal="left"/>
    </xf>
    <xf numFmtId="0" fontId="10" fillId="0" borderId="39" xfId="0" applyFont="1" applyBorder="1" applyAlignment="1">
      <alignment horizontal="left"/>
    </xf>
    <xf numFmtId="0" fontId="1" fillId="0" borderId="39" xfId="0" applyFont="1" applyBorder="1" applyAlignment="1">
      <alignment horizontal="left"/>
    </xf>
    <xf numFmtId="0" fontId="1" fillId="0" borderId="40" xfId="0" applyFont="1" applyBorder="1" applyAlignment="1">
      <alignment horizontal="left"/>
    </xf>
    <xf numFmtId="0" fontId="1" fillId="0" borderId="41" xfId="0" applyFont="1" applyBorder="1"/>
    <xf numFmtId="0" fontId="10" fillId="0" borderId="31" xfId="0" applyFont="1" applyBorder="1" applyAlignment="1">
      <alignment horizontal="center"/>
    </xf>
    <xf numFmtId="0" fontId="1" fillId="0" borderId="42" xfId="0" applyFont="1" applyBorder="1"/>
    <xf numFmtId="0" fontId="1" fillId="0" borderId="43" xfId="0" applyFont="1" applyBorder="1"/>
    <xf numFmtId="0" fontId="1" fillId="0" borderId="44" xfId="0" applyFont="1" applyBorder="1"/>
    <xf numFmtId="0" fontId="1" fillId="0" borderId="45" xfId="0" applyFont="1" applyBorder="1"/>
    <xf numFmtId="0" fontId="1" fillId="0" borderId="46" xfId="0" applyFont="1" applyBorder="1"/>
    <xf numFmtId="0" fontId="1" fillId="0" borderId="47" xfId="0" applyFont="1" applyBorder="1"/>
    <xf numFmtId="0" fontId="1" fillId="0" borderId="48" xfId="0" applyFont="1" applyBorder="1"/>
    <xf numFmtId="0" fontId="10" fillId="0" borderId="0" xfId="6" applyFont="1" applyAlignment="1">
      <alignment horizontal="right"/>
    </xf>
    <xf numFmtId="0" fontId="10" fillId="0" borderId="1" xfId="0" applyFont="1" applyBorder="1"/>
    <xf numFmtId="0" fontId="10" fillId="0" borderId="24" xfId="0" applyFont="1" applyBorder="1"/>
    <xf numFmtId="0" fontId="10" fillId="0" borderId="2" xfId="0" applyFont="1" applyBorder="1" applyAlignment="1">
      <alignment horizontal="center"/>
    </xf>
    <xf numFmtId="164" fontId="10" fillId="0" borderId="17" xfId="0" applyNumberFormat="1" applyFont="1" applyBorder="1"/>
    <xf numFmtId="175" fontId="10" fillId="0" borderId="16" xfId="0" applyNumberFormat="1" applyFont="1" applyBorder="1"/>
    <xf numFmtId="175" fontId="10" fillId="3" borderId="16" xfId="0" applyNumberFormat="1" applyFont="1" applyFill="1" applyBorder="1" applyProtection="1">
      <protection locked="0"/>
    </xf>
    <xf numFmtId="175" fontId="10" fillId="0" borderId="17" xfId="0" applyNumberFormat="1" applyFont="1" applyBorder="1" applyAlignment="1">
      <alignment vertical="center"/>
    </xf>
    <xf numFmtId="175" fontId="10" fillId="3" borderId="17" xfId="0" applyNumberFormat="1" applyFont="1" applyFill="1" applyBorder="1" applyProtection="1">
      <protection locked="0"/>
    </xf>
    <xf numFmtId="175" fontId="10" fillId="0" borderId="16" xfId="0" applyNumberFormat="1" applyFont="1" applyBorder="1" applyAlignment="1">
      <alignment vertical="center"/>
    </xf>
    <xf numFmtId="3" fontId="1" fillId="0" borderId="18" xfId="0" applyNumberFormat="1" applyFont="1" applyBorder="1" applyAlignment="1">
      <alignment horizontal="right"/>
    </xf>
    <xf numFmtId="3" fontId="1" fillId="6" borderId="18" xfId="0" applyNumberFormat="1" applyFont="1" applyFill="1" applyBorder="1" applyAlignment="1">
      <alignment horizontal="right"/>
    </xf>
    <xf numFmtId="3" fontId="1" fillId="0" borderId="17" xfId="0" applyNumberFormat="1" applyFont="1" applyBorder="1" applyAlignment="1">
      <alignment horizontal="right"/>
    </xf>
    <xf numFmtId="2" fontId="1" fillId="0" borderId="3" xfId="0" applyNumberFormat="1" applyFont="1" applyBorder="1" applyAlignment="1">
      <alignment horizontal="center" vertical="top" wrapText="1"/>
    </xf>
    <xf numFmtId="3" fontId="1" fillId="0" borderId="32" xfId="0" applyNumberFormat="1" applyFont="1" applyBorder="1" applyAlignment="1">
      <alignment horizontal="center"/>
    </xf>
    <xf numFmtId="4" fontId="1" fillId="0" borderId="31" xfId="0" quotePrefix="1" applyNumberFormat="1" applyFont="1" applyBorder="1" applyAlignment="1">
      <alignment horizontal="center"/>
    </xf>
    <xf numFmtId="2" fontId="1" fillId="0" borderId="32" xfId="0" applyNumberFormat="1" applyFont="1" applyBorder="1" applyAlignment="1">
      <alignment horizontal="center" vertical="top" wrapText="1"/>
    </xf>
    <xf numFmtId="4" fontId="1" fillId="0" borderId="3" xfId="0" applyNumberFormat="1" applyFont="1" applyBorder="1" applyAlignment="1">
      <alignment horizontal="center"/>
    </xf>
    <xf numFmtId="4" fontId="1" fillId="0" borderId="32" xfId="0" applyNumberFormat="1" applyFont="1" applyBorder="1" applyAlignment="1">
      <alignment horizontal="center"/>
    </xf>
    <xf numFmtId="4" fontId="1" fillId="0" borderId="3" xfId="0" applyNumberFormat="1" applyFont="1" applyBorder="1" applyAlignment="1">
      <alignment horizontal="center" vertical="top" wrapText="1"/>
    </xf>
    <xf numFmtId="3" fontId="1" fillId="0" borderId="3" xfId="0" applyNumberFormat="1" applyFont="1" applyBorder="1" applyAlignment="1">
      <alignment horizontal="center" vertical="top" wrapText="1"/>
    </xf>
    <xf numFmtId="4" fontId="1" fillId="0" borderId="31" xfId="0" applyNumberFormat="1" applyFont="1" applyBorder="1" applyAlignment="1">
      <alignment horizontal="center"/>
    </xf>
    <xf numFmtId="4" fontId="1" fillId="0" borderId="32" xfId="0" applyNumberFormat="1" applyFont="1" applyBorder="1" applyAlignment="1">
      <alignment horizontal="center" vertical="top" wrapText="1"/>
    </xf>
    <xf numFmtId="3" fontId="1" fillId="0" borderId="32" xfId="0" applyNumberFormat="1" applyFont="1" applyBorder="1" applyAlignment="1">
      <alignment horizontal="center" vertical="top" wrapText="1"/>
    </xf>
    <xf numFmtId="3" fontId="1" fillId="0" borderId="1" xfId="0" applyNumberFormat="1" applyFont="1" applyBorder="1" applyAlignment="1">
      <alignment horizontal="center"/>
    </xf>
    <xf numFmtId="2" fontId="1" fillId="0" borderId="1" xfId="0" applyNumberFormat="1" applyFont="1" applyBorder="1" applyAlignment="1">
      <alignment horizontal="center" vertical="top" wrapText="1"/>
    </xf>
    <xf numFmtId="2" fontId="1" fillId="0" borderId="31" xfId="0" applyNumberFormat="1" applyFont="1" applyBorder="1" applyAlignment="1">
      <alignment horizontal="center" vertical="top" wrapText="1"/>
    </xf>
    <xf numFmtId="4" fontId="1" fillId="0" borderId="1" xfId="0" applyNumberFormat="1" applyFont="1" applyBorder="1" applyAlignment="1">
      <alignment horizontal="center"/>
    </xf>
    <xf numFmtId="4" fontId="1" fillId="0" borderId="1" xfId="0" applyNumberFormat="1" applyFont="1" applyBorder="1" applyAlignment="1">
      <alignment horizontal="center" vertical="top" wrapText="1"/>
    </xf>
    <xf numFmtId="3" fontId="1" fillId="0" borderId="1" xfId="0" applyNumberFormat="1" applyFont="1" applyBorder="1" applyAlignment="1">
      <alignment horizontal="center" vertical="top" wrapText="1"/>
    </xf>
    <xf numFmtId="3" fontId="1" fillId="0" borderId="31" xfId="0" applyNumberFormat="1" applyFont="1" applyBorder="1" applyAlignment="1">
      <alignment horizontal="center" vertical="top" wrapText="1"/>
    </xf>
    <xf numFmtId="4" fontId="1" fillId="10" borderId="32" xfId="0" applyNumberFormat="1" applyFont="1" applyFill="1" applyBorder="1"/>
    <xf numFmtId="3" fontId="1" fillId="10" borderId="32" xfId="0" applyNumberFormat="1" applyFont="1" applyFill="1" applyBorder="1" applyAlignment="1">
      <alignment horizontal="center"/>
    </xf>
    <xf numFmtId="0" fontId="36" fillId="0" borderId="0" xfId="0" applyFont="1"/>
    <xf numFmtId="0" fontId="41" fillId="0" borderId="10" xfId="0" applyFont="1" applyBorder="1"/>
    <xf numFmtId="0" fontId="41" fillId="0" borderId="17" xfId="0" applyFont="1" applyBorder="1"/>
    <xf numFmtId="0" fontId="10" fillId="0" borderId="10" xfId="7" applyNumberFormat="1" applyFont="1" applyFill="1" applyBorder="1"/>
    <xf numFmtId="0" fontId="40" fillId="0" borderId="11" xfId="7" applyNumberFormat="1" applyFont="1" applyFill="1" applyBorder="1"/>
    <xf numFmtId="0" fontId="41" fillId="0" borderId="4" xfId="0" applyFont="1" applyBorder="1"/>
    <xf numFmtId="3" fontId="1" fillId="6" borderId="10" xfId="0" applyNumberFormat="1" applyFont="1" applyFill="1" applyBorder="1" applyAlignment="1">
      <alignment horizontal="right"/>
    </xf>
    <xf numFmtId="0" fontId="5" fillId="0" borderId="0" xfId="0" applyFont="1" applyAlignment="1">
      <alignment horizontal="right"/>
    </xf>
    <xf numFmtId="0" fontId="8" fillId="0" borderId="16" xfId="1" applyFont="1" applyBorder="1" applyAlignment="1">
      <alignment horizontal="right"/>
    </xf>
    <xf numFmtId="3" fontId="1" fillId="6" borderId="17" xfId="0" applyNumberFormat="1" applyFont="1" applyFill="1" applyBorder="1" applyAlignment="1">
      <alignment horizontal="right"/>
    </xf>
    <xf numFmtId="3" fontId="1" fillId="3" borderId="18" xfId="0" applyNumberFormat="1" applyFont="1" applyFill="1" applyBorder="1" applyAlignment="1" applyProtection="1">
      <alignment horizontal="right"/>
      <protection locked="0"/>
    </xf>
    <xf numFmtId="3" fontId="1" fillId="3" borderId="17" xfId="0" applyNumberFormat="1" applyFont="1" applyFill="1" applyBorder="1" applyAlignment="1" applyProtection="1">
      <alignment horizontal="right"/>
      <protection locked="0"/>
    </xf>
    <xf numFmtId="3" fontId="1" fillId="7" borderId="0" xfId="0" applyNumberFormat="1" applyFont="1" applyFill="1"/>
    <xf numFmtId="0" fontId="1" fillId="7" borderId="0" xfId="0" applyFont="1" applyFill="1"/>
    <xf numFmtId="0" fontId="1" fillId="7" borderId="17" xfId="0" applyFont="1" applyFill="1" applyBorder="1"/>
    <xf numFmtId="0" fontId="1" fillId="12" borderId="10" xfId="0" applyFont="1" applyFill="1" applyBorder="1" applyAlignment="1" applyProtection="1">
      <alignment horizontal="right"/>
      <protection locked="0"/>
    </xf>
    <xf numFmtId="0" fontId="1" fillId="12" borderId="0" xfId="0" applyFont="1" applyFill="1"/>
    <xf numFmtId="0" fontId="32" fillId="0" borderId="11" xfId="0" applyFont="1" applyBorder="1" applyAlignment="1">
      <alignment horizontal="center"/>
    </xf>
    <xf numFmtId="0" fontId="32" fillId="0" borderId="11" xfId="0" applyFont="1" applyBorder="1"/>
    <xf numFmtId="0" fontId="32" fillId="0" borderId="0" xfId="0" applyFont="1" applyAlignment="1">
      <alignment horizontal="center"/>
    </xf>
    <xf numFmtId="0" fontId="35" fillId="0" borderId="11" xfId="0" applyFont="1" applyBorder="1"/>
    <xf numFmtId="0" fontId="41" fillId="0" borderId="5" xfId="0" applyFont="1" applyBorder="1"/>
    <xf numFmtId="167" fontId="10" fillId="0" borderId="16" xfId="0" applyNumberFormat="1" applyFont="1" applyBorder="1"/>
    <xf numFmtId="0" fontId="0" fillId="13" borderId="16" xfId="0" applyFill="1" applyBorder="1"/>
    <xf numFmtId="0" fontId="1" fillId="0" borderId="1" xfId="0" applyFont="1" applyBorder="1" applyAlignment="1">
      <alignment horizontal="center" vertical="center"/>
    </xf>
    <xf numFmtId="0" fontId="0" fillId="0" borderId="3" xfId="0" applyBorder="1" applyAlignment="1">
      <alignment horizontal="center" vertical="center"/>
    </xf>
    <xf numFmtId="0" fontId="1" fillId="8" borderId="0" xfId="0" applyFont="1" applyFill="1"/>
    <xf numFmtId="3" fontId="1" fillId="2" borderId="16" xfId="0" applyNumberFormat="1" applyFont="1" applyFill="1" applyBorder="1" applyProtection="1">
      <protection locked="0"/>
    </xf>
    <xf numFmtId="0" fontId="45" fillId="0" borderId="0" xfId="0" applyFont="1"/>
    <xf numFmtId="0" fontId="47" fillId="0" borderId="5" xfId="0" applyFont="1" applyBorder="1"/>
    <xf numFmtId="0" fontId="47" fillId="0" borderId="4" xfId="0" applyFont="1" applyBorder="1"/>
    <xf numFmtId="0" fontId="47" fillId="0" borderId="6" xfId="0" applyFont="1" applyBorder="1"/>
    <xf numFmtId="0" fontId="47" fillId="0" borderId="7" xfId="0" applyFont="1" applyBorder="1"/>
    <xf numFmtId="0" fontId="47" fillId="0" borderId="1" xfId="0" applyFont="1" applyBorder="1"/>
    <xf numFmtId="0" fontId="47" fillId="0" borderId="3" xfId="0" applyFont="1" applyBorder="1"/>
    <xf numFmtId="0" fontId="47" fillId="3" borderId="16" xfId="0" applyFont="1" applyFill="1" applyBorder="1" applyProtection="1">
      <protection locked="0"/>
    </xf>
    <xf numFmtId="0" fontId="47" fillId="0" borderId="16" xfId="0" applyFont="1" applyBorder="1"/>
    <xf numFmtId="0" fontId="48" fillId="0" borderId="16" xfId="0" applyFont="1" applyBorder="1"/>
    <xf numFmtId="0" fontId="47" fillId="3" borderId="3" xfId="0" applyFont="1" applyFill="1" applyBorder="1" applyProtection="1">
      <protection locked="0"/>
    </xf>
    <xf numFmtId="0" fontId="47" fillId="0" borderId="7" xfId="0" applyFont="1" applyBorder="1" applyAlignment="1">
      <alignment horizontal="center"/>
    </xf>
    <xf numFmtId="4" fontId="47" fillId="0" borderId="16" xfId="0" applyNumberFormat="1" applyFont="1" applyBorder="1"/>
    <xf numFmtId="0" fontId="47" fillId="0" borderId="2" xfId="0" applyFont="1" applyBorder="1"/>
    <xf numFmtId="0" fontId="48" fillId="0" borderId="2" xfId="0" applyFont="1" applyBorder="1"/>
    <xf numFmtId="4" fontId="47" fillId="0" borderId="2" xfId="0" applyNumberFormat="1" applyFont="1" applyBorder="1"/>
    <xf numFmtId="4" fontId="47" fillId="0" borderId="3" xfId="0" applyNumberFormat="1" applyFont="1" applyBorder="1"/>
    <xf numFmtId="3" fontId="47" fillId="0" borderId="2" xfId="0" applyNumberFormat="1" applyFont="1" applyBorder="1"/>
    <xf numFmtId="0" fontId="47" fillId="3" borderId="4" xfId="0" applyFont="1" applyFill="1" applyBorder="1" applyProtection="1">
      <protection locked="0"/>
    </xf>
    <xf numFmtId="0" fontId="47" fillId="0" borderId="17" xfId="0" applyFont="1" applyBorder="1"/>
    <xf numFmtId="3" fontId="47" fillId="0" borderId="16" xfId="0" applyNumberFormat="1" applyFont="1" applyBorder="1"/>
    <xf numFmtId="10" fontId="47" fillId="3" borderId="3" xfId="0" applyNumberFormat="1" applyFont="1" applyFill="1" applyBorder="1" applyProtection="1">
      <protection locked="0"/>
    </xf>
    <xf numFmtId="10" fontId="47" fillId="0" borderId="16" xfId="0" applyNumberFormat="1" applyFont="1" applyBorder="1"/>
    <xf numFmtId="0" fontId="1" fillId="0" borderId="3" xfId="0" applyFont="1" applyBorder="1" applyAlignment="1">
      <alignment horizontal="right"/>
    </xf>
    <xf numFmtId="10" fontId="47" fillId="0" borderId="2" xfId="0" applyNumberFormat="1" applyFont="1" applyBorder="1"/>
    <xf numFmtId="3" fontId="47" fillId="0" borderId="17" xfId="0" applyNumberFormat="1" applyFont="1" applyBorder="1"/>
    <xf numFmtId="4" fontId="47" fillId="0" borderId="17" xfId="0" applyNumberFormat="1" applyFont="1" applyBorder="1"/>
    <xf numFmtId="10" fontId="47" fillId="3" borderId="4" xfId="0" applyNumberFormat="1" applyFont="1" applyFill="1" applyBorder="1" applyProtection="1">
      <protection locked="0"/>
    </xf>
    <xf numFmtId="10" fontId="47" fillId="0" borderId="17" xfId="0" applyNumberFormat="1" applyFont="1" applyBorder="1"/>
    <xf numFmtId="3" fontId="47" fillId="0" borderId="11" xfId="0" applyNumberFormat="1" applyFont="1" applyBorder="1"/>
    <xf numFmtId="0" fontId="47" fillId="0" borderId="11" xfId="0" applyFont="1" applyBorder="1"/>
    <xf numFmtId="4" fontId="47" fillId="0" borderId="11" xfId="0" applyNumberFormat="1" applyFont="1" applyBorder="1"/>
    <xf numFmtId="4" fontId="47" fillId="0" borderId="9" xfId="0" applyNumberFormat="1" applyFont="1" applyBorder="1"/>
    <xf numFmtId="3" fontId="47" fillId="0" borderId="3" xfId="0" applyNumberFormat="1" applyFont="1" applyBorder="1"/>
    <xf numFmtId="0" fontId="5" fillId="0" borderId="1" xfId="0" applyFont="1" applyBorder="1"/>
    <xf numFmtId="0" fontId="5" fillId="0" borderId="8" xfId="0" applyFont="1" applyBorder="1"/>
    <xf numFmtId="166" fontId="1" fillId="0" borderId="0" xfId="0" applyNumberFormat="1" applyFont="1"/>
    <xf numFmtId="0" fontId="47" fillId="0" borderId="16" xfId="0" applyFont="1" applyBorder="1" applyAlignment="1">
      <alignment horizontal="center"/>
    </xf>
    <xf numFmtId="10" fontId="47" fillId="3" borderId="16" xfId="0" applyNumberFormat="1" applyFont="1" applyFill="1" applyBorder="1" applyProtection="1">
      <protection locked="0"/>
    </xf>
    <xf numFmtId="10" fontId="48" fillId="0" borderId="16" xfId="0" applyNumberFormat="1" applyFont="1" applyBorder="1"/>
    <xf numFmtId="10" fontId="47" fillId="3" borderId="17" xfId="0" applyNumberFormat="1" applyFont="1" applyFill="1" applyBorder="1" applyProtection="1">
      <protection locked="0"/>
    </xf>
    <xf numFmtId="0" fontId="47" fillId="0" borderId="3" xfId="0" applyFont="1" applyBorder="1" applyAlignment="1">
      <alignment horizontal="center"/>
    </xf>
    <xf numFmtId="166" fontId="1" fillId="0" borderId="16" xfId="0" applyNumberFormat="1" applyFont="1" applyBorder="1"/>
    <xf numFmtId="166" fontId="1" fillId="0" borderId="2" xfId="0" applyNumberFormat="1" applyFont="1" applyBorder="1"/>
    <xf numFmtId="166" fontId="1" fillId="0" borderId="3" xfId="0" applyNumberFormat="1" applyFont="1" applyBorder="1"/>
    <xf numFmtId="166" fontId="1" fillId="0" borderId="1" xfId="0" applyNumberFormat="1" applyFont="1" applyBorder="1"/>
    <xf numFmtId="0" fontId="1" fillId="14" borderId="0" xfId="0" applyFont="1" applyFill="1"/>
    <xf numFmtId="3" fontId="1" fillId="0" borderId="0" xfId="0" applyNumberFormat="1" applyFont="1" applyProtection="1">
      <protection locked="0"/>
    </xf>
    <xf numFmtId="0" fontId="1" fillId="0" borderId="16" xfId="0" applyFont="1" applyBorder="1" applyAlignment="1">
      <alignment horizontal="center" vertical="center"/>
    </xf>
    <xf numFmtId="0" fontId="1" fillId="0" borderId="54" xfId="0" applyFont="1" applyBorder="1"/>
    <xf numFmtId="0" fontId="10" fillId="0" borderId="0" xfId="0" applyFont="1" applyAlignment="1">
      <alignment horizontal="center" vertical="top" wrapText="1"/>
    </xf>
    <xf numFmtId="3" fontId="10" fillId="0" borderId="0" xfId="0" applyNumberFormat="1" applyFont="1" applyAlignment="1">
      <alignment horizontal="center"/>
    </xf>
    <xf numFmtId="2" fontId="10" fillId="0" borderId="0" xfId="0" applyNumberFormat="1" applyFont="1" applyAlignment="1">
      <alignment horizontal="center"/>
    </xf>
    <xf numFmtId="2" fontId="10" fillId="0" borderId="0" xfId="0" applyNumberFormat="1" applyFont="1"/>
    <xf numFmtId="3" fontId="10" fillId="0" borderId="0" xfId="0" applyNumberFormat="1" applyFont="1" applyAlignment="1">
      <alignment horizontal="center" vertical="top" wrapText="1"/>
    </xf>
    <xf numFmtId="1" fontId="10" fillId="0" borderId="0" xfId="0" applyNumberFormat="1" applyFont="1" applyAlignment="1">
      <alignment horizontal="center" vertical="top" wrapText="1"/>
    </xf>
    <xf numFmtId="0" fontId="47" fillId="0" borderId="0" xfId="0" applyFont="1"/>
    <xf numFmtId="0" fontId="1" fillId="0" borderId="1" xfId="0" applyFont="1" applyBorder="1" applyProtection="1">
      <protection locked="0"/>
    </xf>
    <xf numFmtId="0" fontId="1" fillId="0" borderId="2" xfId="0" applyFont="1" applyBorder="1" applyProtection="1">
      <protection locked="0"/>
    </xf>
    <xf numFmtId="0" fontId="1" fillId="0" borderId="3" xfId="0" applyFont="1" applyBorder="1" applyAlignment="1" applyProtection="1">
      <alignment horizontal="center"/>
      <protection locked="0"/>
    </xf>
    <xf numFmtId="175" fontId="1" fillId="2" borderId="16" xfId="0" applyNumberFormat="1" applyFont="1" applyFill="1" applyBorder="1" applyProtection="1">
      <protection locked="0"/>
    </xf>
    <xf numFmtId="170" fontId="47" fillId="0" borderId="32" xfId="0" applyNumberFormat="1" applyFont="1" applyBorder="1" applyAlignment="1">
      <alignment horizontal="center"/>
    </xf>
    <xf numFmtId="4" fontId="1" fillId="0" borderId="31" xfId="0" applyNumberFormat="1" applyFont="1" applyBorder="1" applyAlignment="1">
      <alignment horizontal="center" vertical="top" wrapText="1"/>
    </xf>
    <xf numFmtId="3" fontId="36" fillId="0" borderId="0" xfId="0" applyNumberFormat="1" applyFont="1" applyAlignment="1">
      <alignment horizontal="center"/>
    </xf>
    <xf numFmtId="0" fontId="10" fillId="0" borderId="0" xfId="0" applyFont="1" applyAlignment="1">
      <alignment horizontal="right" vertical="top"/>
    </xf>
    <xf numFmtId="0" fontId="0" fillId="0" borderId="35" xfId="0" applyBorder="1" applyAlignment="1">
      <alignment horizontal="left" vertical="top" wrapText="1"/>
    </xf>
    <xf numFmtId="4" fontId="10" fillId="0" borderId="0" xfId="0" applyNumberFormat="1" applyFont="1" applyAlignment="1">
      <alignment horizontal="center"/>
    </xf>
    <xf numFmtId="166" fontId="47" fillId="0" borderId="0" xfId="0" applyNumberFormat="1" applyFont="1"/>
    <xf numFmtId="0" fontId="0" fillId="0" borderId="0" xfId="0" applyAlignment="1" applyProtection="1">
      <alignment wrapText="1"/>
      <protection locked="0"/>
    </xf>
    <xf numFmtId="14" fontId="1" fillId="0" borderId="0" xfId="0" applyNumberFormat="1" applyFont="1"/>
    <xf numFmtId="0" fontId="48" fillId="0" borderId="27" xfId="0" applyFont="1" applyBorder="1"/>
    <xf numFmtId="10" fontId="47" fillId="0" borderId="27" xfId="0" applyNumberFormat="1" applyFont="1" applyBorder="1"/>
    <xf numFmtId="10" fontId="48" fillId="0" borderId="4" xfId="0" applyNumberFormat="1" applyFont="1" applyBorder="1"/>
    <xf numFmtId="0" fontId="47" fillId="0" borderId="33" xfId="0" applyFont="1" applyBorder="1"/>
    <xf numFmtId="10" fontId="47" fillId="0" borderId="0" xfId="0" applyNumberFormat="1" applyFont="1"/>
    <xf numFmtId="10" fontId="47" fillId="0" borderId="7" xfId="0" applyNumberFormat="1" applyFont="1" applyBorder="1"/>
    <xf numFmtId="0" fontId="47" fillId="0" borderId="8" xfId="0" applyFont="1" applyBorder="1"/>
    <xf numFmtId="10" fontId="47" fillId="0" borderId="11" xfId="0" applyNumberFormat="1" applyFont="1" applyBorder="1"/>
    <xf numFmtId="10" fontId="47" fillId="0" borderId="9" xfId="0" applyNumberFormat="1" applyFont="1" applyBorder="1"/>
    <xf numFmtId="10" fontId="47" fillId="0" borderId="3" xfId="0" applyNumberFormat="1" applyFont="1" applyBorder="1"/>
    <xf numFmtId="0" fontId="47" fillId="0" borderId="27" xfId="0" applyFont="1" applyBorder="1"/>
    <xf numFmtId="10" fontId="47" fillId="0" borderId="4" xfId="0" applyNumberFormat="1" applyFont="1" applyBorder="1"/>
    <xf numFmtId="0" fontId="48" fillId="0" borderId="0" xfId="0" applyFont="1"/>
    <xf numFmtId="10" fontId="48" fillId="0" borderId="7" xfId="0" applyNumberFormat="1" applyFont="1" applyBorder="1"/>
    <xf numFmtId="0" fontId="48" fillId="0" borderId="11" xfId="0" applyFont="1" applyBorder="1"/>
    <xf numFmtId="10" fontId="48" fillId="0" borderId="9" xfId="0" applyNumberFormat="1" applyFont="1" applyBorder="1"/>
    <xf numFmtId="0" fontId="22" fillId="0" borderId="0" xfId="2" applyAlignment="1">
      <alignment vertical="top" wrapText="1"/>
    </xf>
    <xf numFmtId="0" fontId="3" fillId="0" borderId="0" xfId="0" applyFont="1" applyAlignment="1">
      <alignment vertical="top" wrapText="1"/>
    </xf>
    <xf numFmtId="0" fontId="47" fillId="0" borderId="0" xfId="0" applyFont="1" applyAlignment="1">
      <alignment horizontal="left"/>
    </xf>
    <xf numFmtId="2" fontId="47" fillId="0" borderId="0" xfId="0" applyNumberFormat="1" applyFont="1" applyAlignment="1">
      <alignment horizontal="left"/>
    </xf>
    <xf numFmtId="0" fontId="47" fillId="14" borderId="16" xfId="0" applyFont="1" applyFill="1" applyBorder="1" applyAlignment="1" applyProtection="1">
      <alignment horizontal="center"/>
      <protection locked="0"/>
    </xf>
    <xf numFmtId="0" fontId="47" fillId="0" borderId="0" xfId="0" applyFont="1" applyProtection="1">
      <protection locked="0"/>
    </xf>
    <xf numFmtId="0" fontId="49" fillId="0" borderId="0" xfId="0" applyFont="1" applyAlignment="1">
      <alignment horizontal="center"/>
    </xf>
    <xf numFmtId="0" fontId="50" fillId="0" borderId="0" xfId="0" applyFont="1" applyAlignment="1">
      <alignment horizontal="right"/>
    </xf>
    <xf numFmtId="10" fontId="50" fillId="0" borderId="11" xfId="0" applyNumberFormat="1" applyFont="1" applyBorder="1" applyProtection="1">
      <protection locked="0"/>
    </xf>
    <xf numFmtId="0" fontId="52" fillId="0" borderId="0" xfId="0" applyFont="1" applyAlignment="1">
      <alignment horizontal="center"/>
    </xf>
    <xf numFmtId="0" fontId="1" fillId="2" borderId="16" xfId="0" applyFont="1" applyFill="1" applyBorder="1" applyProtection="1">
      <protection locked="0"/>
    </xf>
    <xf numFmtId="10" fontId="1" fillId="2" borderId="16" xfId="0" applyNumberFormat="1" applyFont="1" applyFill="1" applyBorder="1" applyProtection="1">
      <protection locked="0"/>
    </xf>
    <xf numFmtId="0" fontId="22" fillId="0" borderId="0" xfId="2"/>
    <xf numFmtId="0" fontId="53" fillId="0" borderId="0" xfId="0" applyFont="1"/>
    <xf numFmtId="0" fontId="54" fillId="0" borderId="0" xfId="0" applyFont="1"/>
    <xf numFmtId="0" fontId="53" fillId="0" borderId="16" xfId="0" applyFont="1" applyBorder="1"/>
    <xf numFmtId="0" fontId="53" fillId="0" borderId="0" xfId="0" applyFont="1" applyAlignment="1">
      <alignment horizontal="right"/>
    </xf>
    <xf numFmtId="0" fontId="54" fillId="0" borderId="16" xfId="0" applyFont="1" applyBorder="1"/>
    <xf numFmtId="0" fontId="54" fillId="0" borderId="0" xfId="0" applyFont="1" applyAlignment="1">
      <alignment horizontal="right"/>
    </xf>
    <xf numFmtId="0" fontId="53" fillId="0" borderId="16" xfId="0" applyFont="1" applyBorder="1" applyAlignment="1">
      <alignment horizontal="center"/>
    </xf>
    <xf numFmtId="3" fontId="53" fillId="0" borderId="0" xfId="0" applyNumberFormat="1" applyFont="1" applyAlignment="1">
      <alignment horizontal="center" vertical="top" wrapText="1"/>
    </xf>
    <xf numFmtId="3" fontId="53" fillId="0" borderId="16" xfId="0" applyNumberFormat="1" applyFont="1" applyBorder="1" applyAlignment="1">
      <alignment horizontal="center"/>
    </xf>
    <xf numFmtId="3" fontId="53" fillId="0" borderId="0" xfId="0" applyNumberFormat="1" applyFont="1" applyAlignment="1">
      <alignment horizontal="center" wrapText="1"/>
    </xf>
    <xf numFmtId="3" fontId="53" fillId="0" borderId="0" xfId="0" applyNumberFormat="1" applyFont="1" applyAlignment="1">
      <alignment horizontal="left"/>
    </xf>
    <xf numFmtId="3" fontId="53" fillId="0" borderId="16" xfId="0" applyNumberFormat="1" applyFont="1" applyBorder="1" applyAlignment="1">
      <alignment horizontal="left"/>
    </xf>
    <xf numFmtId="3" fontId="53" fillId="0" borderId="16" xfId="0" applyNumberFormat="1" applyFont="1" applyBorder="1"/>
    <xf numFmtId="0" fontId="53" fillId="0" borderId="10" xfId="0" applyFont="1" applyBorder="1"/>
    <xf numFmtId="0" fontId="53" fillId="0" borderId="33" xfId="0" applyFont="1" applyBorder="1"/>
    <xf numFmtId="0" fontId="53" fillId="0" borderId="55" xfId="0" applyFont="1" applyBorder="1"/>
    <xf numFmtId="0" fontId="53" fillId="0" borderId="56" xfId="0" applyFont="1" applyBorder="1"/>
    <xf numFmtId="0" fontId="53" fillId="0" borderId="58" xfId="0" applyFont="1" applyBorder="1"/>
    <xf numFmtId="0" fontId="53" fillId="0" borderId="57" xfId="0" applyFont="1" applyBorder="1"/>
    <xf numFmtId="0" fontId="1" fillId="0" borderId="57" xfId="0" applyFont="1" applyBorder="1"/>
    <xf numFmtId="0" fontId="1" fillId="0" borderId="59" xfId="0" applyFont="1" applyBorder="1"/>
    <xf numFmtId="0" fontId="53" fillId="0" borderId="59" xfId="0" applyFont="1" applyBorder="1"/>
    <xf numFmtId="0" fontId="53" fillId="0" borderId="60" xfId="0" applyFont="1" applyBorder="1"/>
    <xf numFmtId="0" fontId="53" fillId="0" borderId="61" xfId="0" applyFont="1" applyBorder="1"/>
    <xf numFmtId="0" fontId="1" fillId="0" borderId="60" xfId="0" applyFont="1" applyBorder="1"/>
    <xf numFmtId="0" fontId="1" fillId="0" borderId="61" xfId="0" applyFont="1" applyBorder="1"/>
    <xf numFmtId="0" fontId="8" fillId="5" borderId="5" xfId="1" applyFont="1" applyFill="1" applyBorder="1" applyAlignment="1">
      <alignment horizontal="center"/>
    </xf>
    <xf numFmtId="0" fontId="0" fillId="0" borderId="17" xfId="0" applyBorder="1"/>
    <xf numFmtId="0" fontId="8" fillId="5" borderId="8" xfId="1" applyFont="1" applyFill="1" applyBorder="1" applyAlignment="1">
      <alignment horizontal="center"/>
    </xf>
    <xf numFmtId="0" fontId="47" fillId="0" borderId="0" xfId="0" applyFont="1" applyAlignment="1">
      <alignment horizontal="right"/>
    </xf>
    <xf numFmtId="3" fontId="1" fillId="0" borderId="2" xfId="0" applyNumberFormat="1" applyFont="1" applyBorder="1"/>
    <xf numFmtId="0" fontId="6" fillId="0" borderId="11" xfId="0" applyFont="1" applyBorder="1"/>
    <xf numFmtId="9" fontId="10" fillId="3" borderId="18" xfId="0" applyNumberFormat="1" applyFont="1" applyFill="1" applyBorder="1" applyProtection="1">
      <protection locked="0"/>
    </xf>
    <xf numFmtId="9" fontId="10" fillId="0" borderId="18" xfId="0" applyNumberFormat="1" applyFont="1" applyBorder="1"/>
    <xf numFmtId="9" fontId="1" fillId="3" borderId="18" xfId="0" applyNumberFormat="1" applyFont="1" applyFill="1" applyBorder="1" applyProtection="1">
      <protection locked="0"/>
    </xf>
    <xf numFmtId="9" fontId="1" fillId="0" borderId="18" xfId="0" applyNumberFormat="1" applyFont="1" applyBorder="1"/>
    <xf numFmtId="0" fontId="6" fillId="0" borderId="11" xfId="0" applyFont="1" applyBorder="1" applyAlignment="1">
      <alignment horizontal="center"/>
    </xf>
    <xf numFmtId="0" fontId="3" fillId="0" borderId="27" xfId="0" applyFont="1" applyBorder="1"/>
    <xf numFmtId="0" fontId="3" fillId="0" borderId="2" xfId="0" applyFont="1" applyBorder="1"/>
    <xf numFmtId="0" fontId="1" fillId="15" borderId="16" xfId="0" applyFont="1" applyFill="1" applyBorder="1"/>
    <xf numFmtId="164" fontId="10" fillId="3" borderId="17" xfId="0" applyNumberFormat="1" applyFont="1" applyFill="1" applyBorder="1" applyProtection="1">
      <protection locked="0"/>
    </xf>
    <xf numFmtId="3" fontId="3" fillId="3" borderId="18" xfId="0" applyNumberFormat="1" applyFont="1" applyFill="1" applyBorder="1" applyProtection="1">
      <protection locked="0"/>
    </xf>
    <xf numFmtId="3" fontId="1" fillId="3" borderId="16" xfId="0" applyNumberFormat="1" applyFont="1" applyFill="1" applyBorder="1" applyProtection="1">
      <protection locked="0"/>
    </xf>
    <xf numFmtId="3" fontId="1" fillId="3" borderId="17" xfId="0" applyNumberFormat="1" applyFont="1" applyFill="1" applyBorder="1" applyProtection="1">
      <protection locked="0"/>
    </xf>
    <xf numFmtId="0" fontId="1" fillId="3" borderId="9" xfId="0" applyFont="1" applyFill="1" applyBorder="1" applyProtection="1">
      <protection locked="0"/>
    </xf>
    <xf numFmtId="0" fontId="1" fillId="3" borderId="4" xfId="0" applyFont="1" applyFill="1" applyBorder="1" applyProtection="1">
      <protection locked="0"/>
    </xf>
    <xf numFmtId="0" fontId="1" fillId="3" borderId="18" xfId="0" applyFont="1" applyFill="1" applyBorder="1" applyProtection="1">
      <protection locked="0"/>
    </xf>
    <xf numFmtId="0" fontId="1" fillId="0" borderId="17" xfId="0" quotePrefix="1" applyFont="1" applyBorder="1" applyAlignment="1">
      <alignment horizontal="center" vertical="top" wrapText="1"/>
    </xf>
    <xf numFmtId="0" fontId="1" fillId="0" borderId="18" xfId="0" applyFont="1" applyBorder="1" applyAlignment="1">
      <alignment horizontal="center" vertical="top" wrapText="1"/>
    </xf>
    <xf numFmtId="0" fontId="1" fillId="0" borderId="0" xfId="0" applyFont="1" applyAlignment="1">
      <alignment horizontal="center" vertical="top" wrapText="1"/>
    </xf>
    <xf numFmtId="0" fontId="47" fillId="0" borderId="0" xfId="0" applyFont="1" applyAlignment="1">
      <alignment horizontal="center" vertical="top" wrapText="1"/>
    </xf>
    <xf numFmtId="0" fontId="1" fillId="0" borderId="26" xfId="0" quotePrefix="1" applyFont="1" applyBorder="1" applyAlignment="1">
      <alignment horizontal="center" vertical="top" wrapText="1"/>
    </xf>
    <xf numFmtId="0" fontId="47" fillId="0" borderId="18" xfId="0" applyFont="1" applyBorder="1" applyAlignment="1">
      <alignment horizontal="center" vertical="top" wrapText="1"/>
    </xf>
    <xf numFmtId="0" fontId="1" fillId="0" borderId="0" xfId="0" quotePrefix="1" applyFont="1" applyAlignment="1">
      <alignment horizontal="center" vertical="top" wrapText="1"/>
    </xf>
    <xf numFmtId="0" fontId="3" fillId="12" borderId="12" xfId="0" applyFont="1" applyFill="1" applyBorder="1" applyAlignment="1" applyProtection="1">
      <alignment horizontal="left"/>
      <protection locked="0"/>
    </xf>
    <xf numFmtId="0" fontId="47" fillId="12" borderId="12" xfId="0" applyFont="1" applyFill="1" applyBorder="1" applyAlignment="1" applyProtection="1">
      <alignment horizontal="left"/>
      <protection locked="0"/>
    </xf>
    <xf numFmtId="2" fontId="1" fillId="12" borderId="12" xfId="0" applyNumberFormat="1" applyFont="1" applyFill="1" applyBorder="1" applyAlignment="1" applyProtection="1">
      <alignment horizontal="left"/>
      <protection locked="0"/>
    </xf>
    <xf numFmtId="2" fontId="1" fillId="12" borderId="13" xfId="0" applyNumberFormat="1" applyFont="1" applyFill="1" applyBorder="1" applyAlignment="1" applyProtection="1">
      <alignment horizontal="left"/>
      <protection locked="0"/>
    </xf>
    <xf numFmtId="0" fontId="47" fillId="12" borderId="13" xfId="0" applyFont="1" applyFill="1" applyBorder="1" applyAlignment="1" applyProtection="1">
      <alignment horizontal="left"/>
      <protection locked="0"/>
    </xf>
    <xf numFmtId="0" fontId="1" fillId="8" borderId="51" xfId="0" applyFont="1" applyFill="1" applyBorder="1" applyProtection="1">
      <protection locked="0"/>
    </xf>
    <xf numFmtId="0" fontId="47" fillId="8" borderId="52" xfId="0" applyFont="1" applyFill="1" applyBorder="1"/>
    <xf numFmtId="0" fontId="47" fillId="8" borderId="28" xfId="0" applyFont="1" applyFill="1" applyBorder="1"/>
    <xf numFmtId="0" fontId="1" fillId="8" borderId="14" xfId="0" applyFont="1" applyFill="1" applyBorder="1" applyProtection="1">
      <protection locked="0"/>
    </xf>
    <xf numFmtId="0" fontId="47" fillId="8" borderId="13" xfId="0" applyFont="1" applyFill="1" applyBorder="1" applyProtection="1">
      <protection locked="0"/>
    </xf>
    <xf numFmtId="0" fontId="47" fillId="8" borderId="28" xfId="0" applyFont="1" applyFill="1" applyBorder="1" applyProtection="1">
      <protection locked="0"/>
    </xf>
    <xf numFmtId="0" fontId="1" fillId="12" borderId="12" xfId="0" applyFont="1" applyFill="1" applyBorder="1" applyProtection="1">
      <protection locked="0"/>
    </xf>
    <xf numFmtId="0" fontId="47" fillId="12" borderId="12" xfId="0" applyFont="1" applyFill="1" applyBorder="1" applyProtection="1">
      <protection locked="0"/>
    </xf>
    <xf numFmtId="0" fontId="1" fillId="0" borderId="14" xfId="0" applyFont="1" applyBorder="1" applyProtection="1">
      <protection locked="0"/>
    </xf>
    <xf numFmtId="0" fontId="47" fillId="0" borderId="13" xfId="0" applyFont="1" applyBorder="1"/>
    <xf numFmtId="0" fontId="47" fillId="0" borderId="28" xfId="0" applyFont="1" applyBorder="1"/>
    <xf numFmtId="0" fontId="3" fillId="8" borderId="14" xfId="0" applyFont="1" applyFill="1" applyBorder="1" applyProtection="1">
      <protection locked="0"/>
    </xf>
    <xf numFmtId="0" fontId="3" fillId="8" borderId="13" xfId="0" applyFont="1" applyFill="1" applyBorder="1" applyProtection="1">
      <protection locked="0"/>
    </xf>
    <xf numFmtId="0" fontId="3" fillId="8" borderId="28" xfId="0" applyFont="1" applyFill="1" applyBorder="1" applyProtection="1">
      <protection locked="0"/>
    </xf>
    <xf numFmtId="0" fontId="47" fillId="0" borderId="13" xfId="0" applyFont="1" applyBorder="1" applyProtection="1">
      <protection locked="0"/>
    </xf>
    <xf numFmtId="0" fontId="47" fillId="0" borderId="28" xfId="0" applyFont="1" applyBorder="1" applyProtection="1">
      <protection locked="0"/>
    </xf>
    <xf numFmtId="0" fontId="1" fillId="12" borderId="14" xfId="0" applyFont="1" applyFill="1" applyBorder="1" applyProtection="1">
      <protection locked="0"/>
    </xf>
    <xf numFmtId="0" fontId="47" fillId="12" borderId="13" xfId="0" applyFont="1" applyFill="1" applyBorder="1" applyProtection="1">
      <protection locked="0"/>
    </xf>
    <xf numFmtId="0" fontId="47" fillId="12" borderId="28" xfId="0" applyFont="1" applyFill="1" applyBorder="1" applyProtection="1">
      <protection locked="0"/>
    </xf>
    <xf numFmtId="0" fontId="1" fillId="0" borderId="29" xfId="0" applyFont="1" applyBorder="1" applyProtection="1">
      <protection locked="0"/>
    </xf>
    <xf numFmtId="0" fontId="0" fillId="0" borderId="30" xfId="0" applyBorder="1" applyProtection="1">
      <protection locked="0"/>
    </xf>
    <xf numFmtId="168" fontId="1" fillId="0" borderId="29" xfId="0" applyNumberFormat="1" applyFont="1" applyBorder="1" applyAlignment="1" applyProtection="1">
      <alignment horizontal="center"/>
      <protection locked="0"/>
    </xf>
    <xf numFmtId="0" fontId="0" fillId="0" borderId="30" xfId="0" applyBorder="1" applyAlignment="1" applyProtection="1">
      <alignment horizontal="center"/>
      <protection locked="0"/>
    </xf>
    <xf numFmtId="168" fontId="1" fillId="0" borderId="30" xfId="0" applyNumberFormat="1" applyFont="1" applyBorder="1" applyAlignment="1" applyProtection="1">
      <alignment horizontal="center"/>
      <protection locked="0"/>
    </xf>
    <xf numFmtId="3" fontId="36" fillId="0" borderId="2" xfId="0" applyNumberFormat="1" applyFont="1" applyBorder="1" applyAlignment="1">
      <alignment horizontal="center"/>
    </xf>
    <xf numFmtId="3" fontId="1" fillId="8" borderId="29" xfId="0" applyNumberFormat="1" applyFont="1" applyFill="1" applyBorder="1" applyAlignment="1" applyProtection="1">
      <alignment horizontal="left" wrapText="1"/>
      <protection locked="0"/>
    </xf>
    <xf numFmtId="0" fontId="0" fillId="8" borderId="30" xfId="0" applyFill="1" applyBorder="1" applyAlignment="1" applyProtection="1">
      <alignment horizontal="left" wrapText="1"/>
      <protection locked="0"/>
    </xf>
    <xf numFmtId="3" fontId="1" fillId="0" borderId="29" xfId="0" applyNumberFormat="1" applyFont="1" applyBorder="1" applyAlignment="1" applyProtection="1">
      <alignment horizontal="left" wrapText="1"/>
      <protection locked="0"/>
    </xf>
    <xf numFmtId="0" fontId="0" fillId="0" borderId="30" xfId="0" applyBorder="1" applyAlignment="1" applyProtection="1">
      <alignment horizontal="left" wrapText="1"/>
      <protection locked="0"/>
    </xf>
    <xf numFmtId="0" fontId="1" fillId="0" borderId="31" xfId="0" applyFont="1" applyBorder="1" applyProtection="1">
      <protection locked="0"/>
    </xf>
    <xf numFmtId="0" fontId="0" fillId="0" borderId="32" xfId="0" applyBorder="1" applyProtection="1">
      <protection locked="0"/>
    </xf>
    <xf numFmtId="0" fontId="34" fillId="0" borderId="2" xfId="0" applyFont="1" applyBorder="1" applyAlignment="1">
      <alignment horizontal="center"/>
    </xf>
    <xf numFmtId="3" fontId="1" fillId="0" borderId="23" xfId="0" applyNumberFormat="1" applyFont="1" applyBorder="1" applyAlignment="1" applyProtection="1">
      <alignment horizontal="left" wrapText="1"/>
      <protection locked="0"/>
    </xf>
    <xf numFmtId="0" fontId="0" fillId="0" borderId="23" xfId="0" applyBorder="1" applyAlignment="1" applyProtection="1">
      <alignment horizontal="left" wrapText="1"/>
      <protection locked="0"/>
    </xf>
    <xf numFmtId="0" fontId="44" fillId="0" borderId="11" xfId="0" applyFont="1" applyBorder="1" applyAlignment="1">
      <alignment horizontal="center" vertical="top"/>
    </xf>
    <xf numFmtId="3" fontId="44" fillId="0" borderId="11" xfId="0" applyNumberFormat="1" applyFont="1" applyBorder="1" applyAlignment="1">
      <alignment horizontal="center"/>
    </xf>
    <xf numFmtId="3" fontId="36" fillId="2" borderId="29" xfId="0" applyNumberFormat="1" applyFont="1" applyFill="1" applyBorder="1" applyAlignment="1" applyProtection="1">
      <alignment horizontal="center" vertical="top" wrapText="1"/>
      <protection locked="0"/>
    </xf>
    <xf numFmtId="0" fontId="34" fillId="2" borderId="2" xfId="0" applyFont="1" applyFill="1" applyBorder="1" applyAlignment="1" applyProtection="1">
      <alignment horizontal="center" vertical="top" wrapText="1"/>
      <protection locked="0"/>
    </xf>
    <xf numFmtId="0" fontId="34" fillId="2" borderId="30" xfId="0" applyFont="1" applyFill="1" applyBorder="1" applyAlignment="1" applyProtection="1">
      <alignment horizontal="center" vertical="top" wrapText="1"/>
      <protection locked="0"/>
    </xf>
    <xf numFmtId="0" fontId="36" fillId="0" borderId="2" xfId="0" applyFont="1" applyBorder="1" applyAlignment="1">
      <alignment horizontal="center" vertical="top"/>
    </xf>
    <xf numFmtId="0" fontId="0" fillId="0" borderId="2" xfId="0" applyBorder="1" applyAlignment="1">
      <alignment horizontal="center"/>
    </xf>
    <xf numFmtId="0" fontId="1" fillId="7" borderId="29" xfId="0" applyFont="1" applyFill="1" applyBorder="1" applyAlignment="1">
      <alignment horizontal="left" vertical="top" wrapText="1"/>
    </xf>
    <xf numFmtId="0" fontId="0" fillId="7" borderId="30" xfId="0" applyFill="1" applyBorder="1" applyAlignment="1">
      <alignment horizontal="left" vertical="top" wrapText="1"/>
    </xf>
    <xf numFmtId="3" fontId="36" fillId="0" borderId="29" xfId="0" applyNumberFormat="1" applyFont="1" applyBorder="1" applyAlignment="1">
      <alignment horizontal="center"/>
    </xf>
    <xf numFmtId="0" fontId="34" fillId="0" borderId="30" xfId="0" applyFont="1" applyBorder="1" applyAlignment="1">
      <alignment horizontal="center"/>
    </xf>
    <xf numFmtId="3" fontId="36" fillId="2" borderId="2" xfId="0" applyNumberFormat="1" applyFont="1" applyFill="1" applyBorder="1" applyAlignment="1" applyProtection="1">
      <alignment horizontal="center" vertical="top" wrapText="1"/>
      <protection locked="0"/>
    </xf>
    <xf numFmtId="3" fontId="36" fillId="2" borderId="30" xfId="0" applyNumberFormat="1" applyFont="1" applyFill="1" applyBorder="1" applyAlignment="1" applyProtection="1">
      <alignment horizontal="center" vertical="top" wrapText="1"/>
      <protection locked="0"/>
    </xf>
    <xf numFmtId="0" fontId="1" fillId="0" borderId="29" xfId="0" applyFont="1" applyBorder="1" applyAlignment="1">
      <alignment horizontal="center" vertical="top" wrapText="1"/>
    </xf>
    <xf numFmtId="0" fontId="0" fillId="0" borderId="30" xfId="0" applyBorder="1"/>
    <xf numFmtId="3" fontId="1" fillId="0" borderId="29" xfId="0" applyNumberFormat="1" applyFont="1" applyBorder="1" applyAlignment="1">
      <alignment horizontal="center" vertical="top" wrapText="1"/>
    </xf>
    <xf numFmtId="0" fontId="0" fillId="0" borderId="30" xfId="0" applyBorder="1" applyAlignment="1">
      <alignment horizontal="center" vertical="top" wrapText="1"/>
    </xf>
    <xf numFmtId="0" fontId="1" fillId="0" borderId="16"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47" fillId="3" borderId="0" xfId="0" applyFont="1" applyFill="1" applyProtection="1">
      <protection locked="0"/>
    </xf>
    <xf numFmtId="0" fontId="0" fillId="0" borderId="0" xfId="0" applyProtection="1">
      <protection locked="0"/>
    </xf>
    <xf numFmtId="0" fontId="47" fillId="0" borderId="1" xfId="0" applyFont="1" applyBorder="1" applyAlignment="1">
      <alignment horizontal="center"/>
    </xf>
    <xf numFmtId="0" fontId="0" fillId="0" borderId="3" xfId="0" applyBorder="1" applyAlignment="1">
      <alignment horizontal="center"/>
    </xf>
    <xf numFmtId="0" fontId="47" fillId="0" borderId="16" xfId="0" applyFont="1" applyBorder="1" applyAlignment="1">
      <alignment horizontal="center"/>
    </xf>
    <xf numFmtId="0" fontId="0" fillId="0" borderId="16" xfId="0" applyBorder="1" applyAlignment="1">
      <alignment horizontal="center"/>
    </xf>
    <xf numFmtId="0" fontId="47" fillId="0" borderId="2" xfId="0" applyFont="1" applyBorder="1" applyAlignment="1">
      <alignment horizontal="center"/>
    </xf>
    <xf numFmtId="0" fontId="0" fillId="0" borderId="3" xfId="0" applyBorder="1"/>
    <xf numFmtId="0" fontId="1" fillId="0" borderId="16" xfId="0" applyFont="1" applyBorder="1" applyAlignment="1">
      <alignment horizontal="center" vertical="top"/>
    </xf>
    <xf numFmtId="0" fontId="0" fillId="0" borderId="16" xfId="0" applyBorder="1" applyAlignment="1">
      <alignment horizontal="center" vertical="top"/>
    </xf>
    <xf numFmtId="0" fontId="1" fillId="0" borderId="1" xfId="0" applyFont="1" applyBorder="1" applyAlignment="1">
      <alignment horizontal="center" vertical="center"/>
    </xf>
    <xf numFmtId="0" fontId="0" fillId="0" borderId="3" xfId="0" applyBorder="1" applyAlignment="1">
      <alignment horizontal="center" vertical="center"/>
    </xf>
    <xf numFmtId="0" fontId="14" fillId="0" borderId="1" xfId="0" applyFont="1" applyBorder="1" applyAlignment="1">
      <alignment horizontal="center" vertical="center"/>
    </xf>
    <xf numFmtId="0" fontId="10" fillId="0" borderId="1" xfId="0" applyFont="1" applyBorder="1" applyAlignment="1">
      <alignment horizontal="center"/>
    </xf>
    <xf numFmtId="0" fontId="16" fillId="0" borderId="1" xfId="0" applyFont="1" applyBorder="1" applyAlignment="1">
      <alignment horizontal="center"/>
    </xf>
    <xf numFmtId="0" fontId="11" fillId="0" borderId="3" xfId="0" applyFont="1" applyBorder="1" applyAlignment="1">
      <alignment horizontal="center"/>
    </xf>
    <xf numFmtId="0" fontId="17" fillId="0" borderId="1" xfId="0" applyFont="1" applyBorder="1" applyAlignment="1">
      <alignment horizontal="center" vertical="center"/>
    </xf>
    <xf numFmtId="0" fontId="1" fillId="0" borderId="1" xfId="0" quotePrefix="1" applyFont="1" applyBorder="1" applyAlignment="1">
      <alignment horizontal="center" vertical="center"/>
    </xf>
    <xf numFmtId="0" fontId="10" fillId="0" borderId="22" xfId="0" applyFont="1" applyBorder="1" applyAlignment="1">
      <alignment horizontal="center"/>
    </xf>
    <xf numFmtId="0" fontId="14" fillId="0" borderId="1" xfId="0" applyFont="1" applyBorder="1" applyAlignment="1">
      <alignment horizontal="center"/>
    </xf>
    <xf numFmtId="0" fontId="1" fillId="0" borderId="22"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 fillId="0" borderId="0" xfId="0" applyFont="1" applyAlignment="1">
      <alignment horizontal="center" vertical="center"/>
    </xf>
    <xf numFmtId="0" fontId="1" fillId="0" borderId="1" xfId="0" applyFont="1" applyBorder="1" applyAlignment="1">
      <alignment horizontal="center" vertical="top"/>
    </xf>
    <xf numFmtId="0" fontId="0" fillId="0" borderId="3" xfId="0" applyBorder="1" applyAlignment="1">
      <alignment horizontal="center" vertical="top"/>
    </xf>
    <xf numFmtId="0" fontId="22" fillId="0" borderId="0" xfId="2" applyBorder="1" applyAlignment="1" applyProtection="1">
      <alignment horizontal="left"/>
    </xf>
    <xf numFmtId="0" fontId="1" fillId="0" borderId="1" xfId="0" applyFont="1" applyBorder="1" applyAlignment="1">
      <alignment horizontal="center" wrapText="1"/>
    </xf>
    <xf numFmtId="0" fontId="0" fillId="0" borderId="3" xfId="0" applyBorder="1" applyAlignment="1">
      <alignment horizontal="center" wrapText="1"/>
    </xf>
    <xf numFmtId="0" fontId="22" fillId="0" borderId="10" xfId="2" applyBorder="1" applyAlignment="1" applyProtection="1">
      <alignment horizontal="left"/>
    </xf>
    <xf numFmtId="0" fontId="0" fillId="0" borderId="2" xfId="0" applyBorder="1" applyAlignment="1">
      <alignment horizontal="center" vertical="top"/>
    </xf>
    <xf numFmtId="2" fontId="1" fillId="0" borderId="1" xfId="0" applyNumberFormat="1" applyFont="1" applyBorder="1" applyAlignment="1">
      <alignment horizontal="center" vertical="top"/>
    </xf>
    <xf numFmtId="2" fontId="0" fillId="0" borderId="3" xfId="0" applyNumberFormat="1" applyBorder="1" applyAlignment="1">
      <alignment horizontal="center" vertical="top"/>
    </xf>
    <xf numFmtId="0" fontId="0" fillId="0" borderId="22" xfId="0" applyBorder="1"/>
    <xf numFmtId="0" fontId="0" fillId="0" borderId="16" xfId="0" applyBorder="1"/>
    <xf numFmtId="0" fontId="1" fillId="0" borderId="18" xfId="0" applyFont="1" applyBorder="1" applyAlignment="1">
      <alignment horizontal="center"/>
    </xf>
    <xf numFmtId="0" fontId="0" fillId="0" borderId="18" xfId="0" applyBorder="1"/>
    <xf numFmtId="0" fontId="1" fillId="0" borderId="49" xfId="0" applyFont="1" applyBorder="1" applyAlignment="1">
      <alignment horizontal="center"/>
    </xf>
    <xf numFmtId="0" fontId="0" fillId="0" borderId="50" xfId="0" applyBorder="1" applyAlignment="1">
      <alignment horizontal="center"/>
    </xf>
    <xf numFmtId="0" fontId="1" fillId="0" borderId="53" xfId="0" applyFont="1" applyBorder="1" applyAlignment="1">
      <alignment horizontal="center"/>
    </xf>
    <xf numFmtId="0" fontId="0" fillId="0" borderId="16" xfId="0" applyFill="1" applyBorder="1"/>
  </cellXfs>
  <cellStyles count="8">
    <cellStyle name="Komma" xfId="7" builtinId="3"/>
    <cellStyle name="Link" xfId="2" builtinId="8"/>
    <cellStyle name="Normal 6" xfId="4" xr:uid="{FE23C686-CBCF-4C59-AC75-54F062AC9D47}"/>
    <cellStyle name="Prozent 2" xfId="5" xr:uid="{E1379EA7-47E2-4CD1-9BBD-53C3E943537A}"/>
    <cellStyle name="Standard" xfId="0" builtinId="0"/>
    <cellStyle name="Standard 2" xfId="6" xr:uid="{05A703AE-989F-4F85-83D1-A5124A4B3279}"/>
    <cellStyle name="Standard 4" xfId="3" xr:uid="{00000000-0005-0000-0000-000002000000}"/>
    <cellStyle name="Standard_Klimastation" xfId="1" xr:uid="{00000000-0005-0000-0000-000003000000}"/>
  </cellStyles>
  <dxfs count="1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theme="0"/>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theme="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theme="0"/>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theme="0"/>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Resultate!$Z$3</c:f>
          <c:strCache>
            <c:ptCount val="1"/>
            <c:pt idx="0">
              <c:v>Umweltbelastungspunkte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5704720989585766"/>
          <c:y val="0.19278496196379785"/>
          <c:w val="0.84295279010414248"/>
          <c:h val="0.66046076815329013"/>
        </c:manualLayout>
      </c:layout>
      <c:barChart>
        <c:barDir val="col"/>
        <c:grouping val="stacked"/>
        <c:varyColors val="0"/>
        <c:ser>
          <c:idx val="0"/>
          <c:order val="0"/>
          <c:tx>
            <c:strRef>
              <c:f>Resultate!$Z$4</c:f>
              <c:strCache>
                <c:ptCount val="1"/>
                <c:pt idx="0">
                  <c:v>Wärmeerzeugung 1</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Resultate!$AA$4:$AD$4</c:f>
              <c:numCache>
                <c:formatCode>0.00</c:formatCode>
                <c:ptCount val="4"/>
                <c:pt idx="0" formatCode="#,##0">
                  <c:v>0</c:v>
                </c:pt>
                <c:pt idx="1">
                  <c:v>0</c:v>
                </c:pt>
                <c:pt idx="2">
                  <c:v>0</c:v>
                </c:pt>
                <c:pt idx="3">
                  <c:v>0</c:v>
                </c:pt>
              </c:numCache>
            </c:numRef>
          </c:val>
          <c:extLst>
            <c:ext xmlns:c16="http://schemas.microsoft.com/office/drawing/2014/chart" uri="{C3380CC4-5D6E-409C-BE32-E72D297353CC}">
              <c16:uniqueId val="{00000000-91F4-488E-94C4-73C846A55F48}"/>
            </c:ext>
          </c:extLst>
        </c:ser>
        <c:ser>
          <c:idx val="1"/>
          <c:order val="1"/>
          <c:tx>
            <c:strRef>
              <c:f>Resultate!$Z$5</c:f>
              <c:strCache>
                <c:ptCount val="1"/>
                <c:pt idx="0">
                  <c:v>Wärmeerzeugung 2</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Resultate!$AA$5:$AD$5</c:f>
              <c:numCache>
                <c:formatCode>0.00</c:formatCode>
                <c:ptCount val="4"/>
                <c:pt idx="0" formatCode="#,##0">
                  <c:v>0</c:v>
                </c:pt>
                <c:pt idx="1">
                  <c:v>0</c:v>
                </c:pt>
                <c:pt idx="2">
                  <c:v>0</c:v>
                </c:pt>
                <c:pt idx="3">
                  <c:v>0</c:v>
                </c:pt>
              </c:numCache>
            </c:numRef>
          </c:val>
          <c:extLst>
            <c:ext xmlns:c16="http://schemas.microsoft.com/office/drawing/2014/chart" uri="{C3380CC4-5D6E-409C-BE32-E72D297353CC}">
              <c16:uniqueId val="{00000001-91F4-488E-94C4-73C846A55F48}"/>
            </c:ext>
          </c:extLst>
        </c:ser>
        <c:dLbls>
          <c:showLegendKey val="0"/>
          <c:showVal val="0"/>
          <c:showCatName val="0"/>
          <c:showSerName val="0"/>
          <c:showPercent val="0"/>
          <c:showBubbleSize val="0"/>
        </c:dLbls>
        <c:gapWidth val="150"/>
        <c:overlap val="100"/>
        <c:axId val="110633631"/>
        <c:axId val="110634047"/>
      </c:barChart>
      <c:catAx>
        <c:axId val="110633631"/>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0634047"/>
        <c:crosses val="max"/>
        <c:auto val="1"/>
        <c:lblAlgn val="ctr"/>
        <c:lblOffset val="100"/>
        <c:noMultiLvlLbl val="0"/>
      </c:catAx>
      <c:valAx>
        <c:axId val="1106340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0633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Standardwerte!$Q$93</c:f>
          <c:strCache>
            <c:ptCount val="1"/>
            <c:pt idx="0">
              <c:v>Erdgas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Standardwerte!$Q$94</c:f>
              <c:strCache>
                <c:ptCount val="1"/>
                <c:pt idx="0">
                  <c:v>&lt;  1430 m³</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Standardwerte!$R$94:$AL$94</c:f>
              <c:numCache>
                <c:formatCode>General</c:formatCode>
                <c:ptCount val="21"/>
                <c:pt idx="0" formatCode="0.000">
                  <c:v>0.124</c:v>
                </c:pt>
                <c:pt idx="1">
                  <c:v>0.124</c:v>
                </c:pt>
                <c:pt idx="2">
                  <c:v>0.124</c:v>
                </c:pt>
                <c:pt idx="3">
                  <c:v>0.124</c:v>
                </c:pt>
                <c:pt idx="4">
                  <c:v>0.124</c:v>
                </c:pt>
                <c:pt idx="5">
                  <c:v>0.124</c:v>
                </c:pt>
                <c:pt idx="6">
                  <c:v>0.124</c:v>
                </c:pt>
                <c:pt idx="7">
                  <c:v>0.124</c:v>
                </c:pt>
                <c:pt idx="8">
                  <c:v>0.124</c:v>
                </c:pt>
                <c:pt idx="9">
                  <c:v>0.124</c:v>
                </c:pt>
                <c:pt idx="10">
                  <c:v>0.124</c:v>
                </c:pt>
                <c:pt idx="11">
                  <c:v>0.124</c:v>
                </c:pt>
                <c:pt idx="12">
                  <c:v>0.124</c:v>
                </c:pt>
                <c:pt idx="13">
                  <c:v>0.124</c:v>
                </c:pt>
                <c:pt idx="14">
                  <c:v>0.124</c:v>
                </c:pt>
                <c:pt idx="15">
                  <c:v>0.124</c:v>
                </c:pt>
                <c:pt idx="16">
                  <c:v>0.124</c:v>
                </c:pt>
                <c:pt idx="17">
                  <c:v>0.124</c:v>
                </c:pt>
                <c:pt idx="18">
                  <c:v>0.124</c:v>
                </c:pt>
                <c:pt idx="19">
                  <c:v>0.124</c:v>
                </c:pt>
                <c:pt idx="20">
                  <c:v>0.124</c:v>
                </c:pt>
              </c:numCache>
            </c:numRef>
          </c:val>
          <c:smooth val="0"/>
          <c:extLst>
            <c:ext xmlns:c16="http://schemas.microsoft.com/office/drawing/2014/chart" uri="{C3380CC4-5D6E-409C-BE32-E72D297353CC}">
              <c16:uniqueId val="{00000000-62ED-4F78-B8A8-63B8C77587B0}"/>
            </c:ext>
          </c:extLst>
        </c:ser>
        <c:ser>
          <c:idx val="1"/>
          <c:order val="1"/>
          <c:tx>
            <c:strRef>
              <c:f>Standardwerte!$Q$95</c:f>
              <c:strCache>
                <c:ptCount val="1"/>
                <c:pt idx="0">
                  <c:v>1431 - 3570 m³</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Standardwerte!$R$95:$AL$95</c:f>
              <c:numCache>
                <c:formatCode>General</c:formatCode>
                <c:ptCount val="21"/>
                <c:pt idx="0" formatCode="0.000">
                  <c:v>0.11899999999999999</c:v>
                </c:pt>
                <c:pt idx="1">
                  <c:v>0.11899999999999999</c:v>
                </c:pt>
                <c:pt idx="2">
                  <c:v>0.11899999999999999</c:v>
                </c:pt>
                <c:pt idx="3">
                  <c:v>0.11899999999999999</c:v>
                </c:pt>
                <c:pt idx="4">
                  <c:v>0.11899999999999999</c:v>
                </c:pt>
                <c:pt idx="5">
                  <c:v>0.11899999999999999</c:v>
                </c:pt>
                <c:pt idx="6">
                  <c:v>0.11899999999999999</c:v>
                </c:pt>
                <c:pt idx="7">
                  <c:v>0.11899999999999999</c:v>
                </c:pt>
                <c:pt idx="8">
                  <c:v>0.11899999999999999</c:v>
                </c:pt>
                <c:pt idx="9">
                  <c:v>0.11899999999999999</c:v>
                </c:pt>
                <c:pt idx="10">
                  <c:v>0.11899999999999999</c:v>
                </c:pt>
                <c:pt idx="11">
                  <c:v>0.11899999999999999</c:v>
                </c:pt>
                <c:pt idx="12">
                  <c:v>0.11899999999999999</c:v>
                </c:pt>
                <c:pt idx="13">
                  <c:v>0.11899999999999999</c:v>
                </c:pt>
                <c:pt idx="14">
                  <c:v>0.11899999999999999</c:v>
                </c:pt>
                <c:pt idx="15">
                  <c:v>0.11899999999999999</c:v>
                </c:pt>
                <c:pt idx="16">
                  <c:v>0.11899999999999999</c:v>
                </c:pt>
                <c:pt idx="17">
                  <c:v>0.11899999999999999</c:v>
                </c:pt>
                <c:pt idx="18">
                  <c:v>0.11899999999999999</c:v>
                </c:pt>
                <c:pt idx="19">
                  <c:v>0.11899999999999999</c:v>
                </c:pt>
                <c:pt idx="20">
                  <c:v>0.11899999999999999</c:v>
                </c:pt>
              </c:numCache>
            </c:numRef>
          </c:val>
          <c:smooth val="0"/>
          <c:extLst>
            <c:ext xmlns:c16="http://schemas.microsoft.com/office/drawing/2014/chart" uri="{C3380CC4-5D6E-409C-BE32-E72D297353CC}">
              <c16:uniqueId val="{00000001-62ED-4F78-B8A8-63B8C77587B0}"/>
            </c:ext>
          </c:extLst>
        </c:ser>
        <c:ser>
          <c:idx val="2"/>
          <c:order val="2"/>
          <c:tx>
            <c:strRef>
              <c:f>Standardwerte!$Q$96</c:f>
              <c:strCache>
                <c:ptCount val="1"/>
                <c:pt idx="0">
                  <c:v>3571 - 7150 m³</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Standardwerte!$R$96:$AL$96</c:f>
              <c:numCache>
                <c:formatCode>General</c:formatCode>
                <c:ptCount val="21"/>
                <c:pt idx="0" formatCode="0.000">
                  <c:v>0.11700000000000001</c:v>
                </c:pt>
                <c:pt idx="1">
                  <c:v>0.11700000000000001</c:v>
                </c:pt>
                <c:pt idx="2">
                  <c:v>0.11700000000000001</c:v>
                </c:pt>
                <c:pt idx="3">
                  <c:v>0.11700000000000001</c:v>
                </c:pt>
                <c:pt idx="4">
                  <c:v>0.11700000000000001</c:v>
                </c:pt>
                <c:pt idx="5">
                  <c:v>0.11700000000000001</c:v>
                </c:pt>
                <c:pt idx="6">
                  <c:v>0.11700000000000001</c:v>
                </c:pt>
                <c:pt idx="7">
                  <c:v>0.11700000000000001</c:v>
                </c:pt>
                <c:pt idx="8">
                  <c:v>0.11700000000000001</c:v>
                </c:pt>
                <c:pt idx="9">
                  <c:v>0.11700000000000001</c:v>
                </c:pt>
                <c:pt idx="10">
                  <c:v>0.11700000000000001</c:v>
                </c:pt>
                <c:pt idx="11">
                  <c:v>0.11700000000000001</c:v>
                </c:pt>
                <c:pt idx="12">
                  <c:v>0.11700000000000001</c:v>
                </c:pt>
                <c:pt idx="13">
                  <c:v>0.11700000000000001</c:v>
                </c:pt>
                <c:pt idx="14">
                  <c:v>0.11700000000000001</c:v>
                </c:pt>
                <c:pt idx="15">
                  <c:v>0.11700000000000001</c:v>
                </c:pt>
                <c:pt idx="16">
                  <c:v>0.11700000000000001</c:v>
                </c:pt>
                <c:pt idx="17">
                  <c:v>0.11700000000000001</c:v>
                </c:pt>
                <c:pt idx="18">
                  <c:v>0.11700000000000001</c:v>
                </c:pt>
                <c:pt idx="19">
                  <c:v>0.11700000000000001</c:v>
                </c:pt>
                <c:pt idx="20">
                  <c:v>0.11700000000000001</c:v>
                </c:pt>
              </c:numCache>
            </c:numRef>
          </c:val>
          <c:smooth val="0"/>
          <c:extLst>
            <c:ext xmlns:c16="http://schemas.microsoft.com/office/drawing/2014/chart" uri="{C3380CC4-5D6E-409C-BE32-E72D297353CC}">
              <c16:uniqueId val="{00000002-62ED-4F78-B8A8-63B8C77587B0}"/>
            </c:ext>
          </c:extLst>
        </c:ser>
        <c:ser>
          <c:idx val="3"/>
          <c:order val="3"/>
          <c:tx>
            <c:strRef>
              <c:f>Standardwerte!$Q$97</c:f>
              <c:strCache>
                <c:ptCount val="1"/>
                <c:pt idx="0">
                  <c:v>&gt; 7150 m³</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Standardwerte!$R$97:$AL$97</c:f>
              <c:numCache>
                <c:formatCode>General</c:formatCode>
                <c:ptCount val="21"/>
                <c:pt idx="0" formatCode="0.000">
                  <c:v>0.113</c:v>
                </c:pt>
                <c:pt idx="1">
                  <c:v>0.113</c:v>
                </c:pt>
                <c:pt idx="2">
                  <c:v>0.113</c:v>
                </c:pt>
                <c:pt idx="3">
                  <c:v>0.113</c:v>
                </c:pt>
                <c:pt idx="4">
                  <c:v>0.113</c:v>
                </c:pt>
                <c:pt idx="5">
                  <c:v>0.113</c:v>
                </c:pt>
                <c:pt idx="6">
                  <c:v>0.113</c:v>
                </c:pt>
                <c:pt idx="7">
                  <c:v>0.113</c:v>
                </c:pt>
                <c:pt idx="8">
                  <c:v>0.113</c:v>
                </c:pt>
                <c:pt idx="9">
                  <c:v>0.113</c:v>
                </c:pt>
                <c:pt idx="10">
                  <c:v>0.113</c:v>
                </c:pt>
                <c:pt idx="11">
                  <c:v>0.113</c:v>
                </c:pt>
                <c:pt idx="12">
                  <c:v>0.113</c:v>
                </c:pt>
                <c:pt idx="13">
                  <c:v>0.113</c:v>
                </c:pt>
                <c:pt idx="14">
                  <c:v>0.113</c:v>
                </c:pt>
                <c:pt idx="15">
                  <c:v>0.113</c:v>
                </c:pt>
                <c:pt idx="16">
                  <c:v>0.113</c:v>
                </c:pt>
                <c:pt idx="17">
                  <c:v>0.113</c:v>
                </c:pt>
                <c:pt idx="18">
                  <c:v>0.113</c:v>
                </c:pt>
                <c:pt idx="19">
                  <c:v>0.113</c:v>
                </c:pt>
                <c:pt idx="20">
                  <c:v>0.113</c:v>
                </c:pt>
              </c:numCache>
            </c:numRef>
          </c:val>
          <c:smooth val="0"/>
          <c:extLst>
            <c:ext xmlns:c16="http://schemas.microsoft.com/office/drawing/2014/chart" uri="{C3380CC4-5D6E-409C-BE32-E72D297353CC}">
              <c16:uniqueId val="{00000003-62ED-4F78-B8A8-63B8C77587B0}"/>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Standardwerte!$Q$105</c:f>
          <c:strCache>
            <c:ptCount val="1"/>
            <c:pt idx="0">
              <c:v>Strom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Standardwerte!$Q$106</c:f>
              <c:strCache>
                <c:ptCount val="1"/>
                <c:pt idx="0">
                  <c:v>H1</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Standardwerte!$R$106:$AL$106</c:f>
              <c:numCache>
                <c:formatCode>General</c:formatCode>
                <c:ptCount val="21"/>
                <c:pt idx="0" formatCode="0.000">
                  <c:v>0.26500000000000001</c:v>
                </c:pt>
                <c:pt idx="1">
                  <c:v>0.26500000000000001</c:v>
                </c:pt>
                <c:pt idx="2">
                  <c:v>0.26500000000000001</c:v>
                </c:pt>
                <c:pt idx="3">
                  <c:v>0.26500000000000001</c:v>
                </c:pt>
                <c:pt idx="4">
                  <c:v>0.26500000000000001</c:v>
                </c:pt>
                <c:pt idx="5">
                  <c:v>0.26500000000000001</c:v>
                </c:pt>
                <c:pt idx="6">
                  <c:v>0.26500000000000001</c:v>
                </c:pt>
                <c:pt idx="7">
                  <c:v>0.26500000000000001</c:v>
                </c:pt>
                <c:pt idx="8">
                  <c:v>0.26500000000000001</c:v>
                </c:pt>
                <c:pt idx="9">
                  <c:v>0.26500000000000001</c:v>
                </c:pt>
                <c:pt idx="10">
                  <c:v>0.26500000000000001</c:v>
                </c:pt>
                <c:pt idx="11">
                  <c:v>0.26500000000000001</c:v>
                </c:pt>
                <c:pt idx="12">
                  <c:v>0.26500000000000001</c:v>
                </c:pt>
                <c:pt idx="13">
                  <c:v>0.26500000000000001</c:v>
                </c:pt>
                <c:pt idx="14">
                  <c:v>0.26500000000000001</c:v>
                </c:pt>
                <c:pt idx="15">
                  <c:v>0.26500000000000001</c:v>
                </c:pt>
                <c:pt idx="16">
                  <c:v>0.26500000000000001</c:v>
                </c:pt>
                <c:pt idx="17">
                  <c:v>0.26500000000000001</c:v>
                </c:pt>
                <c:pt idx="18">
                  <c:v>0.26500000000000001</c:v>
                </c:pt>
                <c:pt idx="19">
                  <c:v>0.26500000000000001</c:v>
                </c:pt>
                <c:pt idx="20">
                  <c:v>0.26500000000000001</c:v>
                </c:pt>
              </c:numCache>
            </c:numRef>
          </c:val>
          <c:smooth val="0"/>
          <c:extLst>
            <c:ext xmlns:c16="http://schemas.microsoft.com/office/drawing/2014/chart" uri="{C3380CC4-5D6E-409C-BE32-E72D297353CC}">
              <c16:uniqueId val="{00000000-7177-48DF-99EC-38ABCDE67B35}"/>
            </c:ext>
          </c:extLst>
        </c:ser>
        <c:ser>
          <c:idx val="1"/>
          <c:order val="1"/>
          <c:tx>
            <c:strRef>
              <c:f>Standardwerte!$Q$107</c:f>
              <c:strCache>
                <c:ptCount val="1"/>
                <c:pt idx="0">
                  <c:v>H2</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Standardwerte!$R$107:$AL$107</c:f>
              <c:numCache>
                <c:formatCode>General</c:formatCode>
                <c:ptCount val="21"/>
                <c:pt idx="0" formatCode="0.000">
                  <c:v>0.24399999999999999</c:v>
                </c:pt>
                <c:pt idx="1">
                  <c:v>0.24399999999999999</c:v>
                </c:pt>
                <c:pt idx="2">
                  <c:v>0.24399999999999999</c:v>
                </c:pt>
                <c:pt idx="3">
                  <c:v>0.24399999999999999</c:v>
                </c:pt>
                <c:pt idx="4">
                  <c:v>0.24399999999999999</c:v>
                </c:pt>
                <c:pt idx="5">
                  <c:v>0.24399999999999999</c:v>
                </c:pt>
                <c:pt idx="6">
                  <c:v>0.24399999999999999</c:v>
                </c:pt>
                <c:pt idx="7">
                  <c:v>0.24399999999999999</c:v>
                </c:pt>
                <c:pt idx="8">
                  <c:v>0.24399999999999999</c:v>
                </c:pt>
                <c:pt idx="9">
                  <c:v>0.24399999999999999</c:v>
                </c:pt>
                <c:pt idx="10">
                  <c:v>0.24399999999999999</c:v>
                </c:pt>
                <c:pt idx="11">
                  <c:v>0.24399999999999999</c:v>
                </c:pt>
                <c:pt idx="12">
                  <c:v>0.24399999999999999</c:v>
                </c:pt>
                <c:pt idx="13">
                  <c:v>0.24399999999999999</c:v>
                </c:pt>
                <c:pt idx="14">
                  <c:v>0.24399999999999999</c:v>
                </c:pt>
                <c:pt idx="15">
                  <c:v>0.24399999999999999</c:v>
                </c:pt>
                <c:pt idx="16">
                  <c:v>0.24399999999999999</c:v>
                </c:pt>
                <c:pt idx="17">
                  <c:v>0.24399999999999999</c:v>
                </c:pt>
                <c:pt idx="18">
                  <c:v>0.24399999999999999</c:v>
                </c:pt>
                <c:pt idx="19">
                  <c:v>0.24399999999999999</c:v>
                </c:pt>
                <c:pt idx="20">
                  <c:v>0.24399999999999999</c:v>
                </c:pt>
              </c:numCache>
            </c:numRef>
          </c:val>
          <c:smooth val="0"/>
          <c:extLst>
            <c:ext xmlns:c16="http://schemas.microsoft.com/office/drawing/2014/chart" uri="{C3380CC4-5D6E-409C-BE32-E72D297353CC}">
              <c16:uniqueId val="{00000001-7177-48DF-99EC-38ABCDE67B35}"/>
            </c:ext>
          </c:extLst>
        </c:ser>
        <c:ser>
          <c:idx val="2"/>
          <c:order val="2"/>
          <c:tx>
            <c:strRef>
              <c:f>Standardwerte!$Q$108</c:f>
              <c:strCache>
                <c:ptCount val="1"/>
                <c:pt idx="0">
                  <c:v>H3</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Standardwerte!$R$108:$AL$108</c:f>
              <c:numCache>
                <c:formatCode>General</c:formatCode>
                <c:ptCount val="21"/>
                <c:pt idx="0" formatCode="0.000">
                  <c:v>0.20899999999999999</c:v>
                </c:pt>
                <c:pt idx="1">
                  <c:v>0.20899999999999999</c:v>
                </c:pt>
                <c:pt idx="2">
                  <c:v>0.20899999999999999</c:v>
                </c:pt>
                <c:pt idx="3">
                  <c:v>0.20899999999999999</c:v>
                </c:pt>
                <c:pt idx="4">
                  <c:v>0.20899999999999999</c:v>
                </c:pt>
                <c:pt idx="5">
                  <c:v>0.20899999999999999</c:v>
                </c:pt>
                <c:pt idx="6">
                  <c:v>0.20899999999999999</c:v>
                </c:pt>
                <c:pt idx="7">
                  <c:v>0.20899999999999999</c:v>
                </c:pt>
                <c:pt idx="8">
                  <c:v>0.20899999999999999</c:v>
                </c:pt>
                <c:pt idx="9">
                  <c:v>0.20899999999999999</c:v>
                </c:pt>
                <c:pt idx="10">
                  <c:v>0.20899999999999999</c:v>
                </c:pt>
                <c:pt idx="11">
                  <c:v>0.20899999999999999</c:v>
                </c:pt>
                <c:pt idx="12">
                  <c:v>0.20899999999999999</c:v>
                </c:pt>
                <c:pt idx="13">
                  <c:v>0.20899999999999999</c:v>
                </c:pt>
                <c:pt idx="14">
                  <c:v>0.20899999999999999</c:v>
                </c:pt>
                <c:pt idx="15">
                  <c:v>0.20899999999999999</c:v>
                </c:pt>
                <c:pt idx="16">
                  <c:v>0.20899999999999999</c:v>
                </c:pt>
                <c:pt idx="17">
                  <c:v>0.20899999999999999</c:v>
                </c:pt>
                <c:pt idx="18">
                  <c:v>0.20899999999999999</c:v>
                </c:pt>
                <c:pt idx="19">
                  <c:v>0.20899999999999999</c:v>
                </c:pt>
                <c:pt idx="20">
                  <c:v>0.20899999999999999</c:v>
                </c:pt>
              </c:numCache>
            </c:numRef>
          </c:val>
          <c:smooth val="0"/>
          <c:extLst>
            <c:ext xmlns:c16="http://schemas.microsoft.com/office/drawing/2014/chart" uri="{C3380CC4-5D6E-409C-BE32-E72D297353CC}">
              <c16:uniqueId val="{00000002-7177-48DF-99EC-38ABCDE67B35}"/>
            </c:ext>
          </c:extLst>
        </c:ser>
        <c:ser>
          <c:idx val="3"/>
          <c:order val="3"/>
          <c:tx>
            <c:strRef>
              <c:f>Standardwerte!$Q$109</c:f>
              <c:strCache>
                <c:ptCount val="1"/>
                <c:pt idx="0">
                  <c:v>H4</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Standardwerte!$R$109:$AL$109</c:f>
              <c:numCache>
                <c:formatCode>General</c:formatCode>
                <c:ptCount val="21"/>
                <c:pt idx="0" formatCode="0.000">
                  <c:v>0.22700000000000001</c:v>
                </c:pt>
                <c:pt idx="1">
                  <c:v>0.22700000000000001</c:v>
                </c:pt>
                <c:pt idx="2">
                  <c:v>0.22700000000000001</c:v>
                </c:pt>
                <c:pt idx="3">
                  <c:v>0.22700000000000001</c:v>
                </c:pt>
                <c:pt idx="4">
                  <c:v>0.22700000000000001</c:v>
                </c:pt>
                <c:pt idx="5">
                  <c:v>0.22700000000000001</c:v>
                </c:pt>
                <c:pt idx="6">
                  <c:v>0.22700000000000001</c:v>
                </c:pt>
                <c:pt idx="7">
                  <c:v>0.22700000000000001</c:v>
                </c:pt>
                <c:pt idx="8">
                  <c:v>0.22700000000000001</c:v>
                </c:pt>
                <c:pt idx="9">
                  <c:v>0.22700000000000001</c:v>
                </c:pt>
                <c:pt idx="10">
                  <c:v>0.22700000000000001</c:v>
                </c:pt>
                <c:pt idx="11">
                  <c:v>0.22700000000000001</c:v>
                </c:pt>
                <c:pt idx="12">
                  <c:v>0.22700000000000001</c:v>
                </c:pt>
                <c:pt idx="13">
                  <c:v>0.22700000000000001</c:v>
                </c:pt>
                <c:pt idx="14">
                  <c:v>0.22700000000000001</c:v>
                </c:pt>
                <c:pt idx="15">
                  <c:v>0.22700000000000001</c:v>
                </c:pt>
                <c:pt idx="16">
                  <c:v>0.22700000000000001</c:v>
                </c:pt>
                <c:pt idx="17">
                  <c:v>0.22700000000000001</c:v>
                </c:pt>
                <c:pt idx="18">
                  <c:v>0.22700000000000001</c:v>
                </c:pt>
                <c:pt idx="19">
                  <c:v>0.22700000000000001</c:v>
                </c:pt>
                <c:pt idx="20">
                  <c:v>0.22700000000000001</c:v>
                </c:pt>
              </c:numCache>
            </c:numRef>
          </c:val>
          <c:smooth val="0"/>
          <c:extLst>
            <c:ext xmlns:c16="http://schemas.microsoft.com/office/drawing/2014/chart" uri="{C3380CC4-5D6E-409C-BE32-E72D297353CC}">
              <c16:uniqueId val="{00000003-7177-48DF-99EC-38ABCDE67B35}"/>
            </c:ext>
          </c:extLst>
        </c:ser>
        <c:ser>
          <c:idx val="4"/>
          <c:order val="4"/>
          <c:tx>
            <c:strRef>
              <c:f>Standardwerte!$Q$110</c:f>
              <c:strCache>
                <c:ptCount val="1"/>
                <c:pt idx="0">
                  <c:v>H5</c:v>
                </c:pt>
              </c:strCache>
            </c:strRef>
          </c:tx>
          <c:spPr>
            <a:ln w="28575" cap="rnd">
              <a:solidFill>
                <a:schemeClr val="accent5"/>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Standardwerte!$R$110:$AL$110</c:f>
              <c:numCache>
                <c:formatCode>General</c:formatCode>
                <c:ptCount val="21"/>
                <c:pt idx="0" formatCode="0.000">
                  <c:v>0.20200000000000001</c:v>
                </c:pt>
                <c:pt idx="1">
                  <c:v>0.20200000000000001</c:v>
                </c:pt>
                <c:pt idx="2">
                  <c:v>0.20200000000000001</c:v>
                </c:pt>
                <c:pt idx="3">
                  <c:v>0.20200000000000001</c:v>
                </c:pt>
                <c:pt idx="4">
                  <c:v>0.20200000000000001</c:v>
                </c:pt>
                <c:pt idx="5">
                  <c:v>0.20200000000000001</c:v>
                </c:pt>
                <c:pt idx="6">
                  <c:v>0.20200000000000001</c:v>
                </c:pt>
                <c:pt idx="7">
                  <c:v>0.20200000000000001</c:v>
                </c:pt>
                <c:pt idx="8">
                  <c:v>0.20200000000000001</c:v>
                </c:pt>
                <c:pt idx="9">
                  <c:v>0.20200000000000001</c:v>
                </c:pt>
                <c:pt idx="10">
                  <c:v>0.20200000000000001</c:v>
                </c:pt>
                <c:pt idx="11">
                  <c:v>0.20200000000000001</c:v>
                </c:pt>
                <c:pt idx="12">
                  <c:v>0.20200000000000001</c:v>
                </c:pt>
                <c:pt idx="13">
                  <c:v>0.20200000000000001</c:v>
                </c:pt>
                <c:pt idx="14">
                  <c:v>0.20200000000000001</c:v>
                </c:pt>
                <c:pt idx="15">
                  <c:v>0.20200000000000001</c:v>
                </c:pt>
                <c:pt idx="16">
                  <c:v>0.20200000000000001</c:v>
                </c:pt>
                <c:pt idx="17">
                  <c:v>0.20200000000000001</c:v>
                </c:pt>
                <c:pt idx="18">
                  <c:v>0.20200000000000001</c:v>
                </c:pt>
                <c:pt idx="19">
                  <c:v>0.20200000000000001</c:v>
                </c:pt>
                <c:pt idx="20">
                  <c:v>0.20200000000000001</c:v>
                </c:pt>
              </c:numCache>
            </c:numRef>
          </c:val>
          <c:smooth val="0"/>
          <c:extLst>
            <c:ext xmlns:c16="http://schemas.microsoft.com/office/drawing/2014/chart" uri="{C3380CC4-5D6E-409C-BE32-E72D297353CC}">
              <c16:uniqueId val="{00000004-7177-48DF-99EC-38ABCDE67B35}"/>
            </c:ext>
          </c:extLst>
        </c:ser>
        <c:ser>
          <c:idx val="5"/>
          <c:order val="5"/>
          <c:tx>
            <c:strRef>
              <c:f>Standardwerte!$Q$111</c:f>
              <c:strCache>
                <c:ptCount val="1"/>
                <c:pt idx="0">
                  <c:v>H6</c:v>
                </c:pt>
              </c:strCache>
            </c:strRef>
          </c:tx>
          <c:spPr>
            <a:ln w="28575" cap="rnd">
              <a:solidFill>
                <a:schemeClr val="accent6"/>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Standardwerte!$R$111:$AL$111</c:f>
              <c:numCache>
                <c:formatCode>General</c:formatCode>
                <c:ptCount val="21"/>
                <c:pt idx="0" formatCode="0.000">
                  <c:v>0.17100000000000001</c:v>
                </c:pt>
                <c:pt idx="1">
                  <c:v>0.17100000000000001</c:v>
                </c:pt>
                <c:pt idx="2">
                  <c:v>0.17100000000000001</c:v>
                </c:pt>
                <c:pt idx="3">
                  <c:v>0.17100000000000001</c:v>
                </c:pt>
                <c:pt idx="4">
                  <c:v>0.17100000000000001</c:v>
                </c:pt>
                <c:pt idx="5">
                  <c:v>0.17100000000000001</c:v>
                </c:pt>
                <c:pt idx="6">
                  <c:v>0.17100000000000001</c:v>
                </c:pt>
                <c:pt idx="7">
                  <c:v>0.17100000000000001</c:v>
                </c:pt>
                <c:pt idx="8">
                  <c:v>0.17100000000000001</c:v>
                </c:pt>
                <c:pt idx="9">
                  <c:v>0.17100000000000001</c:v>
                </c:pt>
                <c:pt idx="10">
                  <c:v>0.17100000000000001</c:v>
                </c:pt>
                <c:pt idx="11">
                  <c:v>0.17100000000000001</c:v>
                </c:pt>
                <c:pt idx="12">
                  <c:v>0.17100000000000001</c:v>
                </c:pt>
                <c:pt idx="13">
                  <c:v>0.17100000000000001</c:v>
                </c:pt>
                <c:pt idx="14">
                  <c:v>0.17100000000000001</c:v>
                </c:pt>
                <c:pt idx="15">
                  <c:v>0.17100000000000001</c:v>
                </c:pt>
                <c:pt idx="16">
                  <c:v>0.17100000000000001</c:v>
                </c:pt>
                <c:pt idx="17">
                  <c:v>0.17100000000000001</c:v>
                </c:pt>
                <c:pt idx="18">
                  <c:v>0.17100000000000001</c:v>
                </c:pt>
                <c:pt idx="19">
                  <c:v>0.17100000000000001</c:v>
                </c:pt>
                <c:pt idx="20">
                  <c:v>0.17100000000000001</c:v>
                </c:pt>
              </c:numCache>
            </c:numRef>
          </c:val>
          <c:smooth val="0"/>
          <c:extLst>
            <c:ext xmlns:c16="http://schemas.microsoft.com/office/drawing/2014/chart" uri="{C3380CC4-5D6E-409C-BE32-E72D297353CC}">
              <c16:uniqueId val="{00000005-7177-48DF-99EC-38ABCDE67B35}"/>
            </c:ext>
          </c:extLst>
        </c:ser>
        <c:ser>
          <c:idx val="6"/>
          <c:order val="6"/>
          <c:tx>
            <c:strRef>
              <c:f>Standardwerte!$Q$112</c:f>
              <c:strCache>
                <c:ptCount val="1"/>
                <c:pt idx="0">
                  <c:v>H7</c:v>
                </c:pt>
              </c:strCache>
            </c:strRef>
          </c:tx>
          <c:spPr>
            <a:ln w="28575" cap="rnd">
              <a:solidFill>
                <a:schemeClr val="accent1">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Standardwerte!$R$112:$AL$112</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6-7177-48DF-99EC-38ABCDE67B35}"/>
            </c:ext>
          </c:extLst>
        </c:ser>
        <c:ser>
          <c:idx val="7"/>
          <c:order val="7"/>
          <c:tx>
            <c:strRef>
              <c:f>Standardwerte!$Q$113</c:f>
              <c:strCache>
                <c:ptCount val="1"/>
                <c:pt idx="0">
                  <c:v>H8</c:v>
                </c:pt>
              </c:strCache>
            </c:strRef>
          </c:tx>
          <c:spPr>
            <a:ln w="28575" cap="rnd">
              <a:solidFill>
                <a:schemeClr val="accent2">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Standardwerte!$R$113:$AL$113</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7-7177-48DF-99EC-38ABCDE67B35}"/>
            </c:ext>
          </c:extLst>
        </c:ser>
        <c:ser>
          <c:idx val="8"/>
          <c:order val="8"/>
          <c:tx>
            <c:strRef>
              <c:f>Standardwerte!$Q$114</c:f>
              <c:strCache>
                <c:ptCount val="1"/>
                <c:pt idx="0">
                  <c:v>C1</c:v>
                </c:pt>
              </c:strCache>
            </c:strRef>
          </c:tx>
          <c:spPr>
            <a:ln w="28575" cap="rnd">
              <a:solidFill>
                <a:schemeClr val="accent3">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Standardwerte!$R$114:$AL$114</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8-7177-48DF-99EC-38ABCDE67B35}"/>
            </c:ext>
          </c:extLst>
        </c:ser>
        <c:ser>
          <c:idx val="9"/>
          <c:order val="9"/>
          <c:tx>
            <c:strRef>
              <c:f>Standardwerte!$Q$115</c:f>
              <c:strCache>
                <c:ptCount val="1"/>
                <c:pt idx="0">
                  <c:v>C2</c:v>
                </c:pt>
              </c:strCache>
            </c:strRef>
          </c:tx>
          <c:spPr>
            <a:ln w="28575" cap="rnd">
              <a:solidFill>
                <a:schemeClr val="accent4">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Standardwerte!$R$115:$AL$115</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9-7177-48DF-99EC-38ABCDE67B35}"/>
            </c:ext>
          </c:extLst>
        </c:ser>
        <c:ser>
          <c:idx val="10"/>
          <c:order val="10"/>
          <c:tx>
            <c:strRef>
              <c:f>Standardwerte!$Q$116</c:f>
              <c:strCache>
                <c:ptCount val="1"/>
                <c:pt idx="0">
                  <c:v>C3</c:v>
                </c:pt>
              </c:strCache>
            </c:strRef>
          </c:tx>
          <c:spPr>
            <a:ln w="28575" cap="rnd">
              <a:solidFill>
                <a:schemeClr val="accent5">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Standardwerte!$R$116:$AL$116</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A-7177-48DF-99EC-38ABCDE67B35}"/>
            </c:ext>
          </c:extLst>
        </c:ser>
        <c:ser>
          <c:idx val="11"/>
          <c:order val="11"/>
          <c:tx>
            <c:strRef>
              <c:f>Standardwerte!$Q$117</c:f>
              <c:strCache>
                <c:ptCount val="1"/>
                <c:pt idx="0">
                  <c:v>C4</c:v>
                </c:pt>
              </c:strCache>
            </c:strRef>
          </c:tx>
          <c:spPr>
            <a:ln w="28575" cap="rnd">
              <a:solidFill>
                <a:schemeClr val="accent6">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Standardwerte!$R$117:$AL$117</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B-7177-48DF-99EC-38ABCDE67B35}"/>
            </c:ext>
          </c:extLst>
        </c:ser>
        <c:ser>
          <c:idx val="12"/>
          <c:order val="12"/>
          <c:tx>
            <c:strRef>
              <c:f>Standardwerte!$Q$118</c:f>
              <c:strCache>
                <c:ptCount val="1"/>
                <c:pt idx="0">
                  <c:v>C5</c:v>
                </c:pt>
              </c:strCache>
            </c:strRef>
          </c:tx>
          <c:spPr>
            <a:ln w="28575" cap="rnd">
              <a:solidFill>
                <a:schemeClr val="accent1">
                  <a:lumMod val="80000"/>
                  <a:lumOff val="2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Standardwerte!$R$118:$AL$118</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C-7177-48DF-99EC-38ABCDE67B35}"/>
            </c:ext>
          </c:extLst>
        </c:ser>
        <c:ser>
          <c:idx val="13"/>
          <c:order val="13"/>
          <c:tx>
            <c:strRef>
              <c:f>Standardwerte!$Q$119</c:f>
              <c:strCache>
                <c:ptCount val="1"/>
                <c:pt idx="0">
                  <c:v>C6</c:v>
                </c:pt>
              </c:strCache>
            </c:strRef>
          </c:tx>
          <c:spPr>
            <a:ln w="28575" cap="rnd">
              <a:solidFill>
                <a:schemeClr val="accent2">
                  <a:lumMod val="80000"/>
                  <a:lumOff val="2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Standardwerte!$R$119:$AL$119</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D-7177-48DF-99EC-38ABCDE67B35}"/>
            </c:ext>
          </c:extLst>
        </c:ser>
        <c:ser>
          <c:idx val="14"/>
          <c:order val="14"/>
          <c:tx>
            <c:strRef>
              <c:f>Standardwerte!$Q$120</c:f>
              <c:strCache>
                <c:ptCount val="1"/>
                <c:pt idx="0">
                  <c:v>C7</c:v>
                </c:pt>
              </c:strCache>
            </c:strRef>
          </c:tx>
          <c:spPr>
            <a:ln w="28575" cap="rnd">
              <a:solidFill>
                <a:schemeClr val="accent3">
                  <a:lumMod val="80000"/>
                  <a:lumOff val="2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Standardwerte!$R$120:$AL$120</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E-7177-48DF-99EC-38ABCDE67B35}"/>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Standardwerte!$Q$122</c:f>
          <c:strCache>
            <c:ptCount val="1"/>
            <c:pt idx="0">
              <c:v>Wärme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Standardwerte!$Q$123</c:f>
              <c:strCache>
                <c:ptCount val="1"/>
                <c:pt idx="0">
                  <c:v>Wärmenetz KVA</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Standardwerte!$R$123:$AL$123</c:f>
              <c:numCache>
                <c:formatCode>General</c:formatCode>
                <c:ptCount val="21"/>
                <c:pt idx="0" formatCode="0.00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numCache>
            </c:numRef>
          </c:val>
          <c:smooth val="0"/>
          <c:extLst>
            <c:ext xmlns:c16="http://schemas.microsoft.com/office/drawing/2014/chart" uri="{C3380CC4-5D6E-409C-BE32-E72D297353CC}">
              <c16:uniqueId val="{00000000-E081-456A-BB07-BC5D33A49297}"/>
            </c:ext>
          </c:extLst>
        </c:ser>
        <c:ser>
          <c:idx val="1"/>
          <c:order val="1"/>
          <c:tx>
            <c:strRef>
              <c:f>Standardwerte!$Q$124</c:f>
              <c:strCache>
                <c:ptCount val="1"/>
                <c:pt idx="0">
                  <c:v>Wärmenetz BHKW (Gas)</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Standardwerte!$R$124:$AL$124</c:f>
              <c:numCache>
                <c:formatCode>General</c:formatCode>
                <c:ptCount val="21"/>
                <c:pt idx="0" formatCode="0.00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numCache>
            </c:numRef>
          </c:val>
          <c:smooth val="0"/>
          <c:extLst>
            <c:ext xmlns:c16="http://schemas.microsoft.com/office/drawing/2014/chart" uri="{C3380CC4-5D6E-409C-BE32-E72D297353CC}">
              <c16:uniqueId val="{00000001-E081-456A-BB07-BC5D33A49297}"/>
            </c:ext>
          </c:extLst>
        </c:ser>
        <c:ser>
          <c:idx val="2"/>
          <c:order val="2"/>
          <c:tx>
            <c:strRef>
              <c:f>Standardwerte!$Q$125</c:f>
              <c:strCache>
                <c:ptCount val="1"/>
                <c:pt idx="0">
                  <c:v>Wärmenetz WP (Grundwasser)</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Standardwerte!$R$125:$AL$125</c:f>
              <c:numCache>
                <c:formatCode>General</c:formatCode>
                <c:ptCount val="21"/>
                <c:pt idx="0" formatCode="0.000">
                  <c:v>0.11</c:v>
                </c:pt>
                <c:pt idx="1">
                  <c:v>0.11</c:v>
                </c:pt>
                <c:pt idx="2">
                  <c:v>0.11</c:v>
                </c:pt>
                <c:pt idx="3">
                  <c:v>0.11</c:v>
                </c:pt>
                <c:pt idx="4">
                  <c:v>0.11</c:v>
                </c:pt>
                <c:pt idx="5">
                  <c:v>0.11</c:v>
                </c:pt>
                <c:pt idx="6">
                  <c:v>0.11</c:v>
                </c:pt>
                <c:pt idx="7">
                  <c:v>0.11</c:v>
                </c:pt>
                <c:pt idx="8">
                  <c:v>0.11</c:v>
                </c:pt>
                <c:pt idx="9">
                  <c:v>0.11</c:v>
                </c:pt>
                <c:pt idx="10">
                  <c:v>0.11</c:v>
                </c:pt>
                <c:pt idx="11">
                  <c:v>0.11</c:v>
                </c:pt>
                <c:pt idx="12">
                  <c:v>0.11</c:v>
                </c:pt>
                <c:pt idx="13">
                  <c:v>0.11</c:v>
                </c:pt>
                <c:pt idx="14">
                  <c:v>0.11</c:v>
                </c:pt>
                <c:pt idx="15">
                  <c:v>0.11</c:v>
                </c:pt>
                <c:pt idx="16">
                  <c:v>0.11</c:v>
                </c:pt>
                <c:pt idx="17">
                  <c:v>0.11</c:v>
                </c:pt>
                <c:pt idx="18">
                  <c:v>0.11</c:v>
                </c:pt>
                <c:pt idx="19">
                  <c:v>0.11</c:v>
                </c:pt>
                <c:pt idx="20">
                  <c:v>0.11</c:v>
                </c:pt>
              </c:numCache>
            </c:numRef>
          </c:val>
          <c:smooth val="0"/>
          <c:extLst>
            <c:ext xmlns:c16="http://schemas.microsoft.com/office/drawing/2014/chart" uri="{C3380CC4-5D6E-409C-BE32-E72D297353CC}">
              <c16:uniqueId val="{00000002-E081-456A-BB07-BC5D33A49297}"/>
            </c:ext>
          </c:extLst>
        </c:ser>
        <c:ser>
          <c:idx val="3"/>
          <c:order val="3"/>
          <c:tx>
            <c:strRef>
              <c:f>Standardwerte!$Q$126</c:f>
              <c:strCache>
                <c:ptCount val="1"/>
                <c:pt idx="0">
                  <c:v>Wärmenetz Hackschnitzel</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Standardwerte!$R$126:$AL$126</c:f>
              <c:numCache>
                <c:formatCode>General</c:formatCode>
                <c:ptCount val="21"/>
                <c:pt idx="0" formatCode="0.000">
                  <c:v>0.12</c:v>
                </c:pt>
                <c:pt idx="1">
                  <c:v>0.12</c:v>
                </c:pt>
                <c:pt idx="2">
                  <c:v>0.12</c:v>
                </c:pt>
                <c:pt idx="3">
                  <c:v>0.12</c:v>
                </c:pt>
                <c:pt idx="4">
                  <c:v>0.12</c:v>
                </c:pt>
                <c:pt idx="5">
                  <c:v>0.12</c:v>
                </c:pt>
                <c:pt idx="6">
                  <c:v>0.12</c:v>
                </c:pt>
                <c:pt idx="7">
                  <c:v>0.12</c:v>
                </c:pt>
                <c:pt idx="8">
                  <c:v>0.12</c:v>
                </c:pt>
                <c:pt idx="9">
                  <c:v>0.12</c:v>
                </c:pt>
                <c:pt idx="10">
                  <c:v>0.12</c:v>
                </c:pt>
                <c:pt idx="11">
                  <c:v>0.12</c:v>
                </c:pt>
                <c:pt idx="12">
                  <c:v>0.12</c:v>
                </c:pt>
                <c:pt idx="13">
                  <c:v>0.12</c:v>
                </c:pt>
                <c:pt idx="14">
                  <c:v>0.12</c:v>
                </c:pt>
                <c:pt idx="15">
                  <c:v>0.12</c:v>
                </c:pt>
                <c:pt idx="16">
                  <c:v>0.12</c:v>
                </c:pt>
                <c:pt idx="17">
                  <c:v>0.12</c:v>
                </c:pt>
                <c:pt idx="18">
                  <c:v>0.12</c:v>
                </c:pt>
                <c:pt idx="19">
                  <c:v>0.12</c:v>
                </c:pt>
                <c:pt idx="20">
                  <c:v>0.12</c:v>
                </c:pt>
              </c:numCache>
            </c:numRef>
          </c:val>
          <c:smooth val="0"/>
          <c:extLst>
            <c:ext xmlns:c16="http://schemas.microsoft.com/office/drawing/2014/chart" uri="{C3380CC4-5D6E-409C-BE32-E72D297353CC}">
              <c16:uniqueId val="{00000003-E081-456A-BB07-BC5D33A49297}"/>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Standardwerte!$Q$99</c:f>
          <c:strCache>
            <c:ptCount val="1"/>
            <c:pt idx="0">
              <c:v>Holz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Standardwerte!$Q$100</c:f>
              <c:strCache>
                <c:ptCount val="1"/>
                <c:pt idx="0">
                  <c:v>Pellets</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Standardwerte!$R$100:$AL$100</c:f>
              <c:numCache>
                <c:formatCode>General</c:formatCode>
                <c:ptCount val="21"/>
                <c:pt idx="0" formatCode="0.000">
                  <c:v>6.4000000000000001E-2</c:v>
                </c:pt>
                <c:pt idx="1">
                  <c:v>6.4000000000000001E-2</c:v>
                </c:pt>
                <c:pt idx="2">
                  <c:v>6.4000000000000001E-2</c:v>
                </c:pt>
                <c:pt idx="3">
                  <c:v>6.4000000000000001E-2</c:v>
                </c:pt>
                <c:pt idx="4">
                  <c:v>6.4000000000000001E-2</c:v>
                </c:pt>
                <c:pt idx="5">
                  <c:v>6.4000000000000001E-2</c:v>
                </c:pt>
                <c:pt idx="6">
                  <c:v>6.4000000000000001E-2</c:v>
                </c:pt>
                <c:pt idx="7">
                  <c:v>6.4000000000000001E-2</c:v>
                </c:pt>
                <c:pt idx="8">
                  <c:v>6.4000000000000001E-2</c:v>
                </c:pt>
                <c:pt idx="9">
                  <c:v>6.4000000000000001E-2</c:v>
                </c:pt>
                <c:pt idx="10">
                  <c:v>6.4000000000000001E-2</c:v>
                </c:pt>
                <c:pt idx="11">
                  <c:v>6.4000000000000001E-2</c:v>
                </c:pt>
                <c:pt idx="12">
                  <c:v>6.4000000000000001E-2</c:v>
                </c:pt>
                <c:pt idx="13">
                  <c:v>6.4000000000000001E-2</c:v>
                </c:pt>
                <c:pt idx="14">
                  <c:v>6.4000000000000001E-2</c:v>
                </c:pt>
                <c:pt idx="15">
                  <c:v>6.4000000000000001E-2</c:v>
                </c:pt>
                <c:pt idx="16">
                  <c:v>6.4000000000000001E-2</c:v>
                </c:pt>
                <c:pt idx="17">
                  <c:v>6.4000000000000001E-2</c:v>
                </c:pt>
                <c:pt idx="18">
                  <c:v>6.4000000000000001E-2</c:v>
                </c:pt>
                <c:pt idx="19">
                  <c:v>6.4000000000000001E-2</c:v>
                </c:pt>
                <c:pt idx="20">
                  <c:v>6.4000000000000001E-2</c:v>
                </c:pt>
              </c:numCache>
            </c:numRef>
          </c:val>
          <c:smooth val="0"/>
          <c:extLst>
            <c:ext xmlns:c16="http://schemas.microsoft.com/office/drawing/2014/chart" uri="{C3380CC4-5D6E-409C-BE32-E72D297353CC}">
              <c16:uniqueId val="{00000000-FA5D-4271-8496-97FBB665F211}"/>
            </c:ext>
          </c:extLst>
        </c:ser>
        <c:ser>
          <c:idx val="1"/>
          <c:order val="1"/>
          <c:tx>
            <c:strRef>
              <c:f>Standardwerte!$Q$102</c:f>
              <c:strCache>
                <c:ptCount val="1"/>
                <c:pt idx="0">
                  <c:v>Hackschnitzel</c:v>
                </c:pt>
              </c:strCache>
            </c:strRef>
          </c:tx>
          <c:spPr>
            <a:ln w="28575" cap="rnd">
              <a:solidFill>
                <a:schemeClr val="accent2"/>
              </a:solidFill>
              <a:round/>
            </a:ln>
            <a:effectLst/>
          </c:spPr>
          <c:marker>
            <c:symbol val="none"/>
          </c:marker>
          <c:val>
            <c:numRef>
              <c:f>Standardwerte!$R$103:$AL$103</c:f>
              <c:numCache>
                <c:formatCode>General</c:formatCode>
                <c:ptCount val="21"/>
                <c:pt idx="0" formatCode="0.000">
                  <c:v>4.9000000000000002E-2</c:v>
                </c:pt>
                <c:pt idx="1">
                  <c:v>4.9000000000000002E-2</c:v>
                </c:pt>
                <c:pt idx="2">
                  <c:v>4.9000000000000002E-2</c:v>
                </c:pt>
                <c:pt idx="3">
                  <c:v>4.9000000000000002E-2</c:v>
                </c:pt>
                <c:pt idx="4">
                  <c:v>4.9000000000000002E-2</c:v>
                </c:pt>
                <c:pt idx="5">
                  <c:v>4.9000000000000002E-2</c:v>
                </c:pt>
                <c:pt idx="6">
                  <c:v>4.9000000000000002E-2</c:v>
                </c:pt>
                <c:pt idx="7">
                  <c:v>4.9000000000000002E-2</c:v>
                </c:pt>
                <c:pt idx="8">
                  <c:v>4.9000000000000002E-2</c:v>
                </c:pt>
                <c:pt idx="9">
                  <c:v>4.9000000000000002E-2</c:v>
                </c:pt>
                <c:pt idx="10">
                  <c:v>4.9000000000000002E-2</c:v>
                </c:pt>
                <c:pt idx="11">
                  <c:v>4.9000000000000002E-2</c:v>
                </c:pt>
                <c:pt idx="12">
                  <c:v>4.9000000000000002E-2</c:v>
                </c:pt>
                <c:pt idx="13">
                  <c:v>4.9000000000000002E-2</c:v>
                </c:pt>
                <c:pt idx="14">
                  <c:v>4.9000000000000002E-2</c:v>
                </c:pt>
                <c:pt idx="15">
                  <c:v>4.9000000000000002E-2</c:v>
                </c:pt>
                <c:pt idx="16">
                  <c:v>4.9000000000000002E-2</c:v>
                </c:pt>
                <c:pt idx="17">
                  <c:v>4.9000000000000002E-2</c:v>
                </c:pt>
                <c:pt idx="18">
                  <c:v>4.9000000000000002E-2</c:v>
                </c:pt>
                <c:pt idx="19">
                  <c:v>4.9000000000000002E-2</c:v>
                </c:pt>
                <c:pt idx="20">
                  <c:v>4.9000000000000002E-2</c:v>
                </c:pt>
              </c:numCache>
            </c:numRef>
          </c:val>
          <c:smooth val="0"/>
          <c:extLst>
            <c:ext xmlns:c16="http://schemas.microsoft.com/office/drawing/2014/chart" uri="{C3380CC4-5D6E-409C-BE32-E72D297353CC}">
              <c16:uniqueId val="{00000001-FA5D-4271-8496-97FBB665F211}"/>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Resultate!$Z$7</c:f>
          <c:strCache>
            <c:ptCount val="1"/>
            <c:pt idx="0">
              <c:v>Treibhausgas-Emissionen (kg/m² EBF)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0079930149181878E-2"/>
          <c:y val="0.31105270410272373"/>
          <c:w val="0.90163249660647726"/>
          <c:h val="0.54257343547188042"/>
        </c:manualLayout>
      </c:layout>
      <c:barChart>
        <c:barDir val="col"/>
        <c:grouping val="stacked"/>
        <c:varyColors val="0"/>
        <c:ser>
          <c:idx val="0"/>
          <c:order val="0"/>
          <c:tx>
            <c:strRef>
              <c:f>Resultate!$Z$9</c:f>
              <c:strCache>
                <c:ptCount val="1"/>
                <c:pt idx="0">
                  <c:v>Wärmeerzeugung 1</c:v>
                </c:pt>
              </c:strCache>
            </c:strRef>
          </c:tx>
          <c:spPr>
            <a:solidFill>
              <a:schemeClr val="accent1"/>
            </a:solidFill>
            <a:ln>
              <a:noFill/>
            </a:ln>
            <a:effectLst/>
          </c:spPr>
          <c:invertIfNegative val="0"/>
          <c:cat>
            <c:multiLvlStrRef>
              <c:f>Resultate!$AA$7:$AH$8</c:f>
              <c:multiLvlStrCache>
                <c:ptCount val="8"/>
                <c:lvl>
                  <c:pt idx="0">
                    <c:v>KBOB</c:v>
                  </c:pt>
                  <c:pt idx="1">
                    <c:v>Vollzug</c:v>
                  </c:pt>
                  <c:pt idx="2">
                    <c:v>KBOB</c:v>
                  </c:pt>
                  <c:pt idx="3">
                    <c:v>Vollzug</c:v>
                  </c:pt>
                  <c:pt idx="4">
                    <c:v>KBOB</c:v>
                  </c:pt>
                  <c:pt idx="5">
                    <c:v>Vollzug</c:v>
                  </c:pt>
                  <c:pt idx="6">
                    <c:v>KBOB</c:v>
                  </c:pt>
                  <c:pt idx="7">
                    <c:v>Vollzug</c:v>
                  </c:pt>
                </c:lvl>
                <c:lvl>
                  <c:pt idx="0">
                    <c:v>Variante A</c:v>
                  </c:pt>
                  <c:pt idx="2">
                    <c:v>Variante B</c:v>
                  </c:pt>
                  <c:pt idx="4">
                    <c:v>Variante C</c:v>
                  </c:pt>
                  <c:pt idx="6">
                    <c:v>Variante D</c:v>
                  </c:pt>
                </c:lvl>
              </c:multiLvlStrCache>
            </c:multiLvlStrRef>
          </c:cat>
          <c:val>
            <c:numRef>
              <c:f>Resultate!$AA$9:$AH$9</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FBC-4CE3-800F-4FAE0BA37364}"/>
            </c:ext>
          </c:extLst>
        </c:ser>
        <c:ser>
          <c:idx val="1"/>
          <c:order val="1"/>
          <c:tx>
            <c:strRef>
              <c:f>Resultate!$Z$10</c:f>
              <c:strCache>
                <c:ptCount val="1"/>
                <c:pt idx="0">
                  <c:v>Wärmeerzeugung 2</c:v>
                </c:pt>
              </c:strCache>
            </c:strRef>
          </c:tx>
          <c:spPr>
            <a:solidFill>
              <a:schemeClr val="accent2"/>
            </a:solidFill>
            <a:ln>
              <a:noFill/>
            </a:ln>
            <a:effectLst/>
          </c:spPr>
          <c:invertIfNegative val="0"/>
          <c:cat>
            <c:multiLvlStrRef>
              <c:f>Resultate!$AA$7:$AH$8</c:f>
              <c:multiLvlStrCache>
                <c:ptCount val="8"/>
                <c:lvl>
                  <c:pt idx="0">
                    <c:v>KBOB</c:v>
                  </c:pt>
                  <c:pt idx="1">
                    <c:v>Vollzug</c:v>
                  </c:pt>
                  <c:pt idx="2">
                    <c:v>KBOB</c:v>
                  </c:pt>
                  <c:pt idx="3">
                    <c:v>Vollzug</c:v>
                  </c:pt>
                  <c:pt idx="4">
                    <c:v>KBOB</c:v>
                  </c:pt>
                  <c:pt idx="5">
                    <c:v>Vollzug</c:v>
                  </c:pt>
                  <c:pt idx="6">
                    <c:v>KBOB</c:v>
                  </c:pt>
                  <c:pt idx="7">
                    <c:v>Vollzug</c:v>
                  </c:pt>
                </c:lvl>
                <c:lvl>
                  <c:pt idx="0">
                    <c:v>Variante A</c:v>
                  </c:pt>
                  <c:pt idx="2">
                    <c:v>Variante B</c:v>
                  </c:pt>
                  <c:pt idx="4">
                    <c:v>Variante C</c:v>
                  </c:pt>
                  <c:pt idx="6">
                    <c:v>Variante D</c:v>
                  </c:pt>
                </c:lvl>
              </c:multiLvlStrCache>
            </c:multiLvlStrRef>
          </c:cat>
          <c:val>
            <c:numRef>
              <c:f>Resultate!$AA$10:$AH$10</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5FBC-4CE3-800F-4FAE0BA37364}"/>
            </c:ext>
          </c:extLst>
        </c:ser>
        <c:dLbls>
          <c:showLegendKey val="0"/>
          <c:showVal val="0"/>
          <c:showCatName val="0"/>
          <c:showSerName val="0"/>
          <c:showPercent val="0"/>
          <c:showBubbleSize val="0"/>
        </c:dLbls>
        <c:gapWidth val="219"/>
        <c:overlap val="100"/>
        <c:axId val="109265199"/>
        <c:axId val="109267279"/>
      </c:barChart>
      <c:catAx>
        <c:axId val="109265199"/>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9267279"/>
        <c:crosses val="max"/>
        <c:auto val="1"/>
        <c:lblAlgn val="ctr"/>
        <c:lblOffset val="100"/>
        <c:noMultiLvlLbl val="0"/>
      </c:catAx>
      <c:valAx>
        <c:axId val="10926727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926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Resultate!$Z$12</c:f>
          <c:strCache>
            <c:ptCount val="1"/>
            <c:pt idx="0">
              <c:v>Gestehungskosten in Fr./m² EBF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190211462568707"/>
          <c:y val="0.19948703703703705"/>
          <c:w val="0.85985251202923041"/>
          <c:h val="0.72535802469135813"/>
        </c:manualLayout>
      </c:layout>
      <c:barChart>
        <c:barDir val="col"/>
        <c:grouping val="stacked"/>
        <c:varyColors val="0"/>
        <c:ser>
          <c:idx val="0"/>
          <c:order val="0"/>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Resultate!$AA$13:$AD$13</c:f>
              <c:numCache>
                <c:formatCode>0.00</c:formatCode>
                <c:ptCount val="4"/>
                <c:pt idx="0">
                  <c:v>0</c:v>
                </c:pt>
                <c:pt idx="1">
                  <c:v>0</c:v>
                </c:pt>
                <c:pt idx="2">
                  <c:v>0</c:v>
                </c:pt>
                <c:pt idx="3">
                  <c:v>0</c:v>
                </c:pt>
              </c:numCache>
            </c:numRef>
          </c:val>
          <c:extLst>
            <c:ext xmlns:c16="http://schemas.microsoft.com/office/drawing/2014/chart" uri="{C3380CC4-5D6E-409C-BE32-E72D297353CC}">
              <c16:uniqueId val="{00000000-4D0F-4AEA-9B6D-0874CE6E2E1A}"/>
            </c:ext>
          </c:extLst>
        </c:ser>
        <c:dLbls>
          <c:showLegendKey val="0"/>
          <c:showVal val="0"/>
          <c:showCatName val="0"/>
          <c:showSerName val="0"/>
          <c:showPercent val="0"/>
          <c:showBubbleSize val="0"/>
        </c:dLbls>
        <c:gapWidth val="150"/>
        <c:overlap val="100"/>
        <c:axId val="2113444511"/>
        <c:axId val="2113448255"/>
      </c:barChart>
      <c:catAx>
        <c:axId val="2113444511"/>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8255"/>
        <c:crosses val="max"/>
        <c:auto val="1"/>
        <c:lblAlgn val="ctr"/>
        <c:lblOffset val="100"/>
        <c:noMultiLvlLbl val="0"/>
      </c:catAx>
      <c:valAx>
        <c:axId val="211344825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451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Resultate!$Z$15</c:f>
          <c:strCache>
            <c:ptCount val="1"/>
            <c:pt idx="0">
              <c:v>Lebenszykluskosten in Fr.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229759093143675"/>
          <c:y val="0.18816107830504389"/>
          <c:w val="0.85601026545952463"/>
          <c:h val="0.66546525389423983"/>
        </c:manualLayout>
      </c:layout>
      <c:barChart>
        <c:barDir val="col"/>
        <c:grouping val="stacked"/>
        <c:varyColors val="0"/>
        <c:ser>
          <c:idx val="0"/>
          <c:order val="0"/>
          <c:tx>
            <c:strRef>
              <c:f>Resultate!$Z$16</c:f>
              <c:strCache>
                <c:ptCount val="1"/>
                <c:pt idx="0">
                  <c:v>Investitionskosten</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Resultate!$AA$16:$AD$16</c:f>
              <c:numCache>
                <c:formatCode>#,##0</c:formatCode>
                <c:ptCount val="4"/>
                <c:pt idx="0">
                  <c:v>0</c:v>
                </c:pt>
                <c:pt idx="1">
                  <c:v>0</c:v>
                </c:pt>
                <c:pt idx="2">
                  <c:v>0</c:v>
                </c:pt>
                <c:pt idx="3">
                  <c:v>0</c:v>
                </c:pt>
              </c:numCache>
            </c:numRef>
          </c:val>
          <c:extLst>
            <c:ext xmlns:c16="http://schemas.microsoft.com/office/drawing/2014/chart" uri="{C3380CC4-5D6E-409C-BE32-E72D297353CC}">
              <c16:uniqueId val="{00000000-1D5C-4615-A74E-8005AAAA5CA2}"/>
            </c:ext>
          </c:extLst>
        </c:ser>
        <c:ser>
          <c:idx val="1"/>
          <c:order val="1"/>
          <c:tx>
            <c:strRef>
              <c:f>Resultate!$Z$17</c:f>
              <c:strCache>
                <c:ptCount val="1"/>
                <c:pt idx="0">
                  <c:v>Unterhaltskosten</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Resultate!$AA$17:$AD$17</c:f>
              <c:numCache>
                <c:formatCode>#,##0</c:formatCode>
                <c:ptCount val="4"/>
                <c:pt idx="0">
                  <c:v>0</c:v>
                </c:pt>
                <c:pt idx="1">
                  <c:v>0</c:v>
                </c:pt>
                <c:pt idx="2">
                  <c:v>0</c:v>
                </c:pt>
                <c:pt idx="3">
                  <c:v>0</c:v>
                </c:pt>
              </c:numCache>
            </c:numRef>
          </c:val>
          <c:extLst>
            <c:ext xmlns:c16="http://schemas.microsoft.com/office/drawing/2014/chart" uri="{C3380CC4-5D6E-409C-BE32-E72D297353CC}">
              <c16:uniqueId val="{00000001-1D5C-4615-A74E-8005AAAA5CA2}"/>
            </c:ext>
          </c:extLst>
        </c:ser>
        <c:ser>
          <c:idx val="2"/>
          <c:order val="2"/>
          <c:tx>
            <c:strRef>
              <c:f>Resultate!$Z$18</c:f>
              <c:strCache>
                <c:ptCount val="1"/>
                <c:pt idx="0">
                  <c:v>Energiekosten</c:v>
                </c:pt>
              </c:strCache>
            </c:strRef>
          </c:tx>
          <c:spPr>
            <a:solidFill>
              <a:schemeClr val="accent3"/>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Resultate!$AA$18:$AD$18</c:f>
              <c:numCache>
                <c:formatCode>#,##0</c:formatCode>
                <c:ptCount val="4"/>
                <c:pt idx="0">
                  <c:v>0</c:v>
                </c:pt>
                <c:pt idx="1">
                  <c:v>0</c:v>
                </c:pt>
                <c:pt idx="2">
                  <c:v>0</c:v>
                </c:pt>
                <c:pt idx="3">
                  <c:v>0</c:v>
                </c:pt>
              </c:numCache>
            </c:numRef>
          </c:val>
          <c:extLst>
            <c:ext xmlns:c16="http://schemas.microsoft.com/office/drawing/2014/chart" uri="{C3380CC4-5D6E-409C-BE32-E72D297353CC}">
              <c16:uniqueId val="{00000002-1D5C-4615-A74E-8005AAAA5CA2}"/>
            </c:ext>
          </c:extLst>
        </c:ser>
        <c:dLbls>
          <c:showLegendKey val="0"/>
          <c:showVal val="0"/>
          <c:showCatName val="0"/>
          <c:showSerName val="0"/>
          <c:showPercent val="0"/>
          <c:showBubbleSize val="0"/>
        </c:dLbls>
        <c:gapWidth val="150"/>
        <c:overlap val="100"/>
        <c:axId val="116443007"/>
        <c:axId val="116447583"/>
      </c:barChart>
      <c:catAx>
        <c:axId val="116443007"/>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447583"/>
        <c:crosses val="max"/>
        <c:auto val="1"/>
        <c:lblAlgn val="ctr"/>
        <c:lblOffset val="100"/>
        <c:noMultiLvlLbl val="0"/>
      </c:catAx>
      <c:valAx>
        <c:axId val="1164475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443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Resultate!$Z$20</c:f>
          <c:strCache>
            <c:ptCount val="1"/>
            <c:pt idx="0">
              <c:v>Jährliche Kosten und Einnahmen in Fr./a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2018877287607159E-2"/>
          <c:y val="0.19861599300412477"/>
          <c:w val="0.88424775327217253"/>
          <c:h val="0.61308445352463647"/>
        </c:manualLayout>
      </c:layout>
      <c:barChart>
        <c:barDir val="col"/>
        <c:grouping val="stacked"/>
        <c:varyColors val="0"/>
        <c:ser>
          <c:idx val="0"/>
          <c:order val="0"/>
          <c:tx>
            <c:strRef>
              <c:f>Resultate!$Z$21</c:f>
              <c:strCache>
                <c:ptCount val="1"/>
                <c:pt idx="0">
                  <c:v>Investitionskosten</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Resultate!$AA$21:$AD$21</c:f>
              <c:numCache>
                <c:formatCode>#,##0</c:formatCode>
                <c:ptCount val="4"/>
                <c:pt idx="0">
                  <c:v>0</c:v>
                </c:pt>
                <c:pt idx="1">
                  <c:v>0</c:v>
                </c:pt>
                <c:pt idx="2">
                  <c:v>0</c:v>
                </c:pt>
                <c:pt idx="3">
                  <c:v>0</c:v>
                </c:pt>
              </c:numCache>
            </c:numRef>
          </c:val>
          <c:extLst>
            <c:ext xmlns:c16="http://schemas.microsoft.com/office/drawing/2014/chart" uri="{C3380CC4-5D6E-409C-BE32-E72D297353CC}">
              <c16:uniqueId val="{00000000-2E92-4917-80EB-4767544F7702}"/>
            </c:ext>
          </c:extLst>
        </c:ser>
        <c:ser>
          <c:idx val="1"/>
          <c:order val="1"/>
          <c:tx>
            <c:strRef>
              <c:f>Resultate!$Z$22</c:f>
              <c:strCache>
                <c:ptCount val="1"/>
                <c:pt idx="0">
                  <c:v>Unterhaltskosten</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Resultate!$AA$22:$AD$22</c:f>
              <c:numCache>
                <c:formatCode>#,##0</c:formatCode>
                <c:ptCount val="4"/>
                <c:pt idx="0">
                  <c:v>0</c:v>
                </c:pt>
                <c:pt idx="1">
                  <c:v>0</c:v>
                </c:pt>
                <c:pt idx="2">
                  <c:v>0</c:v>
                </c:pt>
                <c:pt idx="3">
                  <c:v>0</c:v>
                </c:pt>
              </c:numCache>
            </c:numRef>
          </c:val>
          <c:extLst>
            <c:ext xmlns:c16="http://schemas.microsoft.com/office/drawing/2014/chart" uri="{C3380CC4-5D6E-409C-BE32-E72D297353CC}">
              <c16:uniqueId val="{00000001-2E92-4917-80EB-4767544F7702}"/>
            </c:ext>
          </c:extLst>
        </c:ser>
        <c:ser>
          <c:idx val="2"/>
          <c:order val="2"/>
          <c:tx>
            <c:strRef>
              <c:f>Resultate!$Z$23</c:f>
              <c:strCache>
                <c:ptCount val="1"/>
                <c:pt idx="0">
                  <c:v>Energiekosten</c:v>
                </c:pt>
              </c:strCache>
            </c:strRef>
          </c:tx>
          <c:spPr>
            <a:solidFill>
              <a:schemeClr val="accent3"/>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Resultate!$AA$23:$AD$23</c:f>
              <c:numCache>
                <c:formatCode>#,##0</c:formatCode>
                <c:ptCount val="4"/>
                <c:pt idx="0">
                  <c:v>0</c:v>
                </c:pt>
                <c:pt idx="1">
                  <c:v>0</c:v>
                </c:pt>
                <c:pt idx="2">
                  <c:v>0</c:v>
                </c:pt>
                <c:pt idx="3">
                  <c:v>0</c:v>
                </c:pt>
              </c:numCache>
            </c:numRef>
          </c:val>
          <c:extLst>
            <c:ext xmlns:c16="http://schemas.microsoft.com/office/drawing/2014/chart" uri="{C3380CC4-5D6E-409C-BE32-E72D297353CC}">
              <c16:uniqueId val="{00000002-2E92-4917-80EB-4767544F7702}"/>
            </c:ext>
          </c:extLst>
        </c:ser>
        <c:ser>
          <c:idx val="3"/>
          <c:order val="3"/>
          <c:tx>
            <c:strRef>
              <c:f>Resultate!$Z$24</c:f>
              <c:strCache>
                <c:ptCount val="1"/>
                <c:pt idx="0">
                  <c:v>Gewinn Verkauf/Eigennutzung Strom</c:v>
                </c:pt>
              </c:strCache>
            </c:strRef>
          </c:tx>
          <c:spPr>
            <a:solidFill>
              <a:schemeClr val="accent4"/>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Resultate!$AA$24:$AD$24</c:f>
              <c:numCache>
                <c:formatCode>#,##0</c:formatCode>
                <c:ptCount val="4"/>
                <c:pt idx="0">
                  <c:v>0</c:v>
                </c:pt>
                <c:pt idx="1">
                  <c:v>0</c:v>
                </c:pt>
                <c:pt idx="2">
                  <c:v>0</c:v>
                </c:pt>
                <c:pt idx="3">
                  <c:v>0</c:v>
                </c:pt>
              </c:numCache>
            </c:numRef>
          </c:val>
          <c:extLst>
            <c:ext xmlns:c16="http://schemas.microsoft.com/office/drawing/2014/chart" uri="{C3380CC4-5D6E-409C-BE32-E72D297353CC}">
              <c16:uniqueId val="{00000003-2E92-4917-80EB-4767544F7702}"/>
            </c:ext>
          </c:extLst>
        </c:ser>
        <c:dLbls>
          <c:showLegendKey val="0"/>
          <c:showVal val="0"/>
          <c:showCatName val="0"/>
          <c:showSerName val="0"/>
          <c:showPercent val="0"/>
          <c:showBubbleSize val="0"/>
        </c:dLbls>
        <c:gapWidth val="150"/>
        <c:overlap val="100"/>
        <c:axId val="2113436607"/>
        <c:axId val="2113438271"/>
      </c:barChart>
      <c:catAx>
        <c:axId val="2113436607"/>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38271"/>
        <c:crosses val="max"/>
        <c:auto val="1"/>
        <c:lblAlgn val="ctr"/>
        <c:lblOffset val="100"/>
        <c:noMultiLvlLbl val="0"/>
      </c:catAx>
      <c:valAx>
        <c:axId val="2113438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36607"/>
        <c:crosses val="autoZero"/>
        <c:crossBetween val="between"/>
      </c:valAx>
      <c:spPr>
        <a:noFill/>
        <a:ln>
          <a:noFill/>
        </a:ln>
        <a:effectLst/>
      </c:spPr>
    </c:plotArea>
    <c:legend>
      <c:legendPos val="b"/>
      <c:layout>
        <c:manualLayout>
          <c:xMode val="edge"/>
          <c:yMode val="edge"/>
          <c:x val="1.0214013153077515E-2"/>
          <c:y val="0.87293560375935642"/>
          <c:w val="0.97957180380573161"/>
          <c:h val="0.10257033363999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Resultate!$Z$27</c:f>
          <c:strCache>
            <c:ptCount val="1"/>
            <c:pt idx="0">
              <c:v>Investitionskosten in Fr.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Resultate!$Z$28</c:f>
              <c:strCache>
                <c:ptCount val="1"/>
                <c:pt idx="0">
                  <c:v>Wärmeerzeugung 1</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Resultate!$AA$28:$AD$28</c:f>
              <c:numCache>
                <c:formatCode>#,##0</c:formatCode>
                <c:ptCount val="4"/>
                <c:pt idx="0">
                  <c:v>0</c:v>
                </c:pt>
                <c:pt idx="1">
                  <c:v>0</c:v>
                </c:pt>
                <c:pt idx="2">
                  <c:v>0</c:v>
                </c:pt>
                <c:pt idx="3">
                  <c:v>0</c:v>
                </c:pt>
              </c:numCache>
            </c:numRef>
          </c:val>
          <c:extLst>
            <c:ext xmlns:c16="http://schemas.microsoft.com/office/drawing/2014/chart" uri="{C3380CC4-5D6E-409C-BE32-E72D297353CC}">
              <c16:uniqueId val="{00000000-CA60-4750-AF7F-3A5EEBD3DECA}"/>
            </c:ext>
          </c:extLst>
        </c:ser>
        <c:ser>
          <c:idx val="1"/>
          <c:order val="1"/>
          <c:tx>
            <c:strRef>
              <c:f>Resultate!$Z$29</c:f>
              <c:strCache>
                <c:ptCount val="1"/>
                <c:pt idx="0">
                  <c:v>Wärmeerzeugung 2</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Resultate!$AA$29:$AD$29</c:f>
              <c:numCache>
                <c:formatCode>#,##0</c:formatCode>
                <c:ptCount val="4"/>
                <c:pt idx="0">
                  <c:v>0</c:v>
                </c:pt>
                <c:pt idx="1">
                  <c:v>0</c:v>
                </c:pt>
                <c:pt idx="2">
                  <c:v>0</c:v>
                </c:pt>
                <c:pt idx="3">
                  <c:v>0</c:v>
                </c:pt>
              </c:numCache>
            </c:numRef>
          </c:val>
          <c:extLst>
            <c:ext xmlns:c16="http://schemas.microsoft.com/office/drawing/2014/chart" uri="{C3380CC4-5D6E-409C-BE32-E72D297353CC}">
              <c16:uniqueId val="{00000001-CA60-4750-AF7F-3A5EEBD3DECA}"/>
            </c:ext>
          </c:extLst>
        </c:ser>
        <c:dLbls>
          <c:showLegendKey val="0"/>
          <c:showVal val="0"/>
          <c:showCatName val="0"/>
          <c:showSerName val="0"/>
          <c:showPercent val="0"/>
          <c:showBubbleSize val="0"/>
        </c:dLbls>
        <c:gapWidth val="150"/>
        <c:overlap val="100"/>
        <c:axId val="574525999"/>
        <c:axId val="574531407"/>
      </c:barChart>
      <c:catAx>
        <c:axId val="574525999"/>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31407"/>
        <c:crosses val="max"/>
        <c:auto val="1"/>
        <c:lblAlgn val="ctr"/>
        <c:lblOffset val="100"/>
        <c:noMultiLvlLbl val="0"/>
      </c:catAx>
      <c:valAx>
        <c:axId val="5745314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Resultate!$Z$31</c:f>
          <c:strCache>
            <c:ptCount val="1"/>
            <c:pt idx="0">
              <c:v>Investitionskosten in Fr./m² EBF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6.0925104394980174E-2"/>
          <c:y val="0.19705997166692901"/>
          <c:w val="0.91326825330410921"/>
          <c:h val="0.66750354163387371"/>
        </c:manualLayout>
      </c:layout>
      <c:barChart>
        <c:barDir val="col"/>
        <c:grouping val="stacked"/>
        <c:varyColors val="0"/>
        <c:ser>
          <c:idx val="0"/>
          <c:order val="0"/>
          <c:tx>
            <c:strRef>
              <c:f>Resultate!$Z$32</c:f>
              <c:strCache>
                <c:ptCount val="1"/>
                <c:pt idx="0">
                  <c:v>Wärmeerzeugung 1</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Resultate!$AA$32:$AD$32</c:f>
              <c:numCache>
                <c:formatCode>#,##0</c:formatCode>
                <c:ptCount val="4"/>
                <c:pt idx="0">
                  <c:v>0</c:v>
                </c:pt>
                <c:pt idx="1">
                  <c:v>0</c:v>
                </c:pt>
                <c:pt idx="2">
                  <c:v>0</c:v>
                </c:pt>
                <c:pt idx="3">
                  <c:v>0</c:v>
                </c:pt>
              </c:numCache>
            </c:numRef>
          </c:val>
          <c:extLst>
            <c:ext xmlns:c16="http://schemas.microsoft.com/office/drawing/2014/chart" uri="{C3380CC4-5D6E-409C-BE32-E72D297353CC}">
              <c16:uniqueId val="{00000000-C867-441F-BDEF-47D80200E944}"/>
            </c:ext>
          </c:extLst>
        </c:ser>
        <c:ser>
          <c:idx val="1"/>
          <c:order val="1"/>
          <c:tx>
            <c:strRef>
              <c:f>Resultate!$Z$33</c:f>
              <c:strCache>
                <c:ptCount val="1"/>
                <c:pt idx="0">
                  <c:v>Wärmeerzeugung 2</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Resultate!$AA$33:$AD$33</c:f>
              <c:numCache>
                <c:formatCode>#,##0</c:formatCode>
                <c:ptCount val="4"/>
                <c:pt idx="0">
                  <c:v>0</c:v>
                </c:pt>
                <c:pt idx="1">
                  <c:v>0</c:v>
                </c:pt>
                <c:pt idx="2">
                  <c:v>0</c:v>
                </c:pt>
                <c:pt idx="3">
                  <c:v>0</c:v>
                </c:pt>
              </c:numCache>
            </c:numRef>
          </c:val>
          <c:extLst>
            <c:ext xmlns:c16="http://schemas.microsoft.com/office/drawing/2014/chart" uri="{C3380CC4-5D6E-409C-BE32-E72D297353CC}">
              <c16:uniqueId val="{00000001-C867-441F-BDEF-47D80200E944}"/>
            </c:ext>
          </c:extLst>
        </c:ser>
        <c:dLbls>
          <c:showLegendKey val="0"/>
          <c:showVal val="0"/>
          <c:showCatName val="0"/>
          <c:showSerName val="0"/>
          <c:showPercent val="0"/>
          <c:showBubbleSize val="0"/>
        </c:dLbls>
        <c:gapWidth val="150"/>
        <c:overlap val="100"/>
        <c:axId val="574525999"/>
        <c:axId val="574531407"/>
      </c:barChart>
      <c:catAx>
        <c:axId val="574525999"/>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31407"/>
        <c:crosses val="max"/>
        <c:auto val="1"/>
        <c:lblAlgn val="ctr"/>
        <c:lblOffset val="100"/>
        <c:noMultiLvlLbl val="0"/>
      </c:catAx>
      <c:valAx>
        <c:axId val="5745314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Resultate!$Z$35</c:f>
          <c:strCache>
            <c:ptCount val="1"/>
            <c:pt idx="0">
              <c:v>Jährliche Nettokosten in Fr./a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190211462568707"/>
          <c:y val="0.18275909513230901"/>
          <c:w val="0.85985251202923041"/>
          <c:h val="0.74208642713922857"/>
        </c:manualLayout>
      </c:layout>
      <c:barChart>
        <c:barDir val="col"/>
        <c:grouping val="stacked"/>
        <c:varyColors val="0"/>
        <c:ser>
          <c:idx val="0"/>
          <c:order val="0"/>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Resultate!$AA$36:$AD$36</c:f>
              <c:numCache>
                <c:formatCode>#,##0</c:formatCode>
                <c:ptCount val="4"/>
                <c:pt idx="0">
                  <c:v>0</c:v>
                </c:pt>
                <c:pt idx="1">
                  <c:v>0</c:v>
                </c:pt>
                <c:pt idx="2">
                  <c:v>0</c:v>
                </c:pt>
                <c:pt idx="3">
                  <c:v>0</c:v>
                </c:pt>
              </c:numCache>
            </c:numRef>
          </c:val>
          <c:extLst>
            <c:ext xmlns:c16="http://schemas.microsoft.com/office/drawing/2014/chart" uri="{C3380CC4-5D6E-409C-BE32-E72D297353CC}">
              <c16:uniqueId val="{00000000-F7E6-4E0F-BAA1-6E6933A2A8E3}"/>
            </c:ext>
          </c:extLst>
        </c:ser>
        <c:dLbls>
          <c:showLegendKey val="0"/>
          <c:showVal val="0"/>
          <c:showCatName val="0"/>
          <c:showSerName val="0"/>
          <c:showPercent val="0"/>
          <c:showBubbleSize val="0"/>
        </c:dLbls>
        <c:gapWidth val="150"/>
        <c:overlap val="100"/>
        <c:axId val="2113444511"/>
        <c:axId val="2113448255"/>
      </c:barChart>
      <c:catAx>
        <c:axId val="2113444511"/>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8255"/>
        <c:crosses val="max"/>
        <c:auto val="1"/>
        <c:lblAlgn val="ctr"/>
        <c:lblOffset val="100"/>
        <c:noMultiLvlLbl val="0"/>
      </c:catAx>
      <c:valAx>
        <c:axId val="211344825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451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Standardwerte!$Q$84</c:f>
          <c:strCache>
            <c:ptCount val="1"/>
            <c:pt idx="0">
              <c:v>Öl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Standardwerte!$Q$85</c:f>
              <c:strCache>
                <c:ptCount val="1"/>
                <c:pt idx="0">
                  <c:v>800 - 1500 l</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Standardwerte!$R$85:$AL$85</c:f>
              <c:numCache>
                <c:formatCode>General</c:formatCode>
                <c:ptCount val="21"/>
                <c:pt idx="0" formatCode="0.000">
                  <c:v>0.106</c:v>
                </c:pt>
                <c:pt idx="1">
                  <c:v>0.106</c:v>
                </c:pt>
                <c:pt idx="2">
                  <c:v>0.106</c:v>
                </c:pt>
                <c:pt idx="3">
                  <c:v>0.106</c:v>
                </c:pt>
                <c:pt idx="4">
                  <c:v>0.106</c:v>
                </c:pt>
                <c:pt idx="5">
                  <c:v>0.106</c:v>
                </c:pt>
                <c:pt idx="6">
                  <c:v>0.106</c:v>
                </c:pt>
                <c:pt idx="7">
                  <c:v>0.106</c:v>
                </c:pt>
                <c:pt idx="8">
                  <c:v>0.106</c:v>
                </c:pt>
                <c:pt idx="9">
                  <c:v>0.106</c:v>
                </c:pt>
                <c:pt idx="10">
                  <c:v>0.106</c:v>
                </c:pt>
                <c:pt idx="11">
                  <c:v>0.106</c:v>
                </c:pt>
                <c:pt idx="12">
                  <c:v>0.106</c:v>
                </c:pt>
                <c:pt idx="13">
                  <c:v>0.106</c:v>
                </c:pt>
                <c:pt idx="14">
                  <c:v>0.106</c:v>
                </c:pt>
                <c:pt idx="15">
                  <c:v>0.106</c:v>
                </c:pt>
                <c:pt idx="16">
                  <c:v>0.106</c:v>
                </c:pt>
                <c:pt idx="17">
                  <c:v>0.106</c:v>
                </c:pt>
                <c:pt idx="18">
                  <c:v>0.106</c:v>
                </c:pt>
                <c:pt idx="19">
                  <c:v>0.106</c:v>
                </c:pt>
                <c:pt idx="20">
                  <c:v>0.106</c:v>
                </c:pt>
              </c:numCache>
            </c:numRef>
          </c:val>
          <c:smooth val="0"/>
          <c:extLst>
            <c:ext xmlns:c16="http://schemas.microsoft.com/office/drawing/2014/chart" uri="{C3380CC4-5D6E-409C-BE32-E72D297353CC}">
              <c16:uniqueId val="{00000000-C17B-408D-A2C4-05C5728694E0}"/>
            </c:ext>
          </c:extLst>
        </c:ser>
        <c:ser>
          <c:idx val="1"/>
          <c:order val="1"/>
          <c:tx>
            <c:strRef>
              <c:f>Standardwerte!$Q$86</c:f>
              <c:strCache>
                <c:ptCount val="1"/>
                <c:pt idx="0">
                  <c:v>1501 - 3000 l</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Standardwerte!$R$86:$AL$86</c:f>
              <c:numCache>
                <c:formatCode>General</c:formatCode>
                <c:ptCount val="21"/>
                <c:pt idx="0" formatCode="0.000">
                  <c:v>9.8000000000000004E-2</c:v>
                </c:pt>
                <c:pt idx="1">
                  <c:v>9.8000000000000004E-2</c:v>
                </c:pt>
                <c:pt idx="2">
                  <c:v>9.8000000000000004E-2</c:v>
                </c:pt>
                <c:pt idx="3">
                  <c:v>9.8000000000000004E-2</c:v>
                </c:pt>
                <c:pt idx="4">
                  <c:v>9.8000000000000004E-2</c:v>
                </c:pt>
                <c:pt idx="5">
                  <c:v>9.8000000000000004E-2</c:v>
                </c:pt>
                <c:pt idx="6">
                  <c:v>9.8000000000000004E-2</c:v>
                </c:pt>
                <c:pt idx="7">
                  <c:v>9.8000000000000004E-2</c:v>
                </c:pt>
                <c:pt idx="8">
                  <c:v>9.8000000000000004E-2</c:v>
                </c:pt>
                <c:pt idx="9">
                  <c:v>9.8000000000000004E-2</c:v>
                </c:pt>
                <c:pt idx="10">
                  <c:v>9.8000000000000004E-2</c:v>
                </c:pt>
                <c:pt idx="11">
                  <c:v>9.8000000000000004E-2</c:v>
                </c:pt>
                <c:pt idx="12">
                  <c:v>9.8000000000000004E-2</c:v>
                </c:pt>
                <c:pt idx="13">
                  <c:v>9.8000000000000004E-2</c:v>
                </c:pt>
                <c:pt idx="14">
                  <c:v>9.8000000000000004E-2</c:v>
                </c:pt>
                <c:pt idx="15">
                  <c:v>9.8000000000000004E-2</c:v>
                </c:pt>
                <c:pt idx="16">
                  <c:v>9.8000000000000004E-2</c:v>
                </c:pt>
                <c:pt idx="17">
                  <c:v>9.8000000000000004E-2</c:v>
                </c:pt>
                <c:pt idx="18">
                  <c:v>9.8000000000000004E-2</c:v>
                </c:pt>
                <c:pt idx="19">
                  <c:v>9.8000000000000004E-2</c:v>
                </c:pt>
                <c:pt idx="20">
                  <c:v>9.8000000000000004E-2</c:v>
                </c:pt>
              </c:numCache>
            </c:numRef>
          </c:val>
          <c:smooth val="0"/>
          <c:extLst>
            <c:ext xmlns:c16="http://schemas.microsoft.com/office/drawing/2014/chart" uri="{C3380CC4-5D6E-409C-BE32-E72D297353CC}">
              <c16:uniqueId val="{00000001-C17B-408D-A2C4-05C5728694E0}"/>
            </c:ext>
          </c:extLst>
        </c:ser>
        <c:ser>
          <c:idx val="2"/>
          <c:order val="2"/>
          <c:tx>
            <c:strRef>
              <c:f>Standardwerte!$Q$87</c:f>
              <c:strCache>
                <c:ptCount val="1"/>
                <c:pt idx="0">
                  <c:v>3001 - 6000 l</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Standardwerte!$R$87:$AL$87</c:f>
              <c:numCache>
                <c:formatCode>General</c:formatCode>
                <c:ptCount val="21"/>
                <c:pt idx="0" formatCode="0.000">
                  <c:v>9.5000000000000001E-2</c:v>
                </c:pt>
                <c:pt idx="1">
                  <c:v>9.5000000000000001E-2</c:v>
                </c:pt>
                <c:pt idx="2">
                  <c:v>9.5000000000000001E-2</c:v>
                </c:pt>
                <c:pt idx="3">
                  <c:v>9.5000000000000001E-2</c:v>
                </c:pt>
                <c:pt idx="4">
                  <c:v>9.5000000000000001E-2</c:v>
                </c:pt>
                <c:pt idx="5">
                  <c:v>9.5000000000000001E-2</c:v>
                </c:pt>
                <c:pt idx="6">
                  <c:v>9.5000000000000001E-2</c:v>
                </c:pt>
                <c:pt idx="7">
                  <c:v>9.5000000000000001E-2</c:v>
                </c:pt>
                <c:pt idx="8">
                  <c:v>9.5000000000000001E-2</c:v>
                </c:pt>
                <c:pt idx="9">
                  <c:v>9.5000000000000001E-2</c:v>
                </c:pt>
                <c:pt idx="10">
                  <c:v>9.5000000000000001E-2</c:v>
                </c:pt>
                <c:pt idx="11">
                  <c:v>9.5000000000000001E-2</c:v>
                </c:pt>
                <c:pt idx="12">
                  <c:v>9.5000000000000001E-2</c:v>
                </c:pt>
                <c:pt idx="13">
                  <c:v>9.5000000000000001E-2</c:v>
                </c:pt>
                <c:pt idx="14">
                  <c:v>9.5000000000000001E-2</c:v>
                </c:pt>
                <c:pt idx="15">
                  <c:v>9.5000000000000001E-2</c:v>
                </c:pt>
                <c:pt idx="16">
                  <c:v>9.5000000000000001E-2</c:v>
                </c:pt>
                <c:pt idx="17">
                  <c:v>9.5000000000000001E-2</c:v>
                </c:pt>
                <c:pt idx="18">
                  <c:v>9.5000000000000001E-2</c:v>
                </c:pt>
                <c:pt idx="19">
                  <c:v>9.5000000000000001E-2</c:v>
                </c:pt>
                <c:pt idx="20">
                  <c:v>9.5000000000000001E-2</c:v>
                </c:pt>
              </c:numCache>
            </c:numRef>
          </c:val>
          <c:smooth val="0"/>
          <c:extLst>
            <c:ext xmlns:c16="http://schemas.microsoft.com/office/drawing/2014/chart" uri="{C3380CC4-5D6E-409C-BE32-E72D297353CC}">
              <c16:uniqueId val="{00000002-C17B-408D-A2C4-05C5728694E0}"/>
            </c:ext>
          </c:extLst>
        </c:ser>
        <c:ser>
          <c:idx val="3"/>
          <c:order val="3"/>
          <c:tx>
            <c:strRef>
              <c:f>Standardwerte!$Q$88</c:f>
              <c:strCache>
                <c:ptCount val="1"/>
                <c:pt idx="0">
                  <c:v>6001- 9000 l</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Standardwerte!$R$88:$AL$88</c:f>
              <c:numCache>
                <c:formatCode>General</c:formatCode>
                <c:ptCount val="21"/>
                <c:pt idx="0" formatCode="0.000">
                  <c:v>9.4E-2</c:v>
                </c:pt>
                <c:pt idx="1">
                  <c:v>9.4E-2</c:v>
                </c:pt>
                <c:pt idx="2">
                  <c:v>9.4E-2</c:v>
                </c:pt>
                <c:pt idx="3">
                  <c:v>9.4E-2</c:v>
                </c:pt>
                <c:pt idx="4">
                  <c:v>9.4E-2</c:v>
                </c:pt>
                <c:pt idx="5">
                  <c:v>9.4E-2</c:v>
                </c:pt>
                <c:pt idx="6">
                  <c:v>9.4E-2</c:v>
                </c:pt>
                <c:pt idx="7">
                  <c:v>9.4E-2</c:v>
                </c:pt>
                <c:pt idx="8">
                  <c:v>9.4E-2</c:v>
                </c:pt>
                <c:pt idx="9">
                  <c:v>9.4E-2</c:v>
                </c:pt>
                <c:pt idx="10">
                  <c:v>9.4E-2</c:v>
                </c:pt>
                <c:pt idx="11">
                  <c:v>9.4E-2</c:v>
                </c:pt>
                <c:pt idx="12">
                  <c:v>9.4E-2</c:v>
                </c:pt>
                <c:pt idx="13">
                  <c:v>9.4E-2</c:v>
                </c:pt>
                <c:pt idx="14">
                  <c:v>9.4E-2</c:v>
                </c:pt>
                <c:pt idx="15">
                  <c:v>9.4E-2</c:v>
                </c:pt>
                <c:pt idx="16">
                  <c:v>9.4E-2</c:v>
                </c:pt>
                <c:pt idx="17">
                  <c:v>9.4E-2</c:v>
                </c:pt>
                <c:pt idx="18">
                  <c:v>9.4E-2</c:v>
                </c:pt>
                <c:pt idx="19">
                  <c:v>9.4E-2</c:v>
                </c:pt>
                <c:pt idx="20">
                  <c:v>9.4E-2</c:v>
                </c:pt>
              </c:numCache>
            </c:numRef>
          </c:val>
          <c:smooth val="0"/>
          <c:extLst>
            <c:ext xmlns:c16="http://schemas.microsoft.com/office/drawing/2014/chart" uri="{C3380CC4-5D6E-409C-BE32-E72D297353CC}">
              <c16:uniqueId val="{00000003-C17B-408D-A2C4-05C5728694E0}"/>
            </c:ext>
          </c:extLst>
        </c:ser>
        <c:ser>
          <c:idx val="4"/>
          <c:order val="4"/>
          <c:tx>
            <c:strRef>
              <c:f>Standardwerte!$Q$89</c:f>
              <c:strCache>
                <c:ptCount val="1"/>
                <c:pt idx="0">
                  <c:v>9001 - 14000 l</c:v>
                </c:pt>
              </c:strCache>
            </c:strRef>
          </c:tx>
          <c:spPr>
            <a:ln w="28575" cap="rnd">
              <a:solidFill>
                <a:schemeClr val="accent5"/>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Standardwerte!$R$89:$AL$89</c:f>
              <c:numCache>
                <c:formatCode>General</c:formatCode>
                <c:ptCount val="21"/>
                <c:pt idx="0" formatCode="0.000">
                  <c:v>9.2999999999999999E-2</c:v>
                </c:pt>
                <c:pt idx="1">
                  <c:v>9.2999999999999999E-2</c:v>
                </c:pt>
                <c:pt idx="2">
                  <c:v>9.2999999999999999E-2</c:v>
                </c:pt>
                <c:pt idx="3">
                  <c:v>9.2999999999999999E-2</c:v>
                </c:pt>
                <c:pt idx="4">
                  <c:v>9.2999999999999999E-2</c:v>
                </c:pt>
                <c:pt idx="5">
                  <c:v>9.2999999999999999E-2</c:v>
                </c:pt>
                <c:pt idx="6">
                  <c:v>9.2999999999999999E-2</c:v>
                </c:pt>
                <c:pt idx="7">
                  <c:v>9.2999999999999999E-2</c:v>
                </c:pt>
                <c:pt idx="8">
                  <c:v>9.2999999999999999E-2</c:v>
                </c:pt>
                <c:pt idx="9">
                  <c:v>9.2999999999999999E-2</c:v>
                </c:pt>
                <c:pt idx="10">
                  <c:v>9.2999999999999999E-2</c:v>
                </c:pt>
                <c:pt idx="11">
                  <c:v>9.2999999999999999E-2</c:v>
                </c:pt>
                <c:pt idx="12">
                  <c:v>9.2999999999999999E-2</c:v>
                </c:pt>
                <c:pt idx="13">
                  <c:v>9.2999999999999999E-2</c:v>
                </c:pt>
                <c:pt idx="14">
                  <c:v>9.2999999999999999E-2</c:v>
                </c:pt>
                <c:pt idx="15">
                  <c:v>9.2999999999999999E-2</c:v>
                </c:pt>
                <c:pt idx="16">
                  <c:v>9.2999999999999999E-2</c:v>
                </c:pt>
                <c:pt idx="17">
                  <c:v>9.2999999999999999E-2</c:v>
                </c:pt>
                <c:pt idx="18">
                  <c:v>9.2999999999999999E-2</c:v>
                </c:pt>
                <c:pt idx="19">
                  <c:v>9.2999999999999999E-2</c:v>
                </c:pt>
                <c:pt idx="20">
                  <c:v>9.2999999999999999E-2</c:v>
                </c:pt>
              </c:numCache>
            </c:numRef>
          </c:val>
          <c:smooth val="0"/>
          <c:extLst>
            <c:ext xmlns:c16="http://schemas.microsoft.com/office/drawing/2014/chart" uri="{C3380CC4-5D6E-409C-BE32-E72D297353CC}">
              <c16:uniqueId val="{00000004-C17B-408D-A2C4-05C5728694E0}"/>
            </c:ext>
          </c:extLst>
        </c:ser>
        <c:ser>
          <c:idx val="5"/>
          <c:order val="5"/>
          <c:tx>
            <c:strRef>
              <c:f>Standardwerte!$Q$90</c:f>
              <c:strCache>
                <c:ptCount val="1"/>
                <c:pt idx="0">
                  <c:v>14000 - 20000 l</c:v>
                </c:pt>
              </c:strCache>
            </c:strRef>
          </c:tx>
          <c:spPr>
            <a:ln w="28575" cap="rnd">
              <a:solidFill>
                <a:schemeClr val="accent6"/>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Standardwerte!$R$90:$AL$90</c:f>
              <c:numCache>
                <c:formatCode>General</c:formatCode>
                <c:ptCount val="21"/>
                <c:pt idx="0" formatCode="0.000">
                  <c:v>9.1999999999999998E-2</c:v>
                </c:pt>
                <c:pt idx="1">
                  <c:v>9.1999999999999998E-2</c:v>
                </c:pt>
                <c:pt idx="2">
                  <c:v>9.1999999999999998E-2</c:v>
                </c:pt>
                <c:pt idx="3">
                  <c:v>9.1999999999999998E-2</c:v>
                </c:pt>
                <c:pt idx="4">
                  <c:v>9.1999999999999998E-2</c:v>
                </c:pt>
                <c:pt idx="5">
                  <c:v>9.1999999999999998E-2</c:v>
                </c:pt>
                <c:pt idx="6">
                  <c:v>9.1999999999999998E-2</c:v>
                </c:pt>
                <c:pt idx="7">
                  <c:v>9.1999999999999998E-2</c:v>
                </c:pt>
                <c:pt idx="8">
                  <c:v>9.1999999999999998E-2</c:v>
                </c:pt>
                <c:pt idx="9">
                  <c:v>9.1999999999999998E-2</c:v>
                </c:pt>
                <c:pt idx="10">
                  <c:v>9.1999999999999998E-2</c:v>
                </c:pt>
                <c:pt idx="11">
                  <c:v>9.1999999999999998E-2</c:v>
                </c:pt>
                <c:pt idx="12">
                  <c:v>9.1999999999999998E-2</c:v>
                </c:pt>
                <c:pt idx="13">
                  <c:v>9.1999999999999998E-2</c:v>
                </c:pt>
                <c:pt idx="14">
                  <c:v>9.1999999999999998E-2</c:v>
                </c:pt>
                <c:pt idx="15">
                  <c:v>9.1999999999999998E-2</c:v>
                </c:pt>
                <c:pt idx="16">
                  <c:v>9.1999999999999998E-2</c:v>
                </c:pt>
                <c:pt idx="17">
                  <c:v>9.1999999999999998E-2</c:v>
                </c:pt>
                <c:pt idx="18">
                  <c:v>9.1999999999999998E-2</c:v>
                </c:pt>
                <c:pt idx="19">
                  <c:v>9.1999999999999998E-2</c:v>
                </c:pt>
                <c:pt idx="20">
                  <c:v>9.1999999999999998E-2</c:v>
                </c:pt>
              </c:numCache>
            </c:numRef>
          </c:val>
          <c:smooth val="0"/>
          <c:extLst>
            <c:ext xmlns:c16="http://schemas.microsoft.com/office/drawing/2014/chart" uri="{C3380CC4-5D6E-409C-BE32-E72D297353CC}">
              <c16:uniqueId val="{00000005-C17B-408D-A2C4-05C5728694E0}"/>
            </c:ext>
          </c:extLst>
        </c:ser>
        <c:ser>
          <c:idx val="6"/>
          <c:order val="6"/>
          <c:tx>
            <c:strRef>
              <c:f>Standardwerte!$Q$91</c:f>
              <c:strCache>
                <c:ptCount val="1"/>
                <c:pt idx="0">
                  <c:v>&gt; 20000 l</c:v>
                </c:pt>
              </c:strCache>
            </c:strRef>
          </c:tx>
          <c:spPr>
            <a:ln w="28575" cap="rnd">
              <a:solidFill>
                <a:schemeClr val="accent1">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Standardwerte!$R$91:$AL$91</c:f>
              <c:numCache>
                <c:formatCode>General</c:formatCode>
                <c:ptCount val="21"/>
                <c:pt idx="0" formatCode="0.000">
                  <c:v>9.0999999999999998E-2</c:v>
                </c:pt>
                <c:pt idx="1">
                  <c:v>9.0999999999999998E-2</c:v>
                </c:pt>
                <c:pt idx="2">
                  <c:v>9.0999999999999998E-2</c:v>
                </c:pt>
                <c:pt idx="3">
                  <c:v>9.0999999999999998E-2</c:v>
                </c:pt>
                <c:pt idx="4">
                  <c:v>9.0999999999999998E-2</c:v>
                </c:pt>
                <c:pt idx="5">
                  <c:v>9.0999999999999998E-2</c:v>
                </c:pt>
                <c:pt idx="6">
                  <c:v>9.0999999999999998E-2</c:v>
                </c:pt>
                <c:pt idx="7">
                  <c:v>9.0999999999999998E-2</c:v>
                </c:pt>
                <c:pt idx="8">
                  <c:v>9.0999999999999998E-2</c:v>
                </c:pt>
                <c:pt idx="9">
                  <c:v>9.0999999999999998E-2</c:v>
                </c:pt>
                <c:pt idx="10">
                  <c:v>9.0999999999999998E-2</c:v>
                </c:pt>
                <c:pt idx="11">
                  <c:v>9.0999999999999998E-2</c:v>
                </c:pt>
                <c:pt idx="12">
                  <c:v>9.0999999999999998E-2</c:v>
                </c:pt>
                <c:pt idx="13">
                  <c:v>9.0999999999999998E-2</c:v>
                </c:pt>
                <c:pt idx="14">
                  <c:v>9.0999999999999998E-2</c:v>
                </c:pt>
                <c:pt idx="15">
                  <c:v>9.0999999999999998E-2</c:v>
                </c:pt>
                <c:pt idx="16">
                  <c:v>9.0999999999999998E-2</c:v>
                </c:pt>
                <c:pt idx="17">
                  <c:v>9.0999999999999998E-2</c:v>
                </c:pt>
                <c:pt idx="18">
                  <c:v>9.0999999999999998E-2</c:v>
                </c:pt>
                <c:pt idx="19">
                  <c:v>9.0999999999999998E-2</c:v>
                </c:pt>
                <c:pt idx="20">
                  <c:v>9.0999999999999998E-2</c:v>
                </c:pt>
              </c:numCache>
            </c:numRef>
          </c:val>
          <c:smooth val="0"/>
          <c:extLst>
            <c:ext xmlns:c16="http://schemas.microsoft.com/office/drawing/2014/chart" uri="{C3380CC4-5D6E-409C-BE32-E72D297353CC}">
              <c16:uniqueId val="{00000006-C17B-408D-A2C4-05C5728694E0}"/>
            </c:ext>
          </c:extLst>
        </c:ser>
        <c:dLbls>
          <c:showLegendKey val="0"/>
          <c:showVal val="0"/>
          <c:showCatName val="0"/>
          <c:showSerName val="0"/>
          <c:showPercent val="0"/>
          <c:showBubbleSize val="0"/>
        </c:dLbls>
        <c:smooth val="0"/>
        <c:axId val="157358639"/>
        <c:axId val="157335759"/>
      </c:lineChart>
      <c:catAx>
        <c:axId val="157358639"/>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7335759"/>
        <c:crosses val="autoZero"/>
        <c:auto val="1"/>
        <c:lblAlgn val="ctr"/>
        <c:lblOffset val="100"/>
        <c:noMultiLvlLbl val="0"/>
      </c:catAx>
      <c:valAx>
        <c:axId val="157335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73586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chart" Target="../charts/chart13.xml"/><Relationship Id="rId4"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sv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1388744</xdr:colOff>
      <xdr:row>17</xdr:row>
      <xdr:rowOff>171206</xdr:rowOff>
    </xdr:from>
    <xdr:to>
      <xdr:col>22</xdr:col>
      <xdr:colOff>55839</xdr:colOff>
      <xdr:row>33</xdr:row>
      <xdr:rowOff>105396</xdr:rowOff>
    </xdr:to>
    <xdr:graphicFrame macro="">
      <xdr:nvGraphicFramePr>
        <xdr:cNvPr id="3" name="Diagramm 2">
          <a:extLst>
            <a:ext uri="{FF2B5EF4-FFF2-40B4-BE49-F238E27FC236}">
              <a16:creationId xmlns:a16="http://schemas.microsoft.com/office/drawing/2014/main" id="{9F017F8F-0723-4F64-B3BB-4300FD4491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516504</xdr:colOff>
      <xdr:row>17</xdr:row>
      <xdr:rowOff>171206</xdr:rowOff>
    </xdr:from>
    <xdr:to>
      <xdr:col>13</xdr:col>
      <xdr:colOff>1245444</xdr:colOff>
      <xdr:row>33</xdr:row>
      <xdr:rowOff>113016</xdr:rowOff>
    </xdr:to>
    <xdr:graphicFrame macro="">
      <xdr:nvGraphicFramePr>
        <xdr:cNvPr id="4" name="Diagramm 3">
          <a:extLst>
            <a:ext uri="{FF2B5EF4-FFF2-40B4-BE49-F238E27FC236}">
              <a16:creationId xmlns:a16="http://schemas.microsoft.com/office/drawing/2014/main" id="{3ABF5282-3D2C-444D-97DE-DA10F4989E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1217158</xdr:colOff>
      <xdr:row>17</xdr:row>
      <xdr:rowOff>171206</xdr:rowOff>
    </xdr:from>
    <xdr:to>
      <xdr:col>10</xdr:col>
      <xdr:colOff>399873</xdr:colOff>
      <xdr:row>33</xdr:row>
      <xdr:rowOff>113016</xdr:rowOff>
    </xdr:to>
    <xdr:graphicFrame macro="">
      <xdr:nvGraphicFramePr>
        <xdr:cNvPr id="6" name="Diagramm 5">
          <a:extLst>
            <a:ext uri="{FF2B5EF4-FFF2-40B4-BE49-F238E27FC236}">
              <a16:creationId xmlns:a16="http://schemas.microsoft.com/office/drawing/2014/main" id="{6EFF4AD6-3144-483B-9FEB-130C5D3991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531586</xdr:colOff>
      <xdr:row>1</xdr:row>
      <xdr:rowOff>95614</xdr:rowOff>
    </xdr:from>
    <xdr:to>
      <xdr:col>13</xdr:col>
      <xdr:colOff>1253064</xdr:colOff>
      <xdr:row>17</xdr:row>
      <xdr:rowOff>18374</xdr:rowOff>
    </xdr:to>
    <xdr:graphicFrame macro="">
      <xdr:nvGraphicFramePr>
        <xdr:cNvPr id="7" name="Diagramm 6">
          <a:extLst>
            <a:ext uri="{FF2B5EF4-FFF2-40B4-BE49-F238E27FC236}">
              <a16:creationId xmlns:a16="http://schemas.microsoft.com/office/drawing/2014/main" id="{8BBB3F47-C7C8-4C8A-91AF-E08C849E4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1226683</xdr:colOff>
      <xdr:row>1</xdr:row>
      <xdr:rowOff>95614</xdr:rowOff>
    </xdr:from>
    <xdr:to>
      <xdr:col>10</xdr:col>
      <xdr:colOff>392095</xdr:colOff>
      <xdr:row>17</xdr:row>
      <xdr:rowOff>16469</xdr:rowOff>
    </xdr:to>
    <xdr:graphicFrame macro="">
      <xdr:nvGraphicFramePr>
        <xdr:cNvPr id="8" name="Diagramm 7">
          <a:extLst>
            <a:ext uri="{FF2B5EF4-FFF2-40B4-BE49-F238E27FC236}">
              <a16:creationId xmlns:a16="http://schemas.microsoft.com/office/drawing/2014/main" id="{27540381-599C-4450-A510-5C67F2B0BA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53452</xdr:colOff>
      <xdr:row>1</xdr:row>
      <xdr:rowOff>91804</xdr:rowOff>
    </xdr:from>
    <xdr:to>
      <xdr:col>6</xdr:col>
      <xdr:colOff>1083382</xdr:colOff>
      <xdr:row>17</xdr:row>
      <xdr:rowOff>29804</xdr:rowOff>
    </xdr:to>
    <xdr:graphicFrame macro="">
      <xdr:nvGraphicFramePr>
        <xdr:cNvPr id="9" name="Diagramm 8">
          <a:extLst>
            <a:ext uri="{FF2B5EF4-FFF2-40B4-BE49-F238E27FC236}">
              <a16:creationId xmlns:a16="http://schemas.microsoft.com/office/drawing/2014/main" id="{2720CA40-3492-449B-A437-A7EA4B37A4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53452</xdr:colOff>
      <xdr:row>17</xdr:row>
      <xdr:rowOff>171206</xdr:rowOff>
    </xdr:from>
    <xdr:to>
      <xdr:col>6</xdr:col>
      <xdr:colOff>1085287</xdr:colOff>
      <xdr:row>33</xdr:row>
      <xdr:rowOff>113016</xdr:rowOff>
    </xdr:to>
    <xdr:graphicFrame macro="">
      <xdr:nvGraphicFramePr>
        <xdr:cNvPr id="10" name="Diagramm 9">
          <a:extLst>
            <a:ext uri="{FF2B5EF4-FFF2-40B4-BE49-F238E27FC236}">
              <a16:creationId xmlns:a16="http://schemas.microsoft.com/office/drawing/2014/main" id="{148AC614-2E85-4533-816D-C9FD1F99B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1388744</xdr:colOff>
      <xdr:row>1</xdr:row>
      <xdr:rowOff>91804</xdr:rowOff>
    </xdr:from>
    <xdr:to>
      <xdr:col>22</xdr:col>
      <xdr:colOff>53934</xdr:colOff>
      <xdr:row>17</xdr:row>
      <xdr:rowOff>24089</xdr:rowOff>
    </xdr:to>
    <xdr:graphicFrame macro="">
      <xdr:nvGraphicFramePr>
        <xdr:cNvPr id="11" name="Diagramm 10">
          <a:extLst>
            <a:ext uri="{FF2B5EF4-FFF2-40B4-BE49-F238E27FC236}">
              <a16:creationId xmlns:a16="http://schemas.microsoft.com/office/drawing/2014/main" id="{387ABC66-D15D-49DA-AD3E-3F3F04A45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340178</xdr:colOff>
      <xdr:row>0</xdr:row>
      <xdr:rowOff>95250</xdr:rowOff>
    </xdr:from>
    <xdr:to>
      <xdr:col>22</xdr:col>
      <xdr:colOff>501383</xdr:colOff>
      <xdr:row>15</xdr:row>
      <xdr:rowOff>67290</xdr:rowOff>
    </xdr:to>
    <xdr:graphicFrame macro="">
      <xdr:nvGraphicFramePr>
        <xdr:cNvPr id="3" name="Diagramm 2">
          <a:extLst>
            <a:ext uri="{FF2B5EF4-FFF2-40B4-BE49-F238E27FC236}">
              <a16:creationId xmlns:a16="http://schemas.microsoft.com/office/drawing/2014/main" id="{952735F6-6CC3-4F4D-8537-DCC7EB9C4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340178</xdr:colOff>
      <xdr:row>16</xdr:row>
      <xdr:rowOff>190500</xdr:rowOff>
    </xdr:from>
    <xdr:to>
      <xdr:col>22</xdr:col>
      <xdr:colOff>501383</xdr:colOff>
      <xdr:row>33</xdr:row>
      <xdr:rowOff>105390</xdr:rowOff>
    </xdr:to>
    <xdr:graphicFrame macro="">
      <xdr:nvGraphicFramePr>
        <xdr:cNvPr id="4" name="Diagramm 3">
          <a:extLst>
            <a:ext uri="{FF2B5EF4-FFF2-40B4-BE49-F238E27FC236}">
              <a16:creationId xmlns:a16="http://schemas.microsoft.com/office/drawing/2014/main" id="{74E8A1C1-F224-4625-BE20-118B94834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375897</xdr:colOff>
      <xdr:row>35</xdr:row>
      <xdr:rowOff>38098</xdr:rowOff>
    </xdr:from>
    <xdr:to>
      <xdr:col>22</xdr:col>
      <xdr:colOff>527577</xdr:colOff>
      <xdr:row>58</xdr:row>
      <xdr:rowOff>121443</xdr:rowOff>
    </xdr:to>
    <xdr:graphicFrame macro="">
      <xdr:nvGraphicFramePr>
        <xdr:cNvPr id="5" name="Diagramm 4">
          <a:extLst>
            <a:ext uri="{FF2B5EF4-FFF2-40B4-BE49-F238E27FC236}">
              <a16:creationId xmlns:a16="http://schemas.microsoft.com/office/drawing/2014/main" id="{556A1D8C-4BAB-45CB-9E03-8023A0802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632459</xdr:colOff>
      <xdr:row>51</xdr:row>
      <xdr:rowOff>60959</xdr:rowOff>
    </xdr:from>
    <xdr:to>
      <xdr:col>6</xdr:col>
      <xdr:colOff>492674</xdr:colOff>
      <xdr:row>67</xdr:row>
      <xdr:rowOff>21569</xdr:rowOff>
    </xdr:to>
    <xdr:graphicFrame macro="">
      <xdr:nvGraphicFramePr>
        <xdr:cNvPr id="6" name="Diagramm 5">
          <a:extLst>
            <a:ext uri="{FF2B5EF4-FFF2-40B4-BE49-F238E27FC236}">
              <a16:creationId xmlns:a16="http://schemas.microsoft.com/office/drawing/2014/main" id="{8C1AB070-BE6B-4BA4-B2C3-B80115439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723900</xdr:colOff>
      <xdr:row>51</xdr:row>
      <xdr:rowOff>60959</xdr:rowOff>
    </xdr:from>
    <xdr:to>
      <xdr:col>12</xdr:col>
      <xdr:colOff>887010</xdr:colOff>
      <xdr:row>67</xdr:row>
      <xdr:rowOff>25379</xdr:rowOff>
    </xdr:to>
    <xdr:graphicFrame macro="">
      <xdr:nvGraphicFramePr>
        <xdr:cNvPr id="7" name="Diagramm 6">
          <a:extLst>
            <a:ext uri="{FF2B5EF4-FFF2-40B4-BE49-F238E27FC236}">
              <a16:creationId xmlns:a16="http://schemas.microsoft.com/office/drawing/2014/main" id="{22B7EEDD-F28D-435B-B36A-D07697EA8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27476</xdr:colOff>
      <xdr:row>4</xdr:row>
      <xdr:rowOff>68690</xdr:rowOff>
    </xdr:from>
    <xdr:to>
      <xdr:col>7</xdr:col>
      <xdr:colOff>108834</xdr:colOff>
      <xdr:row>11</xdr:row>
      <xdr:rowOff>85183</xdr:rowOff>
    </xdr:to>
    <xdr:pic>
      <xdr:nvPicPr>
        <xdr:cNvPr id="3" name="Grafik 2">
          <a:extLst>
            <a:ext uri="{FF2B5EF4-FFF2-40B4-BE49-F238E27FC236}">
              <a16:creationId xmlns:a16="http://schemas.microsoft.com/office/drawing/2014/main" id="{DBC3C2B4-44D1-C40C-C8C0-16F3D31B69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918" y="709796"/>
          <a:ext cx="1620012" cy="1138428"/>
        </a:xfrm>
        <a:prstGeom prst="rect">
          <a:avLst/>
        </a:prstGeom>
      </xdr:spPr>
    </xdr:pic>
    <xdr:clientData/>
  </xdr:twoCellAnchor>
  <xdr:twoCellAnchor editAs="oneCell">
    <xdr:from>
      <xdr:col>0</xdr:col>
      <xdr:colOff>256442</xdr:colOff>
      <xdr:row>19</xdr:row>
      <xdr:rowOff>107614</xdr:rowOff>
    </xdr:from>
    <xdr:to>
      <xdr:col>7</xdr:col>
      <xdr:colOff>134146</xdr:colOff>
      <xdr:row>23</xdr:row>
      <xdr:rowOff>78508</xdr:rowOff>
    </xdr:to>
    <xdr:pic>
      <xdr:nvPicPr>
        <xdr:cNvPr id="5" name="Grafik 4">
          <a:extLst>
            <a:ext uri="{FF2B5EF4-FFF2-40B4-BE49-F238E27FC236}">
              <a16:creationId xmlns:a16="http://schemas.microsoft.com/office/drawing/2014/main" id="{B526D4C9-9739-93E5-453B-46D5AAF208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6442" y="3152866"/>
          <a:ext cx="1672800" cy="612000"/>
        </a:xfrm>
        <a:prstGeom prst="rect">
          <a:avLst/>
        </a:prstGeom>
      </xdr:spPr>
    </xdr:pic>
    <xdr:clientData/>
  </xdr:twoCellAnchor>
  <xdr:twoCellAnchor editAs="oneCell">
    <xdr:from>
      <xdr:col>11</xdr:col>
      <xdr:colOff>41212</xdr:colOff>
      <xdr:row>19</xdr:row>
      <xdr:rowOff>89614</xdr:rowOff>
    </xdr:from>
    <xdr:to>
      <xdr:col>19</xdr:col>
      <xdr:colOff>144468</xdr:colOff>
      <xdr:row>23</xdr:row>
      <xdr:rowOff>96508</xdr:rowOff>
    </xdr:to>
    <xdr:pic>
      <xdr:nvPicPr>
        <xdr:cNvPr id="7" name="Grafik 6">
          <a:extLst>
            <a:ext uri="{FF2B5EF4-FFF2-40B4-BE49-F238E27FC236}">
              <a16:creationId xmlns:a16="http://schemas.microsoft.com/office/drawing/2014/main" id="{D0FDB89E-06CC-338D-41B9-63536AEB3D9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862077" y="3134866"/>
          <a:ext cx="2154795" cy="648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hslu.ch/de-ch/technik-architektur/ueber-uns/organisation/kompetenzzentren-und-forschungsgruppen/bau/gebaeudetechnik-und-energie/software-tools/?sourceurl=/ige-tools"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www.strompreis.elcom.admin.ch/"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vese.ch/pvtarif/" TargetMode="External"/><Relationship Id="rId2" Type="http://schemas.openxmlformats.org/officeDocument/2006/relationships/hyperlink" Target="https://www.eco-bau.ch/index.cfm?Nav=17&amp;ID=46" TargetMode="External"/><Relationship Id="rId1" Type="http://schemas.openxmlformats.org/officeDocument/2006/relationships/hyperlink" Target="http://www.ezv.admin.ch/zollinfo_firmen/04020/04256/04265/index.html?lang=de" TargetMode="External"/><Relationship Id="rId5" Type="http://schemas.openxmlformats.org/officeDocument/2006/relationships/vmlDrawing" Target="../drawings/vmlDrawing8.v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B1:B37"/>
  <sheetViews>
    <sheetView tabSelected="1" zoomScale="140" zoomScaleNormal="140" workbookViewId="0">
      <selection activeCell="B1" sqref="B1"/>
    </sheetView>
  </sheetViews>
  <sheetFormatPr baseColWidth="10" defaultColWidth="11.42578125" defaultRowHeight="15"/>
  <cols>
    <col min="1" max="1" width="3" style="317" customWidth="1"/>
    <col min="2" max="2" width="108.5703125" style="318" customWidth="1"/>
    <col min="3" max="3" width="1.42578125" style="317" customWidth="1"/>
    <col min="4" max="16384" width="11.42578125" style="317"/>
  </cols>
  <sheetData>
    <row r="1" spans="2:2" ht="43.5" customHeight="1">
      <c r="B1" s="57" t="str">
        <f ca="1">Sprache!E247</f>
        <v>Erläuterungen und Hinweise</v>
      </c>
    </row>
    <row r="2" spans="2:2" ht="5.0999999999999996" customHeight="1"/>
    <row r="3" spans="2:2" ht="34.5" customHeight="1">
      <c r="B3" s="319" t="str">
        <f ca="1">Sprache!E248</f>
        <v xml:space="preserve">Auf dieser Seite finden Sie einige Hinweise zu der Berechnung und woher die Grundlagen stammen. Der Aufbau entspricht der Reihenfolge der Eingaben.  </v>
      </c>
    </row>
    <row r="4" spans="2:2" ht="25.5">
      <c r="B4" s="319" t="str">
        <f ca="1">Sprache!E478</f>
        <v>Der Aufbau und die Funktionen des Tool werden in einem Video erklärt. Der Link ist unten angegeben. Die Videos sind nur auf Deutsch vorhanden.</v>
      </c>
    </row>
    <row r="5" spans="2:2">
      <c r="B5" s="495" t="s">
        <v>1727</v>
      </c>
    </row>
    <row r="6" spans="2:2">
      <c r="B6" s="319"/>
    </row>
    <row r="7" spans="2:2" ht="30" customHeight="1">
      <c r="B7" s="496" t="str">
        <f ca="1">Sprache!E327</f>
        <v>Die Hochschule Luzern haftet nicht für Schäden, die durch die Anwendung des vorliegenden Tools entstehen können.</v>
      </c>
    </row>
    <row r="9" spans="2:2" ht="15.75">
      <c r="B9" s="320" t="str">
        <f ca="1">Sprache!E249</f>
        <v>Wärmeerzeugerleistung und abgegebene Wärme</v>
      </c>
    </row>
    <row r="10" spans="2:2" ht="5.0999999999999996" customHeight="1"/>
    <row r="11" spans="2:2" ht="70.150000000000006" customHeight="1">
      <c r="B11" s="319" t="str">
        <f ca="1">Sprache!E250</f>
        <v>Für die Berechnung der Investitionskosten und der Umweltbelastung sind die Wärmeerzeugerleistung und die abgegebene Wärme notwendig. Sind die Grössen bekannt, können diese direkt eingegeben werden, andernfalls werden diese berechnet. Die Raumwärme und die Wärme für die verbundenen Systeme sowie die Wärme für das Brauchwarmwasser werden separat eingegeben.
Der Ertrag der thermischen Solaranlage wird nach SIA 384/3 gerechnet.</v>
      </c>
    </row>
    <row r="12" spans="2:2" ht="6.95" customHeight="1"/>
    <row r="13" spans="2:2" ht="15.75">
      <c r="B13" s="320" t="str">
        <f ca="1">Sprache!E251</f>
        <v>Neubau</v>
      </c>
    </row>
    <row r="14" spans="2:2" ht="5.0999999999999996" customHeight="1"/>
    <row r="15" spans="2:2" ht="69" customHeight="1">
      <c r="B15" s="319" t="str">
        <f ca="1">Sprache!E252</f>
        <v>Bei einem Neubau bildet die Energiebezugsfläche (EBF) die Basis, diese wird mit spezifischen Werten nach Merkblatt SIA 2024 multipliziert. Weicht die Aussentemperatur von -8°C ab, oder wird nach Minergie bzw. Minergie-P gebaut, wird der Wert korrigiert. Die Werte sind auf dem Excelblatt "Grundlagen" in den Tabellen "Leistungs- und Wärmebedarf Neubau" und "Reduktionsfaktor für Gebäudestandard" zu finden und können nach Bedarf überschrieben werden.</v>
      </c>
    </row>
    <row r="16" spans="2:2" ht="6.95" customHeight="1"/>
    <row r="17" spans="2:2" ht="16.5" customHeight="1">
      <c r="B17" s="320" t="str">
        <f ca="1">Sprache!E253</f>
        <v>Ersatz</v>
      </c>
    </row>
    <row r="18" spans="2:2" ht="5.0999999999999996" customHeight="1"/>
    <row r="19" spans="2:2" ht="93.75" customHeight="1">
      <c r="B19" s="319" t="str">
        <f ca="1">Sprache!E254</f>
        <v xml:space="preserve">Bei einem Ersatz einer bestehenden Anlage wird der jährliche Verbrauch angegeben. Es darf jeweils nur eine Brennstoff-Art angegeben werden, ansonsten wird die Wärmeerzeugerleistung falsch berechnet. Der Verbrauch wird Heizgradtag bereinigt, für die Berechnung der Wärme werden die Stoffwerte aus der Norm SIA 380 verwendet. Der Jahresnutzungsgrad für neue Anlagen wurde den Minergie-Dokumenten entnommen, für alte Anlagen liefert die Leistungsgarantie Haustechnik von Energie Schweiz die Grundlage. Die Werte sind auf dem Excelblatt "Grundlagen" in der Tabelle Grundlagen für energetische Berechnung zu finden und können ebenfalls überschrieben werden. In der gleichen Tabelle sind auch die Werte für die akquivalenten Treibhausgase und Umweltbelastungspunkte (UBP) zu finden. Quelle hier ist die KBOB.    </v>
      </c>
    </row>
    <row r="20" spans="2:2" ht="5.0999999999999996" customHeight="1"/>
    <row r="21" spans="2:2" ht="40.5" customHeight="1">
      <c r="B21" s="319" t="str">
        <f ca="1">Sprache!E255</f>
        <v xml:space="preserve">Die Berechnung der Wärmeerzeugerleistung und der abgegebenen Wärme ist in der Norm SIA 384/1 beschrieben. Die Volllaststunden können ebenfalls überschrieben werden, die Werte sind in der Tabelle "Volllaststunden Wärmeerzeugung" zu finden, Grundlage bildet hier die Leistungsgarantie Haustechnik. </v>
      </c>
    </row>
    <row r="23" spans="2:2" ht="15.75">
      <c r="B23" s="320" t="str">
        <f ca="1">Sprache!E256</f>
        <v>Investitionskosten</v>
      </c>
    </row>
    <row r="24" spans="2:2" ht="5.0999999999999996" customHeight="1"/>
    <row r="25" spans="2:2" ht="58.9" customHeight="1">
      <c r="B25" s="319" t="str">
        <f ca="1">Sprache!E257</f>
        <v xml:space="preserve">Für die Berechnung der  Investitionskosten wurden bei den Wärmeerzeugerleistungen 5 kW, 10 kW, 20 kW, 70 kW, 100 kW, 200 kW, 350 kW, 500kW, 750kW, 1'000 kW, 1'500 kW und 2'000 kW für jede Wärmeerzeugungsart Marktwerte berechnet (exkl. MwSt.) und auf dem Excelblatt "Investitionskosten" hinterlegt. Liegen eigene Wert vor, können die vorhandenen Standardwerte überschrieben werden.    </v>
      </c>
    </row>
    <row r="26" spans="2:2" ht="6.95" customHeight="1"/>
    <row r="27" spans="2:2" ht="15.75">
      <c r="B27" s="320" t="str">
        <f ca="1">Sprache!E258</f>
        <v>Kapitalkosten</v>
      </c>
    </row>
    <row r="28" spans="2:2" ht="5.0999999999999996" customHeight="1">
      <c r="B28" s="320"/>
    </row>
    <row r="29" spans="2:2" ht="27.75" customHeight="1">
      <c r="B29" s="319" t="str">
        <f ca="1">Sprache!E259</f>
        <v xml:space="preserve">Aus den interpolierten Investitionskosten werden mit Hilfe der Annuitätsmethode die Kapitalkosten berechnet. Die Amortisationszeiten sind auf dem Blatt "Grundlagen" und der Zinssatz auf dem Excelblatt "Projektdaten" zu finden und können überschrieben werden. </v>
      </c>
    </row>
    <row r="31" spans="2:2" ht="15.75">
      <c r="B31" s="320" t="str">
        <f ca="1">Sprache!E260</f>
        <v>Unterhaltskosten</v>
      </c>
    </row>
    <row r="32" spans="2:2" ht="5.0999999999999996" customHeight="1"/>
    <row r="33" spans="2:2" ht="28.5" customHeight="1">
      <c r="B33" s="319" t="str">
        <f ca="1">Sprache!E261</f>
        <v>Die Berechung der Unterhaltskosten folgt dem gleichen Prinzip wie die Berechnung der Investitionskosten. die Vorgegebenen Standardwerte können auf dem Excelblatt "Unterhaltskosten" angepasst werden.</v>
      </c>
    </row>
    <row r="34" spans="2:2" ht="6.95" customHeight="1"/>
    <row r="35" spans="2:2" ht="15.75">
      <c r="B35" s="320" t="str">
        <f ca="1">Sprache!E262</f>
        <v>Energiekosten</v>
      </c>
    </row>
    <row r="36" spans="2:2" ht="5.0999999999999996" customHeight="1">
      <c r="B36" s="320"/>
    </row>
    <row r="37" spans="2:2" ht="48.75" customHeight="1">
      <c r="B37" s="319" t="str">
        <f ca="1">Sprache!E263</f>
        <v xml:space="preserve">Die jährlichen Preissteigerung werden nach der Zinseszins-Methode berechnet. Weitere Informationen sind in der SIA 480 zu finden.  </v>
      </c>
    </row>
  </sheetData>
  <sheetProtection algorithmName="SHA-512" hashValue="8FLvlJ5QrvAJZAVgvJC0TwWp9j/PLSmxygdrgkoKGGbldgtZ/RB/aZZMg11zqLA1rtz2PArUDqabbhKDY7Z8Qw==" saltValue="PMh/9tsIc0+yUecJ4nvW3Q==" spinCount="100000" sheet="1" objects="1" scenarios="1"/>
  <hyperlinks>
    <hyperlink ref="B5" r:id="rId1" xr:uid="{7ADA094E-DCB3-4B44-A8BD-1EEB90A4E322}"/>
  </hyperlinks>
  <pageMargins left="0.70866141732283472" right="0.70866141732283472" top="1.1811023622047245" bottom="0.78740157480314965" header="0.31496062992125984" footer="0.31496062992125984"/>
  <pageSetup paperSize="9" scale="57" orientation="portrait" verticalDpi="1200" r:id="rId2"/>
  <headerFooter>
    <oddHeader>&amp;R&amp;G</oddHeader>
    <oddFooter>&amp;C&amp;D&amp;R&amp;P/&amp;N</oddFooter>
  </headerFooter>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E210-117C-49DF-988E-E9914C87C5D9}">
  <dimension ref="B2:L40"/>
  <sheetViews>
    <sheetView showGridLines="0" zoomScaleNormal="100" workbookViewId="0"/>
  </sheetViews>
  <sheetFormatPr baseColWidth="10" defaultColWidth="3.85546875" defaultRowHeight="12.75"/>
  <cols>
    <col min="1" max="16384" width="3.85546875" style="1"/>
  </cols>
  <sheetData>
    <row r="2" spans="2:2">
      <c r="B2" s="1" t="s">
        <v>1769</v>
      </c>
    </row>
    <row r="4" spans="2:2">
      <c r="B4" s="1" t="s">
        <v>1770</v>
      </c>
    </row>
    <row r="14" spans="2:2">
      <c r="B14" s="1" t="s">
        <v>1771</v>
      </c>
    </row>
    <row r="15" spans="2:2">
      <c r="B15" s="1" t="s">
        <v>1772</v>
      </c>
    </row>
    <row r="16" spans="2:2">
      <c r="B16" s="1" t="s">
        <v>1773</v>
      </c>
    </row>
    <row r="17" spans="2:12">
      <c r="B17" s="1" t="s">
        <v>1774</v>
      </c>
    </row>
    <row r="19" spans="2:12">
      <c r="B19" s="1" t="s">
        <v>1775</v>
      </c>
    </row>
    <row r="26" spans="2:12">
      <c r="B26" s="1" t="s">
        <v>1781</v>
      </c>
      <c r="L26" s="1" t="s">
        <v>1785</v>
      </c>
    </row>
    <row r="27" spans="2:12">
      <c r="B27" s="1" t="s">
        <v>1782</v>
      </c>
      <c r="L27" s="1" t="s">
        <v>1786</v>
      </c>
    </row>
    <row r="28" spans="2:12">
      <c r="B28" s="1" t="s">
        <v>1783</v>
      </c>
      <c r="L28" s="1" t="s">
        <v>1787</v>
      </c>
    </row>
    <row r="29" spans="2:12">
      <c r="B29" s="1" t="s">
        <v>1784</v>
      </c>
    </row>
    <row r="33" spans="2:2">
      <c r="B33" s="8" t="s">
        <v>1789</v>
      </c>
    </row>
    <row r="34" spans="2:2">
      <c r="B34" s="1" t="s">
        <v>1780</v>
      </c>
    </row>
    <row r="37" spans="2:2">
      <c r="B37" s="8" t="s">
        <v>1776</v>
      </c>
    </row>
    <row r="38" spans="2:2">
      <c r="B38" s="1" t="s">
        <v>1777</v>
      </c>
    </row>
    <row r="39" spans="2:2">
      <c r="B39" s="1" t="s">
        <v>1778</v>
      </c>
    </row>
    <row r="40" spans="2:2">
      <c r="B40" s="1" t="s">
        <v>1779</v>
      </c>
    </row>
  </sheetData>
  <sheetProtection algorithmName="SHA-512" hashValue="7WkggEIWGojmKaGq2c7o7PMoMpEdEIbMLqj6k5h0NMw6PgWA/JSfbOsHn9BCwpxRs0y3mPgLMZx3YakVeQyPwA==" saltValue="7uLUGMNBxjTcE8hdhqTl2A==" spinCount="100000" sheet="1" objects="1" scenarios="1"/>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rgb="FFFF0000"/>
  </sheetPr>
  <dimension ref="B2:J542"/>
  <sheetViews>
    <sheetView topLeftCell="A469" zoomScale="140" zoomScaleNormal="140" workbookViewId="0">
      <selection activeCell="H484" sqref="H484"/>
    </sheetView>
  </sheetViews>
  <sheetFormatPr baseColWidth="10" defaultColWidth="11.42578125" defaultRowHeight="15"/>
  <cols>
    <col min="1" max="1" width="4.140625" style="98" customWidth="1"/>
    <col min="2" max="2" width="13" style="98" bestFit="1" customWidth="1"/>
    <col min="3" max="3" width="11.42578125" style="98"/>
    <col min="4" max="4" width="5.5703125" style="98" bestFit="1" customWidth="1"/>
    <col min="5" max="5" width="53.42578125" style="98" customWidth="1"/>
    <col min="6" max="6" width="61.85546875" style="98" customWidth="1"/>
    <col min="7" max="7" width="55.42578125" style="98" customWidth="1"/>
    <col min="8" max="8" width="69.5703125" style="98" customWidth="1"/>
    <col min="9" max="9" width="11.42578125" style="98"/>
    <col min="10" max="10" width="9" style="98" customWidth="1"/>
    <col min="11" max="16384" width="11.42578125" style="98"/>
  </cols>
  <sheetData>
    <row r="2" spans="2:10">
      <c r="C2" s="98" t="s">
        <v>6</v>
      </c>
      <c r="D2" s="98" t="s">
        <v>7</v>
      </c>
    </row>
    <row r="3" spans="2:10">
      <c r="B3" s="99" t="s">
        <v>2</v>
      </c>
      <c r="C3" s="98" t="s">
        <v>3</v>
      </c>
      <c r="D3" s="98" t="s">
        <v>9</v>
      </c>
    </row>
    <row r="4" spans="2:10">
      <c r="C4" s="98" t="s">
        <v>36</v>
      </c>
      <c r="D4" s="98" t="s">
        <v>10</v>
      </c>
    </row>
    <row r="5" spans="2:10">
      <c r="C5" s="98" t="s">
        <v>33</v>
      </c>
      <c r="D5" s="98" t="s">
        <v>13</v>
      </c>
    </row>
    <row r="8" spans="2:10">
      <c r="B8" s="98" t="s">
        <v>12</v>
      </c>
      <c r="E8" s="100" t="s">
        <v>11</v>
      </c>
      <c r="F8" s="100" t="s">
        <v>3</v>
      </c>
      <c r="G8" s="100" t="s">
        <v>4</v>
      </c>
      <c r="H8" s="100" t="s">
        <v>5</v>
      </c>
    </row>
    <row r="9" spans="2:10">
      <c r="C9" s="98" t="str">
        <f>VLOOKUP(Projektdaten!M3,Sprache!C3:D5,2,FALSE)</f>
        <v>F</v>
      </c>
      <c r="D9" s="98">
        <v>9</v>
      </c>
      <c r="E9" s="106" t="str">
        <f ca="1">INDIRECT($C$9&amp;D9)</f>
        <v>Heizkostenvergleichsrechner</v>
      </c>
      <c r="F9" s="98" t="s">
        <v>8</v>
      </c>
      <c r="G9" s="98" t="s">
        <v>370</v>
      </c>
      <c r="H9" s="98" t="s">
        <v>508</v>
      </c>
      <c r="J9" s="101"/>
    </row>
    <row r="10" spans="2:10">
      <c r="D10" s="98">
        <v>10</v>
      </c>
      <c r="E10" s="106" t="str">
        <f t="shared" ref="E10:E75" ca="1" si="0">INDIRECT($C$9&amp;D10)</f>
        <v>Gewünschte Sprache:</v>
      </c>
      <c r="F10" s="98" t="s">
        <v>35</v>
      </c>
      <c r="G10" s="102" t="s">
        <v>37</v>
      </c>
      <c r="H10" s="102" t="s">
        <v>34</v>
      </c>
      <c r="J10" s="103"/>
    </row>
    <row r="11" spans="2:10">
      <c r="D11" s="98">
        <v>11</v>
      </c>
      <c r="E11" s="106" t="str">
        <f t="shared" ca="1" si="0"/>
        <v>Kostenberechung</v>
      </c>
      <c r="F11" s="98" t="s">
        <v>227</v>
      </c>
      <c r="G11" s="98" t="s">
        <v>373</v>
      </c>
      <c r="H11" s="98" t="s">
        <v>509</v>
      </c>
      <c r="J11" s="103"/>
    </row>
    <row r="12" spans="2:10">
      <c r="D12" s="98">
        <v>12</v>
      </c>
      <c r="E12" s="106" t="str">
        <f t="shared" ca="1" si="0"/>
        <v>Punkt 1</v>
      </c>
      <c r="F12" s="98" t="s">
        <v>16</v>
      </c>
      <c r="G12" s="98" t="s">
        <v>374</v>
      </c>
      <c r="H12" s="98" t="s">
        <v>510</v>
      </c>
      <c r="J12" s="103"/>
    </row>
    <row r="13" spans="2:10">
      <c r="D13" s="98">
        <v>13</v>
      </c>
      <c r="E13" s="106" t="str">
        <f t="shared" ca="1" si="0"/>
        <v>Punkt 2</v>
      </c>
      <c r="F13" s="98" t="s">
        <v>17</v>
      </c>
      <c r="G13" s="98" t="s">
        <v>375</v>
      </c>
      <c r="H13" s="98" t="s">
        <v>511</v>
      </c>
      <c r="J13" s="103"/>
    </row>
    <row r="14" spans="2:10">
      <c r="D14" s="98">
        <v>14</v>
      </c>
      <c r="E14" s="106" t="str">
        <f t="shared" ca="1" si="0"/>
        <v>Punkt 3</v>
      </c>
      <c r="F14" s="98" t="s">
        <v>18</v>
      </c>
      <c r="G14" s="98" t="s">
        <v>376</v>
      </c>
      <c r="H14" s="98" t="s">
        <v>512</v>
      </c>
      <c r="J14" s="103"/>
    </row>
    <row r="15" spans="2:10">
      <c r="D15" s="98">
        <v>15</v>
      </c>
      <c r="E15" s="106" t="str">
        <f t="shared" ca="1" si="0"/>
        <v>Punkt 4</v>
      </c>
      <c r="F15" s="98" t="s">
        <v>19</v>
      </c>
      <c r="G15" s="98" t="s">
        <v>377</v>
      </c>
      <c r="H15" s="98" t="s">
        <v>513</v>
      </c>
      <c r="J15" s="103"/>
    </row>
    <row r="16" spans="2:10">
      <c r="D16" s="98">
        <v>16</v>
      </c>
      <c r="E16" s="106" t="str">
        <f t="shared" ca="1" si="0"/>
        <v>Öl</v>
      </c>
      <c r="F16" s="98" t="s">
        <v>0</v>
      </c>
      <c r="G16" s="98" t="s">
        <v>378</v>
      </c>
      <c r="H16" s="98" t="s">
        <v>660</v>
      </c>
      <c r="J16" s="103"/>
    </row>
    <row r="17" spans="4:10">
      <c r="D17" s="98">
        <v>17</v>
      </c>
      <c r="E17" s="106" t="str">
        <f t="shared" ca="1" si="0"/>
        <v>Erdgas</v>
      </c>
      <c r="F17" s="98" t="s">
        <v>14</v>
      </c>
      <c r="G17" s="98" t="s">
        <v>661</v>
      </c>
      <c r="H17" s="98" t="s">
        <v>361</v>
      </c>
      <c r="J17" s="103"/>
    </row>
    <row r="18" spans="4:10">
      <c r="D18" s="98">
        <v>18</v>
      </c>
      <c r="E18" s="106" t="str">
        <f t="shared" ca="1" si="0"/>
        <v>Pellets</v>
      </c>
      <c r="F18" s="98" t="s">
        <v>1</v>
      </c>
      <c r="G18" s="98" t="s">
        <v>1</v>
      </c>
      <c r="H18" s="98" t="s">
        <v>514</v>
      </c>
      <c r="J18" s="103"/>
    </row>
    <row r="19" spans="4:10">
      <c r="D19" s="98">
        <v>19</v>
      </c>
      <c r="E19" s="106" t="str">
        <f t="shared" ca="1" si="0"/>
        <v>Hackschnitzel  (ab 20 kW)</v>
      </c>
      <c r="F19" s="98" t="s">
        <v>799</v>
      </c>
      <c r="G19" s="98" t="s">
        <v>800</v>
      </c>
      <c r="H19" s="98" t="s">
        <v>801</v>
      </c>
      <c r="J19" s="103"/>
    </row>
    <row r="20" spans="4:10">
      <c r="D20" s="98">
        <v>20</v>
      </c>
      <c r="E20" s="106" t="str">
        <f t="shared" ca="1" si="0"/>
        <v>WP (LW) (max. 200 kW)</v>
      </c>
      <c r="F20" s="98" t="s">
        <v>973</v>
      </c>
      <c r="G20" s="98" t="s">
        <v>802</v>
      </c>
      <c r="H20" s="98" t="s">
        <v>803</v>
      </c>
      <c r="J20" s="103"/>
    </row>
    <row r="21" spans="4:10">
      <c r="D21" s="98">
        <v>21</v>
      </c>
      <c r="E21" s="106" t="str">
        <f t="shared" ca="1" si="0"/>
        <v>WP (WW)</v>
      </c>
      <c r="F21" s="98" t="s">
        <v>142</v>
      </c>
      <c r="G21" s="98" t="s">
        <v>371</v>
      </c>
      <c r="H21" s="98" t="s">
        <v>515</v>
      </c>
      <c r="J21" s="103"/>
    </row>
    <row r="22" spans="4:10">
      <c r="D22" s="98">
        <v>22</v>
      </c>
      <c r="E22" s="106" t="str">
        <f t="shared" ca="1" si="0"/>
        <v>WP (SW)</v>
      </c>
      <c r="F22" s="98" t="s">
        <v>143</v>
      </c>
      <c r="G22" s="98" t="s">
        <v>372</v>
      </c>
      <c r="H22" s="98" t="s">
        <v>516</v>
      </c>
      <c r="J22" s="103"/>
    </row>
    <row r="23" spans="4:10">
      <c r="D23" s="98">
        <v>23</v>
      </c>
      <c r="E23" s="106" t="str">
        <f t="shared" ca="1" si="0"/>
        <v>WKK Anlage (Gas)</v>
      </c>
      <c r="F23" s="98" t="s">
        <v>974</v>
      </c>
      <c r="G23" s="102" t="s">
        <v>1350</v>
      </c>
      <c r="H23" s="102" t="s">
        <v>1351</v>
      </c>
      <c r="J23" s="103"/>
    </row>
    <row r="24" spans="4:10">
      <c r="D24" s="98">
        <v>24</v>
      </c>
      <c r="E24" s="106" t="str">
        <f t="shared" ca="1" si="0"/>
        <v>Leistungsbereich von 0kW - 200kW</v>
      </c>
      <c r="F24" s="98" t="s">
        <v>804</v>
      </c>
      <c r="G24" s="98" t="s">
        <v>806</v>
      </c>
      <c r="H24" s="98" t="s">
        <v>807</v>
      </c>
      <c r="J24" s="103"/>
    </row>
    <row r="25" spans="4:10">
      <c r="D25" s="98">
        <v>25</v>
      </c>
      <c r="E25" s="106" t="str">
        <f t="shared" ca="1" si="0"/>
        <v>Leistungsbereich von 70kW - 2000kW</v>
      </c>
      <c r="F25" s="98" t="s">
        <v>805</v>
      </c>
      <c r="G25" s="98" t="s">
        <v>809</v>
      </c>
      <c r="H25" s="98" t="s">
        <v>808</v>
      </c>
      <c r="J25" s="103"/>
    </row>
    <row r="26" spans="4:10">
      <c r="D26" s="98">
        <v>26</v>
      </c>
      <c r="E26" s="106" t="str">
        <f t="shared" ca="1" si="0"/>
        <v>Faktoren Energieträger</v>
      </c>
      <c r="F26" s="98" t="s">
        <v>29</v>
      </c>
      <c r="G26" s="98" t="s">
        <v>458</v>
      </c>
      <c r="H26" s="98" t="s">
        <v>517</v>
      </c>
      <c r="J26" s="103"/>
    </row>
    <row r="27" spans="4:10">
      <c r="D27" s="98">
        <v>27</v>
      </c>
      <c r="E27" s="106" t="str">
        <f t="shared" ca="1" si="0"/>
        <v>Dichte</v>
      </c>
      <c r="F27" s="98" t="s">
        <v>20</v>
      </c>
      <c r="G27" s="98" t="s">
        <v>379</v>
      </c>
      <c r="H27" s="98" t="s">
        <v>518</v>
      </c>
      <c r="J27" s="103"/>
    </row>
    <row r="28" spans="4:10">
      <c r="D28" s="98">
        <v>28</v>
      </c>
      <c r="E28" s="106" t="str">
        <f t="shared" ca="1" si="0"/>
        <v>Brennwert</v>
      </c>
      <c r="F28" s="98" t="s">
        <v>21</v>
      </c>
      <c r="G28" s="98" t="s">
        <v>457</v>
      </c>
      <c r="H28" s="98" t="s">
        <v>519</v>
      </c>
      <c r="J28" s="103"/>
    </row>
    <row r="29" spans="4:10">
      <c r="D29" s="98">
        <v>29</v>
      </c>
      <c r="E29" s="106" t="str">
        <f t="shared" ca="1" si="0"/>
        <v>Primärenergie</v>
      </c>
      <c r="F29" s="98" t="s">
        <v>27</v>
      </c>
      <c r="G29" s="98" t="s">
        <v>381</v>
      </c>
      <c r="H29" s="98" t="s">
        <v>520</v>
      </c>
      <c r="J29" s="103"/>
    </row>
    <row r="30" spans="4:10">
      <c r="D30" s="98">
        <v>30</v>
      </c>
      <c r="E30" s="106" t="str">
        <f t="shared" ca="1" si="0"/>
        <v>Treibhausgas (KBOB)</v>
      </c>
      <c r="F30" s="98" t="s">
        <v>976</v>
      </c>
      <c r="G30" s="98" t="s">
        <v>977</v>
      </c>
      <c r="H30" s="98" t="s">
        <v>978</v>
      </c>
      <c r="J30" s="103"/>
    </row>
    <row r="31" spans="4:10">
      <c r="D31" s="98">
        <v>31</v>
      </c>
      <c r="E31" s="106" t="str">
        <f t="shared" ca="1" si="0"/>
        <v>UBP</v>
      </c>
      <c r="F31" s="98" t="s">
        <v>23</v>
      </c>
      <c r="G31" s="98" t="s">
        <v>502</v>
      </c>
      <c r="H31" s="98" t="s">
        <v>521</v>
      </c>
      <c r="J31" s="103"/>
    </row>
    <row r="32" spans="4:10">
      <c r="D32" s="98">
        <v>32</v>
      </c>
      <c r="E32" s="106" t="str">
        <f t="shared" ca="1" si="0"/>
        <v>Faktoren Energieträger</v>
      </c>
      <c r="F32" s="98" t="s">
        <v>29</v>
      </c>
      <c r="G32" s="98" t="s">
        <v>458</v>
      </c>
      <c r="H32" s="98" t="s">
        <v>517</v>
      </c>
      <c r="J32" s="103"/>
    </row>
    <row r="33" spans="4:10">
      <c r="D33" s="98">
        <v>33</v>
      </c>
      <c r="E33" s="106" t="str">
        <f t="shared" ca="1" si="0"/>
        <v>eigene</v>
      </c>
      <c r="F33" s="98" t="s">
        <v>31</v>
      </c>
      <c r="G33" s="98" t="s">
        <v>380</v>
      </c>
      <c r="H33" s="98" t="s">
        <v>649</v>
      </c>
      <c r="J33" s="103"/>
    </row>
    <row r="34" spans="4:10">
      <c r="D34" s="98">
        <v>34</v>
      </c>
      <c r="E34" s="106" t="str">
        <f t="shared" ca="1" si="0"/>
        <v>Standard</v>
      </c>
      <c r="F34" s="98" t="s">
        <v>30</v>
      </c>
      <c r="G34" s="98" t="s">
        <v>30</v>
      </c>
      <c r="H34" s="98" t="s">
        <v>30</v>
      </c>
      <c r="J34" s="103"/>
    </row>
    <row r="35" spans="4:10">
      <c r="D35" s="98">
        <v>35</v>
      </c>
      <c r="E35" s="106" t="str">
        <f t="shared" ca="1" si="0"/>
        <v>Kontakt</v>
      </c>
      <c r="F35" s="98" t="s">
        <v>304</v>
      </c>
      <c r="G35" s="102" t="s">
        <v>41</v>
      </c>
      <c r="H35" s="102" t="s">
        <v>42</v>
      </c>
      <c r="J35" s="103"/>
    </row>
    <row r="36" spans="4:10">
      <c r="D36" s="98">
        <v>36</v>
      </c>
      <c r="E36" s="106" t="str">
        <f t="shared" ca="1" si="0"/>
        <v>Firma:</v>
      </c>
      <c r="F36" s="98" t="s">
        <v>38</v>
      </c>
      <c r="G36" s="102" t="s">
        <v>43</v>
      </c>
      <c r="H36" s="102" t="s">
        <v>44</v>
      </c>
      <c r="J36" s="103"/>
    </row>
    <row r="37" spans="4:10">
      <c r="D37" s="98">
        <v>37</v>
      </c>
      <c r="E37" s="106" t="str">
        <f t="shared" ca="1" si="0"/>
        <v>Vorname, Name:</v>
      </c>
      <c r="F37" s="98" t="s">
        <v>45</v>
      </c>
      <c r="G37" s="102" t="s">
        <v>46</v>
      </c>
      <c r="H37" s="102" t="s">
        <v>47</v>
      </c>
      <c r="J37" s="103"/>
    </row>
    <row r="38" spans="4:10">
      <c r="D38" s="98">
        <v>38</v>
      </c>
      <c r="E38" s="106" t="str">
        <f t="shared" ca="1" si="0"/>
        <v>Strasse / Nr.:</v>
      </c>
      <c r="F38" s="98" t="s">
        <v>48</v>
      </c>
      <c r="G38" s="102" t="s">
        <v>49</v>
      </c>
      <c r="H38" s="102" t="s">
        <v>50</v>
      </c>
      <c r="J38" s="103"/>
    </row>
    <row r="39" spans="4:10">
      <c r="D39" s="98">
        <v>39</v>
      </c>
      <c r="E39" s="106" t="str">
        <f t="shared" ca="1" si="0"/>
        <v>Tel:</v>
      </c>
      <c r="F39" s="98" t="s">
        <v>39</v>
      </c>
      <c r="G39" s="102" t="s">
        <v>51</v>
      </c>
      <c r="H39" s="102" t="s">
        <v>39</v>
      </c>
      <c r="J39" s="103"/>
    </row>
    <row r="40" spans="4:10">
      <c r="D40" s="98">
        <v>40</v>
      </c>
      <c r="E40" s="106" t="str">
        <f t="shared" ca="1" si="0"/>
        <v>E-Mail:</v>
      </c>
      <c r="F40" s="98" t="s">
        <v>40</v>
      </c>
      <c r="G40" s="102" t="s">
        <v>52</v>
      </c>
      <c r="H40" s="102" t="s">
        <v>52</v>
      </c>
      <c r="J40" s="103"/>
    </row>
    <row r="41" spans="4:10">
      <c r="D41" s="98">
        <v>41</v>
      </c>
      <c r="E41" s="106" t="str">
        <f t="shared" ca="1" si="0"/>
        <v>PLZ, Ort:</v>
      </c>
      <c r="F41" s="98" t="s">
        <v>53</v>
      </c>
      <c r="G41" s="102" t="s">
        <v>54</v>
      </c>
      <c r="H41" s="102" t="s">
        <v>523</v>
      </c>
      <c r="J41" s="103"/>
    </row>
    <row r="42" spans="4:10">
      <c r="D42" s="98">
        <v>42</v>
      </c>
      <c r="E42" s="106" t="str">
        <f t="shared" ca="1" si="0"/>
        <v>Objektadresse</v>
      </c>
      <c r="F42" s="98" t="s">
        <v>305</v>
      </c>
      <c r="G42" s="102" t="s">
        <v>55</v>
      </c>
      <c r="H42" s="102" t="s">
        <v>56</v>
      </c>
      <c r="J42" s="103"/>
    </row>
    <row r="43" spans="4:10">
      <c r="D43" s="98">
        <v>43</v>
      </c>
      <c r="E43" s="106" t="str">
        <f t="shared" ca="1" si="0"/>
        <v>Objektdaten:</v>
      </c>
      <c r="F43" s="98" t="s">
        <v>296</v>
      </c>
      <c r="G43" s="102" t="s">
        <v>57</v>
      </c>
      <c r="H43" s="102" t="s">
        <v>58</v>
      </c>
      <c r="J43" s="103"/>
    </row>
    <row r="44" spans="4:10">
      <c r="D44" s="98">
        <v>44</v>
      </c>
      <c r="E44" s="106" t="str">
        <f t="shared" ca="1" si="0"/>
        <v>Gebäudedaten</v>
      </c>
      <c r="F44" s="98" t="s">
        <v>59</v>
      </c>
      <c r="G44" s="102" t="s">
        <v>60</v>
      </c>
      <c r="H44" s="102" t="s">
        <v>61</v>
      </c>
      <c r="J44" s="103"/>
    </row>
    <row r="45" spans="4:10">
      <c r="D45" s="98">
        <v>45</v>
      </c>
      <c r="E45" s="106" t="str">
        <f t="shared" ca="1" si="0"/>
        <v>Gebäudekategorie</v>
      </c>
      <c r="F45" s="98" t="s">
        <v>62</v>
      </c>
      <c r="G45" s="102" t="s">
        <v>63</v>
      </c>
      <c r="H45" s="102" t="s">
        <v>64</v>
      </c>
      <c r="J45" s="103"/>
    </row>
    <row r="46" spans="4:10">
      <c r="D46" s="98">
        <v>46</v>
      </c>
      <c r="E46" s="106" t="str">
        <f t="shared" ca="1" si="0"/>
        <v>EBF:</v>
      </c>
      <c r="F46" s="98" t="s">
        <v>65</v>
      </c>
      <c r="G46" s="102" t="s">
        <v>66</v>
      </c>
      <c r="H46" s="102" t="s">
        <v>66</v>
      </c>
      <c r="J46" s="103"/>
    </row>
    <row r="47" spans="4:10">
      <c r="D47" s="98">
        <v>47</v>
      </c>
      <c r="E47" s="106" t="str">
        <f t="shared" ca="1" si="0"/>
        <v>Heizwärmebedarf</v>
      </c>
      <c r="F47" s="98" t="s">
        <v>1107</v>
      </c>
      <c r="G47" s="102" t="s">
        <v>1267</v>
      </c>
      <c r="H47" s="102" t="s">
        <v>1268</v>
      </c>
      <c r="J47" s="103"/>
    </row>
    <row r="48" spans="4:10">
      <c r="D48" s="98">
        <v>48</v>
      </c>
      <c r="E48" s="106" t="str">
        <f t="shared" ca="1" si="0"/>
        <v>Wohnen MFH</v>
      </c>
      <c r="F48" s="98" t="s">
        <v>67</v>
      </c>
      <c r="G48" s="102" t="s">
        <v>68</v>
      </c>
      <c r="H48" s="102" t="s">
        <v>69</v>
      </c>
      <c r="J48" s="103"/>
    </row>
    <row r="49" spans="4:10">
      <c r="D49" s="98">
        <v>49</v>
      </c>
      <c r="E49" s="106" t="str">
        <f t="shared" ca="1" si="0"/>
        <v>Wohnen EFH</v>
      </c>
      <c r="F49" s="98" t="s">
        <v>70</v>
      </c>
      <c r="G49" s="102" t="s">
        <v>71</v>
      </c>
      <c r="H49" s="102" t="s">
        <v>72</v>
      </c>
      <c r="J49" s="103"/>
    </row>
    <row r="50" spans="4:10">
      <c r="D50" s="98">
        <v>50</v>
      </c>
      <c r="E50" s="106" t="str">
        <f t="shared" ca="1" si="0"/>
        <v>Verwaltung</v>
      </c>
      <c r="F50" s="98" t="s">
        <v>73</v>
      </c>
      <c r="G50" s="102" t="s">
        <v>74</v>
      </c>
      <c r="H50" s="102" t="s">
        <v>75</v>
      </c>
      <c r="J50" s="103"/>
    </row>
    <row r="51" spans="4:10">
      <c r="D51" s="98">
        <v>51</v>
      </c>
      <c r="E51" s="106" t="str">
        <f t="shared" ca="1" si="0"/>
        <v>Projektdaten</v>
      </c>
      <c r="F51" s="98" t="s">
        <v>76</v>
      </c>
      <c r="G51" s="98" t="s">
        <v>382</v>
      </c>
      <c r="H51" s="98" t="s">
        <v>524</v>
      </c>
      <c r="J51" s="103"/>
    </row>
    <row r="52" spans="4:10">
      <c r="D52" s="98">
        <v>52</v>
      </c>
      <c r="E52" s="106" t="str">
        <f t="shared" ca="1" si="0"/>
        <v>Projekt:</v>
      </c>
      <c r="F52" s="98" t="s">
        <v>77</v>
      </c>
      <c r="G52" s="98" t="s">
        <v>383</v>
      </c>
      <c r="H52" s="98" t="s">
        <v>525</v>
      </c>
      <c r="J52" s="103"/>
    </row>
    <row r="53" spans="4:10">
      <c r="D53" s="98">
        <v>53</v>
      </c>
      <c r="E53" s="106" t="str">
        <f t="shared" ca="1" si="0"/>
        <v>Gebäudenutzung:</v>
      </c>
      <c r="F53" s="98" t="s">
        <v>78</v>
      </c>
      <c r="G53" s="98" t="s">
        <v>390</v>
      </c>
      <c r="H53" s="98" t="s">
        <v>526</v>
      </c>
      <c r="J53" s="103"/>
    </row>
    <row r="54" spans="4:10">
      <c r="D54" s="98">
        <v>54</v>
      </c>
      <c r="E54" s="106" t="str">
        <f t="shared" ca="1" si="0"/>
        <v>Klimastation:</v>
      </c>
      <c r="F54" s="98" t="s">
        <v>79</v>
      </c>
      <c r="G54" s="98" t="s">
        <v>384</v>
      </c>
      <c r="H54" s="98" t="s">
        <v>527</v>
      </c>
      <c r="J54" s="103"/>
    </row>
    <row r="55" spans="4:10">
      <c r="D55" s="98">
        <v>55</v>
      </c>
      <c r="E55" s="106" t="str">
        <f t="shared" ca="1" si="0"/>
        <v>Neubau</v>
      </c>
      <c r="F55" s="98" t="s">
        <v>126</v>
      </c>
      <c r="G55" s="98" t="s">
        <v>385</v>
      </c>
      <c r="H55" s="98" t="s">
        <v>528</v>
      </c>
      <c r="J55" s="103"/>
    </row>
    <row r="56" spans="4:10">
      <c r="D56" s="98">
        <v>56</v>
      </c>
      <c r="E56" s="106" t="str">
        <f t="shared" ca="1" si="0"/>
        <v>Ersatz</v>
      </c>
      <c r="F56" s="98" t="s">
        <v>127</v>
      </c>
      <c r="G56" s="98" t="s">
        <v>386</v>
      </c>
      <c r="H56" s="98" t="s">
        <v>529</v>
      </c>
      <c r="J56" s="103"/>
    </row>
    <row r="57" spans="4:10">
      <c r="D57" s="98">
        <v>57</v>
      </c>
      <c r="E57" s="106" t="str">
        <f t="shared" ca="1" si="0"/>
        <v>Standard</v>
      </c>
      <c r="F57" s="98" t="s">
        <v>30</v>
      </c>
      <c r="G57" s="98" t="s">
        <v>30</v>
      </c>
      <c r="H57" s="98" t="s">
        <v>30</v>
      </c>
      <c r="J57" s="103"/>
    </row>
    <row r="58" spans="4:10">
      <c r="D58" s="98">
        <v>58</v>
      </c>
      <c r="E58" s="106" t="str">
        <f t="shared" ca="1" si="0"/>
        <v>Energiebezugsfläche (EBF):</v>
      </c>
      <c r="F58" s="98" t="s">
        <v>128</v>
      </c>
      <c r="G58" s="98" t="s">
        <v>387</v>
      </c>
      <c r="H58" s="98" t="s">
        <v>530</v>
      </c>
      <c r="J58" s="103"/>
    </row>
    <row r="59" spans="4:10">
      <c r="D59" s="98">
        <v>59</v>
      </c>
      <c r="E59" s="106" t="str">
        <f t="shared" ca="1" si="0"/>
        <v>Grenzwert SIA 380/1</v>
      </c>
      <c r="F59" s="98" t="s">
        <v>145</v>
      </c>
      <c r="G59" s="98" t="s">
        <v>388</v>
      </c>
      <c r="H59" s="98" t="s">
        <v>531</v>
      </c>
      <c r="J59" s="103"/>
    </row>
    <row r="60" spans="4:10">
      <c r="D60" s="98">
        <v>60</v>
      </c>
      <c r="E60" s="106" t="str">
        <f t="shared" ca="1" si="0"/>
        <v>Minergie</v>
      </c>
      <c r="F60" s="98" t="s">
        <v>389</v>
      </c>
      <c r="G60" s="98" t="s">
        <v>389</v>
      </c>
      <c r="H60" s="98" t="s">
        <v>389</v>
      </c>
      <c r="J60" s="103"/>
    </row>
    <row r="61" spans="4:10">
      <c r="D61" s="98">
        <v>61</v>
      </c>
      <c r="E61" s="106" t="str">
        <f t="shared" ca="1" si="0"/>
        <v>Minergie-P</v>
      </c>
      <c r="F61" s="98" t="s">
        <v>80</v>
      </c>
      <c r="G61" s="98" t="s">
        <v>80</v>
      </c>
      <c r="H61" s="98" t="s">
        <v>80</v>
      </c>
      <c r="J61" s="103"/>
    </row>
    <row r="62" spans="4:10">
      <c r="D62" s="98">
        <v>62</v>
      </c>
      <c r="E62" s="106" t="str">
        <f t="shared" ca="1" si="0"/>
        <v>Bitte wählen …</v>
      </c>
      <c r="F62" s="102" t="s">
        <v>122</v>
      </c>
      <c r="G62" s="102" t="s">
        <v>123</v>
      </c>
      <c r="H62" s="102" t="s">
        <v>124</v>
      </c>
      <c r="J62" s="103"/>
    </row>
    <row r="63" spans="4:10">
      <c r="D63" s="98">
        <v>63</v>
      </c>
      <c r="E63" s="106" t="str">
        <f t="shared" ca="1" si="0"/>
        <v>Adelboden</v>
      </c>
      <c r="F63" s="104" t="s">
        <v>81</v>
      </c>
      <c r="G63" s="104" t="s">
        <v>81</v>
      </c>
      <c r="H63" s="104" t="s">
        <v>81</v>
      </c>
      <c r="J63" s="103"/>
    </row>
    <row r="64" spans="4:10">
      <c r="D64" s="98">
        <v>64</v>
      </c>
      <c r="E64" s="106" t="str">
        <f t="shared" ca="1" si="0"/>
        <v>Aigle</v>
      </c>
      <c r="F64" s="104" t="s">
        <v>82</v>
      </c>
      <c r="G64" s="104" t="s">
        <v>82</v>
      </c>
      <c r="H64" s="104" t="s">
        <v>82</v>
      </c>
      <c r="J64" s="103"/>
    </row>
    <row r="65" spans="4:10">
      <c r="D65" s="98">
        <v>65</v>
      </c>
      <c r="E65" s="106" t="str">
        <f t="shared" ca="1" si="0"/>
        <v>Altdorf</v>
      </c>
      <c r="F65" s="104" t="s">
        <v>83</v>
      </c>
      <c r="G65" s="104" t="s">
        <v>83</v>
      </c>
      <c r="H65" s="104" t="s">
        <v>83</v>
      </c>
      <c r="J65" s="103"/>
    </row>
    <row r="66" spans="4:10">
      <c r="D66" s="98">
        <v>66</v>
      </c>
      <c r="E66" s="106" t="str">
        <f t="shared" ca="1" si="0"/>
        <v>Basel-Binningen</v>
      </c>
      <c r="F66" s="104" t="s">
        <v>84</v>
      </c>
      <c r="G66" s="104" t="s">
        <v>84</v>
      </c>
      <c r="H66" s="104" t="s">
        <v>84</v>
      </c>
      <c r="J66" s="103"/>
    </row>
    <row r="67" spans="4:10">
      <c r="D67" s="98">
        <v>67</v>
      </c>
      <c r="E67" s="106" t="str">
        <f t="shared" ca="1" si="0"/>
        <v>Bern-Liebefeld</v>
      </c>
      <c r="F67" s="104" t="s">
        <v>85</v>
      </c>
      <c r="G67" s="104" t="s">
        <v>85</v>
      </c>
      <c r="H67" s="104" t="s">
        <v>85</v>
      </c>
      <c r="J67" s="103"/>
    </row>
    <row r="68" spans="4:10">
      <c r="D68" s="98">
        <v>68</v>
      </c>
      <c r="E68" s="106" t="str">
        <f t="shared" ca="1" si="0"/>
        <v>Buchs-Aarau</v>
      </c>
      <c r="F68" s="104" t="s">
        <v>86</v>
      </c>
      <c r="G68" s="104" t="s">
        <v>86</v>
      </c>
      <c r="H68" s="104" t="s">
        <v>86</v>
      </c>
      <c r="J68" s="103"/>
    </row>
    <row r="69" spans="4:10">
      <c r="D69" s="98">
        <v>69</v>
      </c>
      <c r="E69" s="106" t="str">
        <f t="shared" ca="1" si="0"/>
        <v>Chur</v>
      </c>
      <c r="F69" s="104" t="s">
        <v>87</v>
      </c>
      <c r="G69" s="104" t="s">
        <v>87</v>
      </c>
      <c r="H69" s="104" t="s">
        <v>87</v>
      </c>
      <c r="J69" s="103"/>
    </row>
    <row r="70" spans="4:10">
      <c r="D70" s="98">
        <v>70</v>
      </c>
      <c r="E70" s="106" t="str">
        <f t="shared" ca="1" si="0"/>
        <v>Davos</v>
      </c>
      <c r="F70" s="104" t="s">
        <v>88</v>
      </c>
      <c r="G70" s="104" t="s">
        <v>88</v>
      </c>
      <c r="H70" s="104" t="s">
        <v>88</v>
      </c>
      <c r="J70" s="103"/>
    </row>
    <row r="71" spans="4:10">
      <c r="D71" s="98">
        <v>71</v>
      </c>
      <c r="E71" s="106" t="str">
        <f t="shared" ca="1" si="0"/>
        <v>Disentis</v>
      </c>
      <c r="F71" s="104" t="s">
        <v>89</v>
      </c>
      <c r="G71" s="104" t="s">
        <v>89</v>
      </c>
      <c r="H71" s="104" t="s">
        <v>89</v>
      </c>
      <c r="J71" s="103"/>
    </row>
    <row r="72" spans="4:10">
      <c r="D72" s="98">
        <v>72</v>
      </c>
      <c r="E72" s="106" t="str">
        <f t="shared" ca="1" si="0"/>
        <v>Engelberg</v>
      </c>
      <c r="F72" s="104" t="s">
        <v>90</v>
      </c>
      <c r="G72" s="104" t="s">
        <v>90</v>
      </c>
      <c r="H72" s="104" t="s">
        <v>90</v>
      </c>
      <c r="J72" s="103"/>
    </row>
    <row r="73" spans="4:10">
      <c r="D73" s="98">
        <v>73</v>
      </c>
      <c r="E73" s="106" t="str">
        <f t="shared" ca="1" si="0"/>
        <v>Genève Cointrin</v>
      </c>
      <c r="F73" s="104" t="s">
        <v>91</v>
      </c>
      <c r="G73" s="104" t="s">
        <v>91</v>
      </c>
      <c r="H73" s="104" t="s">
        <v>91</v>
      </c>
      <c r="J73" s="103"/>
    </row>
    <row r="74" spans="4:10">
      <c r="D74" s="98">
        <v>74</v>
      </c>
      <c r="E74" s="106" t="str">
        <f t="shared" ca="1" si="0"/>
        <v>Glarus</v>
      </c>
      <c r="F74" s="104" t="s">
        <v>92</v>
      </c>
      <c r="G74" s="104" t="s">
        <v>92</v>
      </c>
      <c r="H74" s="104" t="s">
        <v>92</v>
      </c>
      <c r="J74" s="103"/>
    </row>
    <row r="75" spans="4:10">
      <c r="D75" s="98">
        <v>75</v>
      </c>
      <c r="E75" s="106" t="str">
        <f t="shared" ca="1" si="0"/>
        <v>Grand St.Bernard</v>
      </c>
      <c r="F75" s="104" t="s">
        <v>93</v>
      </c>
      <c r="G75" s="104" t="s">
        <v>93</v>
      </c>
      <c r="H75" s="104" t="s">
        <v>93</v>
      </c>
      <c r="J75" s="103"/>
    </row>
    <row r="76" spans="4:10">
      <c r="D76" s="98">
        <v>76</v>
      </c>
      <c r="E76" s="106" t="str">
        <f t="shared" ref="E76:E139" ca="1" si="1">INDIRECT($C$9&amp;D76)</f>
        <v>Güttingen</v>
      </c>
      <c r="F76" s="104" t="s">
        <v>94</v>
      </c>
      <c r="G76" s="104" t="s">
        <v>94</v>
      </c>
      <c r="H76" s="104" t="s">
        <v>94</v>
      </c>
      <c r="J76" s="103"/>
    </row>
    <row r="77" spans="4:10">
      <c r="D77" s="98">
        <v>77</v>
      </c>
      <c r="E77" s="106" t="str">
        <f t="shared" ca="1" si="1"/>
        <v>Interlaken</v>
      </c>
      <c r="F77" s="104" t="s">
        <v>95</v>
      </c>
      <c r="G77" s="104" t="s">
        <v>95</v>
      </c>
      <c r="H77" s="104" t="s">
        <v>95</v>
      </c>
      <c r="J77" s="103"/>
    </row>
    <row r="78" spans="4:10">
      <c r="D78" s="98">
        <v>78</v>
      </c>
      <c r="E78" s="106" t="str">
        <f t="shared" ca="1" si="1"/>
        <v>La Chaux de Fonds</v>
      </c>
      <c r="F78" s="104" t="s">
        <v>96</v>
      </c>
      <c r="G78" s="104" t="s">
        <v>96</v>
      </c>
      <c r="H78" s="104" t="s">
        <v>96</v>
      </c>
      <c r="J78" s="103"/>
    </row>
    <row r="79" spans="4:10">
      <c r="D79" s="98">
        <v>79</v>
      </c>
      <c r="E79" s="106" t="str">
        <f t="shared" ca="1" si="1"/>
        <v>La Frêtaz</v>
      </c>
      <c r="F79" s="104" t="s">
        <v>97</v>
      </c>
      <c r="G79" s="104" t="s">
        <v>97</v>
      </c>
      <c r="H79" s="104" t="s">
        <v>97</v>
      </c>
      <c r="J79" s="103"/>
    </row>
    <row r="80" spans="4:10">
      <c r="D80" s="98">
        <v>80</v>
      </c>
      <c r="E80" s="106" t="str">
        <f t="shared" ca="1" si="1"/>
        <v>Locarno Monti</v>
      </c>
      <c r="F80" s="104" t="s">
        <v>98</v>
      </c>
      <c r="G80" s="104" t="s">
        <v>98</v>
      </c>
      <c r="H80" s="104" t="s">
        <v>98</v>
      </c>
      <c r="J80" s="103"/>
    </row>
    <row r="81" spans="4:10">
      <c r="D81" s="98">
        <v>81</v>
      </c>
      <c r="E81" s="106" t="str">
        <f t="shared" ca="1" si="1"/>
        <v>Lugano</v>
      </c>
      <c r="F81" s="104" t="s">
        <v>99</v>
      </c>
      <c r="G81" s="104" t="s">
        <v>99</v>
      </c>
      <c r="H81" s="104" t="s">
        <v>99</v>
      </c>
      <c r="J81" s="103"/>
    </row>
    <row r="82" spans="4:10">
      <c r="D82" s="98">
        <v>82</v>
      </c>
      <c r="E82" s="106" t="str">
        <f t="shared" ca="1" si="1"/>
        <v>Luzern</v>
      </c>
      <c r="F82" s="104" t="s">
        <v>100</v>
      </c>
      <c r="G82" s="104" t="s">
        <v>100</v>
      </c>
      <c r="H82" s="104" t="s">
        <v>100</v>
      </c>
      <c r="J82" s="103"/>
    </row>
    <row r="83" spans="4:10">
      <c r="D83" s="98">
        <v>83</v>
      </c>
      <c r="E83" s="106" t="str">
        <f t="shared" ca="1" si="1"/>
        <v>Magadino</v>
      </c>
      <c r="F83" s="104" t="s">
        <v>101</v>
      </c>
      <c r="G83" s="104" t="s">
        <v>101</v>
      </c>
      <c r="H83" s="104" t="s">
        <v>101</v>
      </c>
      <c r="J83" s="103"/>
    </row>
    <row r="84" spans="4:10">
      <c r="D84" s="98">
        <v>84</v>
      </c>
      <c r="E84" s="106" t="str">
        <f t="shared" ca="1" si="1"/>
        <v>Montana</v>
      </c>
      <c r="F84" s="104" t="s">
        <v>102</v>
      </c>
      <c r="G84" s="104" t="s">
        <v>102</v>
      </c>
      <c r="H84" s="104" t="s">
        <v>102</v>
      </c>
      <c r="J84" s="103"/>
    </row>
    <row r="85" spans="4:10">
      <c r="D85" s="98">
        <v>85</v>
      </c>
      <c r="E85" s="106" t="str">
        <f t="shared" ca="1" si="1"/>
        <v>Neuchâtel</v>
      </c>
      <c r="F85" s="104" t="s">
        <v>103</v>
      </c>
      <c r="G85" s="104" t="s">
        <v>103</v>
      </c>
      <c r="H85" s="104" t="s">
        <v>103</v>
      </c>
      <c r="J85" s="103"/>
    </row>
    <row r="86" spans="4:10">
      <c r="D86" s="98">
        <v>86</v>
      </c>
      <c r="E86" s="106" t="str">
        <f t="shared" ca="1" si="1"/>
        <v>Payerne</v>
      </c>
      <c r="F86" s="104" t="s">
        <v>104</v>
      </c>
      <c r="G86" s="104" t="s">
        <v>104</v>
      </c>
      <c r="H86" s="104" t="s">
        <v>104</v>
      </c>
      <c r="J86" s="103"/>
    </row>
    <row r="87" spans="4:10">
      <c r="D87" s="98">
        <v>87</v>
      </c>
      <c r="E87" s="106" t="str">
        <f t="shared" ca="1" si="1"/>
        <v>Piotta</v>
      </c>
      <c r="F87" s="104" t="s">
        <v>105</v>
      </c>
      <c r="G87" s="104" t="s">
        <v>105</v>
      </c>
      <c r="H87" s="104" t="s">
        <v>105</v>
      </c>
      <c r="J87" s="103"/>
    </row>
    <row r="88" spans="4:10">
      <c r="D88" s="98">
        <v>88</v>
      </c>
      <c r="E88" s="106" t="str">
        <f t="shared" ca="1" si="1"/>
        <v>Pully</v>
      </c>
      <c r="F88" s="104" t="s">
        <v>106</v>
      </c>
      <c r="G88" s="104" t="s">
        <v>106</v>
      </c>
      <c r="H88" s="104" t="s">
        <v>106</v>
      </c>
      <c r="J88" s="103"/>
    </row>
    <row r="89" spans="4:10">
      <c r="D89" s="98">
        <v>89</v>
      </c>
      <c r="E89" s="106" t="str">
        <f t="shared" ca="1" si="1"/>
        <v>Robbia</v>
      </c>
      <c r="F89" s="104" t="s">
        <v>107</v>
      </c>
      <c r="G89" s="104" t="s">
        <v>107</v>
      </c>
      <c r="H89" s="104" t="s">
        <v>107</v>
      </c>
      <c r="J89" s="103"/>
    </row>
    <row r="90" spans="4:10">
      <c r="D90" s="98">
        <v>90</v>
      </c>
      <c r="E90" s="106" t="str">
        <f t="shared" ca="1" si="1"/>
        <v>Rünenberg</v>
      </c>
      <c r="F90" s="104" t="s">
        <v>108</v>
      </c>
      <c r="G90" s="104" t="s">
        <v>108</v>
      </c>
      <c r="H90" s="104" t="s">
        <v>108</v>
      </c>
      <c r="J90" s="103"/>
    </row>
    <row r="91" spans="4:10">
      <c r="D91" s="98">
        <v>91</v>
      </c>
      <c r="E91" s="106" t="str">
        <f t="shared" ca="1" si="1"/>
        <v>Samedan</v>
      </c>
      <c r="F91" s="104" t="s">
        <v>109</v>
      </c>
      <c r="G91" s="104" t="s">
        <v>109</v>
      </c>
      <c r="H91" s="104" t="s">
        <v>109</v>
      </c>
      <c r="J91" s="103"/>
    </row>
    <row r="92" spans="4:10">
      <c r="D92" s="98">
        <v>92</v>
      </c>
      <c r="E92" s="106" t="str">
        <f t="shared" ca="1" si="1"/>
        <v>San Bernardino</v>
      </c>
      <c r="F92" s="104" t="s">
        <v>110</v>
      </c>
      <c r="G92" s="104" t="s">
        <v>110</v>
      </c>
      <c r="H92" s="104" t="s">
        <v>110</v>
      </c>
      <c r="J92" s="103"/>
    </row>
    <row r="93" spans="4:10">
      <c r="D93" s="98">
        <v>93</v>
      </c>
      <c r="E93" s="106" t="str">
        <f t="shared" ca="1" si="1"/>
        <v>St.Gallen</v>
      </c>
      <c r="F93" s="104" t="s">
        <v>111</v>
      </c>
      <c r="G93" s="104" t="s">
        <v>111</v>
      </c>
      <c r="H93" s="104" t="s">
        <v>111</v>
      </c>
      <c r="J93" s="103"/>
    </row>
    <row r="94" spans="4:10">
      <c r="D94" s="98">
        <v>94</v>
      </c>
      <c r="E94" s="106" t="str">
        <f t="shared" ca="1" si="1"/>
        <v>Schaffhausen</v>
      </c>
      <c r="F94" s="104" t="s">
        <v>112</v>
      </c>
      <c r="G94" s="104" t="s">
        <v>112</v>
      </c>
      <c r="H94" s="104" t="s">
        <v>112</v>
      </c>
      <c r="J94" s="103"/>
    </row>
    <row r="95" spans="4:10">
      <c r="D95" s="98">
        <v>95</v>
      </c>
      <c r="E95" s="106" t="str">
        <f t="shared" ca="1" si="1"/>
        <v>Scuol</v>
      </c>
      <c r="F95" s="104" t="s">
        <v>113</v>
      </c>
      <c r="G95" s="104" t="s">
        <v>113</v>
      </c>
      <c r="H95" s="104" t="s">
        <v>113</v>
      </c>
      <c r="J95" s="103"/>
    </row>
    <row r="96" spans="4:10">
      <c r="D96" s="98">
        <v>96</v>
      </c>
      <c r="E96" s="106" t="str">
        <f t="shared" ca="1" si="1"/>
        <v>Sion</v>
      </c>
      <c r="F96" s="104" t="s">
        <v>114</v>
      </c>
      <c r="G96" s="104" t="s">
        <v>114</v>
      </c>
      <c r="H96" s="104" t="s">
        <v>114</v>
      </c>
      <c r="J96" s="103"/>
    </row>
    <row r="97" spans="4:10">
      <c r="D97" s="98">
        <v>97</v>
      </c>
      <c r="E97" s="106" t="str">
        <f t="shared" ca="1" si="1"/>
        <v>Ulrichen</v>
      </c>
      <c r="F97" s="104" t="s">
        <v>115</v>
      </c>
      <c r="G97" s="104" t="s">
        <v>115</v>
      </c>
      <c r="H97" s="104" t="s">
        <v>115</v>
      </c>
      <c r="J97" s="103"/>
    </row>
    <row r="98" spans="4:10">
      <c r="D98" s="98">
        <v>98</v>
      </c>
      <c r="E98" s="106" t="str">
        <f t="shared" ca="1" si="1"/>
        <v>Vaduz</v>
      </c>
      <c r="F98" s="104" t="s">
        <v>116</v>
      </c>
      <c r="G98" s="104" t="s">
        <v>116</v>
      </c>
      <c r="H98" s="104" t="s">
        <v>116</v>
      </c>
      <c r="J98" s="103"/>
    </row>
    <row r="99" spans="4:10">
      <c r="D99" s="98">
        <v>99</v>
      </c>
      <c r="E99" s="106" t="str">
        <f t="shared" ca="1" si="1"/>
        <v>Wynau</v>
      </c>
      <c r="F99" s="104" t="s">
        <v>117</v>
      </c>
      <c r="G99" s="104" t="s">
        <v>117</v>
      </c>
      <c r="H99" s="104" t="s">
        <v>117</v>
      </c>
      <c r="J99" s="103"/>
    </row>
    <row r="100" spans="4:10">
      <c r="D100" s="98">
        <v>100</v>
      </c>
      <c r="E100" s="106" t="str">
        <f t="shared" ca="1" si="1"/>
        <v>Zermatt</v>
      </c>
      <c r="F100" s="104" t="s">
        <v>118</v>
      </c>
      <c r="G100" s="104" t="s">
        <v>118</v>
      </c>
      <c r="H100" s="104" t="s">
        <v>118</v>
      </c>
      <c r="J100" s="103"/>
    </row>
    <row r="101" spans="4:10">
      <c r="D101" s="98">
        <v>101</v>
      </c>
      <c r="E101" s="106" t="str">
        <f t="shared" ca="1" si="1"/>
        <v>Zürich-Kloten</v>
      </c>
      <c r="F101" s="104" t="s">
        <v>119</v>
      </c>
      <c r="G101" s="104" t="s">
        <v>119</v>
      </c>
      <c r="H101" s="104" t="s">
        <v>119</v>
      </c>
      <c r="J101" s="103"/>
    </row>
    <row r="102" spans="4:10">
      <c r="D102" s="98">
        <v>102</v>
      </c>
      <c r="E102" s="106" t="str">
        <f t="shared" ca="1" si="1"/>
        <v>Zürich-MeteoSchweiz</v>
      </c>
      <c r="F102" s="104" t="s">
        <v>120</v>
      </c>
      <c r="G102" s="104" t="s">
        <v>120</v>
      </c>
      <c r="H102" s="104" t="s">
        <v>120</v>
      </c>
      <c r="J102" s="103"/>
    </row>
    <row r="103" spans="4:10">
      <c r="D103" s="98">
        <v>103</v>
      </c>
      <c r="E103" s="106" t="str">
        <f t="shared" ca="1" si="1"/>
        <v>Neubau</v>
      </c>
      <c r="F103" s="98" t="s">
        <v>126</v>
      </c>
      <c r="G103" s="98" t="s">
        <v>385</v>
      </c>
      <c r="H103" s="98" t="s">
        <v>528</v>
      </c>
      <c r="J103" s="103"/>
    </row>
    <row r="104" spans="4:10">
      <c r="D104" s="98">
        <v>104</v>
      </c>
      <c r="E104" s="106" t="str">
        <f t="shared" ca="1" si="1"/>
        <v>Ersatz (Instandsetzung)</v>
      </c>
      <c r="F104" s="98" t="s">
        <v>1315</v>
      </c>
      <c r="G104" s="98" t="s">
        <v>1352</v>
      </c>
      <c r="H104" s="98" t="s">
        <v>1353</v>
      </c>
      <c r="J104" s="103"/>
    </row>
    <row r="105" spans="4:10">
      <c r="D105" s="98">
        <v>105</v>
      </c>
      <c r="E105" s="106" t="str">
        <f t="shared" ca="1" si="1"/>
        <v>Wärmeerzeugung</v>
      </c>
      <c r="F105" s="98" t="s">
        <v>303</v>
      </c>
      <c r="G105" s="98" t="s">
        <v>467</v>
      </c>
      <c r="H105" s="98" t="s">
        <v>553</v>
      </c>
      <c r="J105" s="103"/>
    </row>
    <row r="106" spans="4:10">
      <c r="D106" s="98">
        <v>106</v>
      </c>
      <c r="E106" s="106" t="str">
        <f t="shared" ca="1" si="1"/>
        <v>Verbrauch</v>
      </c>
      <c r="F106" s="98" t="s">
        <v>1283</v>
      </c>
      <c r="G106" s="98" t="s">
        <v>1284</v>
      </c>
      <c r="H106" s="98" t="s">
        <v>1285</v>
      </c>
      <c r="J106" s="103"/>
    </row>
    <row r="107" spans="4:10">
      <c r="D107" s="98">
        <v>107</v>
      </c>
      <c r="E107" s="106" t="str">
        <f t="shared" ca="1" si="1"/>
        <v>Wärmeerzeugerleistung</v>
      </c>
      <c r="F107" s="98" t="s">
        <v>1106</v>
      </c>
      <c r="G107" s="98" t="s">
        <v>1278</v>
      </c>
      <c r="H107" s="98" t="s">
        <v>605</v>
      </c>
      <c r="J107" s="103"/>
    </row>
    <row r="108" spans="4:10">
      <c r="D108" s="98">
        <v>108</v>
      </c>
      <c r="E108" s="106" t="str">
        <f t="shared" ca="1" si="1"/>
        <v>Abgegebene Wärme</v>
      </c>
      <c r="F108" s="98" t="s">
        <v>262</v>
      </c>
      <c r="G108" s="98" t="s">
        <v>391</v>
      </c>
      <c r="H108" s="98" t="s">
        <v>532</v>
      </c>
      <c r="J108" s="103"/>
    </row>
    <row r="109" spans="4:10">
      <c r="D109" s="98">
        <v>109</v>
      </c>
      <c r="E109" s="106" t="str">
        <f t="shared" ca="1" si="1"/>
        <v>Nutzungsgrad Heizung</v>
      </c>
      <c r="F109" s="98" t="s">
        <v>1286</v>
      </c>
      <c r="G109" s="98" t="s">
        <v>1354</v>
      </c>
      <c r="H109" s="98" t="s">
        <v>1355</v>
      </c>
      <c r="J109" s="103"/>
    </row>
    <row r="110" spans="4:10">
      <c r="D110" s="98">
        <v>110</v>
      </c>
      <c r="E110" s="106" t="str">
        <f t="shared" ca="1" si="1"/>
        <v>Endenergie:</v>
      </c>
      <c r="F110" s="98" t="s">
        <v>137</v>
      </c>
      <c r="G110" s="98" t="s">
        <v>459</v>
      </c>
      <c r="H110" s="98" t="s">
        <v>533</v>
      </c>
      <c r="J110" s="103"/>
    </row>
    <row r="111" spans="4:10">
      <c r="D111" s="98">
        <v>111</v>
      </c>
      <c r="E111" s="106" t="str">
        <f t="shared" ca="1" si="1"/>
        <v>Umweltbelastungspunkte</v>
      </c>
      <c r="F111" s="98" t="s">
        <v>1154</v>
      </c>
      <c r="G111" s="98" t="s">
        <v>502</v>
      </c>
      <c r="H111" s="98" t="s">
        <v>521</v>
      </c>
      <c r="J111" s="103"/>
    </row>
    <row r="112" spans="4:10">
      <c r="D112" s="98">
        <v>112</v>
      </c>
      <c r="E112" s="106" t="str">
        <f t="shared" ca="1" si="1"/>
        <v>Treibhausgase (KBOB)</v>
      </c>
      <c r="F112" s="98" t="s">
        <v>1302</v>
      </c>
      <c r="G112" s="98" t="s">
        <v>1602</v>
      </c>
      <c r="H112" s="98" t="s">
        <v>1356</v>
      </c>
      <c r="J112" s="103"/>
    </row>
    <row r="113" spans="4:10">
      <c r="D113" s="98">
        <v>113</v>
      </c>
      <c r="E113" s="106" t="str">
        <f t="shared" ca="1" si="1"/>
        <v>Investitionskosten</v>
      </c>
      <c r="F113" s="98" t="s">
        <v>319</v>
      </c>
      <c r="G113" s="98" t="s">
        <v>392</v>
      </c>
      <c r="H113" s="98" t="s">
        <v>534</v>
      </c>
      <c r="J113" s="103"/>
    </row>
    <row r="114" spans="4:10">
      <c r="D114" s="98">
        <v>114</v>
      </c>
      <c r="E114" s="106" t="str">
        <f t="shared" ca="1" si="1"/>
        <v>Kapitalkosten:</v>
      </c>
      <c r="F114" s="98" t="s">
        <v>138</v>
      </c>
      <c r="G114" s="98" t="s">
        <v>460</v>
      </c>
      <c r="H114" s="98" t="s">
        <v>535</v>
      </c>
      <c r="J114" s="103"/>
    </row>
    <row r="115" spans="4:10">
      <c r="D115" s="98">
        <v>115</v>
      </c>
      <c r="E115" s="106" t="str">
        <f t="shared" ca="1" si="1"/>
        <v>Unterhaltskosten:</v>
      </c>
      <c r="F115" s="98" t="s">
        <v>207</v>
      </c>
      <c r="G115" s="98" t="s">
        <v>461</v>
      </c>
      <c r="H115" s="98" t="s">
        <v>536</v>
      </c>
      <c r="J115" s="103"/>
    </row>
    <row r="116" spans="4:10">
      <c r="D116" s="98">
        <v>116</v>
      </c>
      <c r="E116" s="106" t="str">
        <f t="shared" ca="1" si="1"/>
        <v>spez. Wärmekosten</v>
      </c>
      <c r="F116" s="98" t="s">
        <v>652</v>
      </c>
      <c r="G116" s="98" t="s">
        <v>653</v>
      </c>
      <c r="H116" s="98" t="s">
        <v>654</v>
      </c>
      <c r="J116" s="103"/>
    </row>
    <row r="117" spans="4:10">
      <c r="D117" s="98">
        <v>117</v>
      </c>
      <c r="E117" s="106" t="str">
        <f t="shared" ca="1" si="1"/>
        <v>CO2-Abgabe (in Energiekosten enthalten)</v>
      </c>
      <c r="F117" s="98" t="s">
        <v>1678</v>
      </c>
      <c r="G117" s="98" t="s">
        <v>1677</v>
      </c>
      <c r="H117" s="98" t="s">
        <v>1679</v>
      </c>
      <c r="J117" s="103"/>
    </row>
    <row r="118" spans="4:10">
      <c r="D118" s="98">
        <v>118</v>
      </c>
      <c r="E118" s="106" t="str">
        <f t="shared" ca="1" si="1"/>
        <v>Resultate</v>
      </c>
      <c r="F118" s="98" t="s">
        <v>133</v>
      </c>
      <c r="G118" s="98" t="s">
        <v>462</v>
      </c>
      <c r="H118" s="98" t="s">
        <v>537</v>
      </c>
      <c r="J118" s="103"/>
    </row>
    <row r="119" spans="4:10">
      <c r="D119" s="98">
        <v>119</v>
      </c>
      <c r="E119" s="106" t="str">
        <f t="shared" ca="1" si="1"/>
        <v>Platzbedarf Zentrale:</v>
      </c>
      <c r="F119" s="98" t="s">
        <v>140</v>
      </c>
      <c r="G119" s="98" t="s">
        <v>395</v>
      </c>
      <c r="H119" s="98" t="s">
        <v>538</v>
      </c>
      <c r="J119" s="103"/>
    </row>
    <row r="120" spans="4:10">
      <c r="D120" s="98">
        <v>120</v>
      </c>
      <c r="E120" s="106" t="str">
        <f t="shared" ca="1" si="1"/>
        <v>Platzbedarf Lager:</v>
      </c>
      <c r="F120" s="98" t="s">
        <v>139</v>
      </c>
      <c r="G120" s="98" t="s">
        <v>463</v>
      </c>
      <c r="H120" s="98" t="s">
        <v>539</v>
      </c>
      <c r="J120" s="103"/>
    </row>
    <row r="121" spans="4:10">
      <c r="D121" s="98">
        <v>121</v>
      </c>
      <c r="E121" s="106" t="str">
        <f t="shared" ca="1" si="1"/>
        <v>CH-Schnitt</v>
      </c>
      <c r="F121" s="98" t="s">
        <v>146</v>
      </c>
      <c r="G121" s="98" t="s">
        <v>396</v>
      </c>
      <c r="H121" s="98" t="s">
        <v>540</v>
      </c>
      <c r="J121" s="103"/>
    </row>
    <row r="122" spans="4:10">
      <c r="D122" s="98">
        <v>122</v>
      </c>
      <c r="E122" s="106" t="str">
        <f t="shared" ca="1" si="1"/>
        <v>KVA</v>
      </c>
      <c r="F122" s="98" t="s">
        <v>147</v>
      </c>
      <c r="G122" s="98" t="s">
        <v>454</v>
      </c>
      <c r="H122" s="98" t="s">
        <v>541</v>
      </c>
      <c r="J122" s="103"/>
    </row>
    <row r="123" spans="4:10">
      <c r="D123" s="98">
        <v>123</v>
      </c>
      <c r="E123" s="106" t="str">
        <f t="shared" ca="1" si="1"/>
        <v>Energiekosten</v>
      </c>
      <c r="F123" s="98" t="s">
        <v>193</v>
      </c>
      <c r="G123" s="98" t="s">
        <v>397</v>
      </c>
      <c r="H123" s="98" t="s">
        <v>542</v>
      </c>
      <c r="J123" s="103"/>
    </row>
    <row r="124" spans="4:10">
      <c r="D124" s="98">
        <v>124</v>
      </c>
      <c r="E124" s="106" t="str">
        <f t="shared" ca="1" si="1"/>
        <v>spez. Leistungskosten:</v>
      </c>
      <c r="F124" s="98" t="s">
        <v>297</v>
      </c>
      <c r="G124" s="98" t="s">
        <v>464</v>
      </c>
      <c r="H124" s="98" t="s">
        <v>543</v>
      </c>
      <c r="J124" s="103"/>
    </row>
    <row r="125" spans="4:10">
      <c r="D125" s="98">
        <v>125</v>
      </c>
      <c r="E125" s="106" t="str">
        <f t="shared" ca="1" si="1"/>
        <v>Leistungs- und Wärmebedarf Neubauten</v>
      </c>
      <c r="F125" s="98" t="s">
        <v>148</v>
      </c>
      <c r="G125" s="98" t="s">
        <v>398</v>
      </c>
      <c r="H125" s="98" t="s">
        <v>544</v>
      </c>
      <c r="J125" s="103"/>
    </row>
    <row r="126" spans="4:10">
      <c r="D126" s="98">
        <v>126</v>
      </c>
      <c r="E126" s="106" t="str">
        <f t="shared" ca="1" si="1"/>
        <v>Reduktionsfaktor für Gebäudestandard</v>
      </c>
      <c r="F126" s="98" t="s">
        <v>157</v>
      </c>
      <c r="G126" s="98" t="s">
        <v>465</v>
      </c>
      <c r="H126" s="98" t="s">
        <v>545</v>
      </c>
      <c r="J126" s="103"/>
    </row>
    <row r="127" spans="4:10">
      <c r="D127" s="98">
        <v>127</v>
      </c>
      <c r="E127" s="106" t="str">
        <f t="shared" ca="1" si="1"/>
        <v>Strom</v>
      </c>
      <c r="F127" s="98" t="s">
        <v>177</v>
      </c>
      <c r="G127" s="98" t="s">
        <v>400</v>
      </c>
      <c r="H127" s="98" t="s">
        <v>546</v>
      </c>
      <c r="J127" s="103"/>
    </row>
    <row r="128" spans="4:10">
      <c r="D128" s="98">
        <v>128</v>
      </c>
      <c r="E128" s="106" t="str">
        <f t="shared" ca="1" si="1"/>
        <v>Brennstoffkosten</v>
      </c>
      <c r="F128" s="98" t="s">
        <v>176</v>
      </c>
      <c r="G128" s="98" t="s">
        <v>466</v>
      </c>
      <c r="H128" s="98" t="s">
        <v>547</v>
      </c>
      <c r="J128" s="103"/>
    </row>
    <row r="129" spans="4:10">
      <c r="D129" s="98">
        <v>129</v>
      </c>
      <c r="E129" s="106" t="str">
        <f t="shared" ca="1" si="1"/>
        <v>Wärmenetz KVA</v>
      </c>
      <c r="F129" s="98" t="s">
        <v>298</v>
      </c>
      <c r="G129" s="98" t="s">
        <v>455</v>
      </c>
      <c r="H129" s="98" t="s">
        <v>548</v>
      </c>
      <c r="J129" s="103"/>
    </row>
    <row r="130" spans="4:10">
      <c r="D130" s="98">
        <v>130</v>
      </c>
      <c r="E130" s="106" t="str">
        <f t="shared" ca="1" si="1"/>
        <v>Wärmenetz BHKW (Gas)</v>
      </c>
      <c r="F130" s="98" t="s">
        <v>329</v>
      </c>
      <c r="G130" s="98" t="s">
        <v>401</v>
      </c>
      <c r="H130" s="98" t="s">
        <v>549</v>
      </c>
      <c r="J130" s="103"/>
    </row>
    <row r="131" spans="4:10">
      <c r="D131" s="98">
        <v>131</v>
      </c>
      <c r="E131" s="106" t="str">
        <f t="shared" ca="1" si="1"/>
        <v>Wärmenetz WP (Grundwasser)</v>
      </c>
      <c r="F131" s="98" t="s">
        <v>300</v>
      </c>
      <c r="G131" s="98" t="s">
        <v>402</v>
      </c>
      <c r="H131" s="98" t="s">
        <v>550</v>
      </c>
      <c r="J131" s="103"/>
    </row>
    <row r="132" spans="4:10">
      <c r="D132" s="98">
        <v>132</v>
      </c>
      <c r="E132" s="106" t="str">
        <f t="shared" ca="1" si="1"/>
        <v>Wärmenetz Hackschnitzel</v>
      </c>
      <c r="F132" s="98" t="s">
        <v>301</v>
      </c>
      <c r="G132" s="98" t="s">
        <v>403</v>
      </c>
      <c r="H132" s="98" t="s">
        <v>551</v>
      </c>
      <c r="J132" s="103"/>
    </row>
    <row r="133" spans="4:10">
      <c r="D133" s="98">
        <v>133</v>
      </c>
      <c r="E133" s="106" t="str">
        <f t="shared" ca="1" si="1"/>
        <v>Leistungskosten</v>
      </c>
      <c r="F133" s="98" t="s">
        <v>312</v>
      </c>
      <c r="G133" s="98" t="s">
        <v>404</v>
      </c>
      <c r="H133" s="98" t="s">
        <v>552</v>
      </c>
      <c r="J133" s="103"/>
    </row>
    <row r="134" spans="4:10">
      <c r="D134" s="98">
        <v>134</v>
      </c>
      <c r="E134" s="106" t="str">
        <f t="shared" ca="1" si="1"/>
        <v>Wärmeerzeugung</v>
      </c>
      <c r="F134" s="98" t="s">
        <v>303</v>
      </c>
      <c r="G134" s="98" t="s">
        <v>467</v>
      </c>
      <c r="H134" s="98" t="s">
        <v>553</v>
      </c>
      <c r="J134" s="103"/>
    </row>
    <row r="135" spans="4:10">
      <c r="D135" s="98">
        <v>135</v>
      </c>
      <c r="E135" s="106" t="str">
        <f t="shared" ca="1" si="1"/>
        <v>Kamin</v>
      </c>
      <c r="F135" s="98" t="s">
        <v>186</v>
      </c>
      <c r="G135" s="98" t="s">
        <v>405</v>
      </c>
      <c r="H135" s="98" t="s">
        <v>554</v>
      </c>
      <c r="J135" s="103"/>
    </row>
    <row r="136" spans="4:10">
      <c r="D136" s="98">
        <v>136</v>
      </c>
      <c r="E136" s="106" t="str">
        <f t="shared" ca="1" si="1"/>
        <v>Lagerung</v>
      </c>
      <c r="F136" s="98" t="s">
        <v>187</v>
      </c>
      <c r="G136" s="98" t="s">
        <v>406</v>
      </c>
      <c r="H136" s="98" t="s">
        <v>555</v>
      </c>
      <c r="J136" s="103"/>
    </row>
    <row r="137" spans="4:10">
      <c r="D137" s="98">
        <v>137</v>
      </c>
      <c r="E137" s="106" t="str">
        <f t="shared" ca="1" si="1"/>
        <v>Erdsonde</v>
      </c>
      <c r="F137" s="98" t="s">
        <v>204</v>
      </c>
      <c r="G137" s="98" t="s">
        <v>407</v>
      </c>
      <c r="H137" s="98" t="s">
        <v>556</v>
      </c>
      <c r="J137" s="103"/>
    </row>
    <row r="138" spans="4:10">
      <c r="D138" s="98">
        <v>138</v>
      </c>
      <c r="E138" s="106" t="str">
        <f t="shared" ca="1" si="1"/>
        <v>Anschlussgebühren</v>
      </c>
      <c r="F138" s="98" t="s">
        <v>206</v>
      </c>
      <c r="G138" s="98" t="s">
        <v>456</v>
      </c>
      <c r="H138" s="98" t="s">
        <v>557</v>
      </c>
      <c r="J138" s="103"/>
    </row>
    <row r="139" spans="4:10">
      <c r="D139" s="98">
        <v>139</v>
      </c>
      <c r="E139" s="106" t="str">
        <f t="shared" ca="1" si="1"/>
        <v>Miete</v>
      </c>
      <c r="F139" s="98" t="s">
        <v>205</v>
      </c>
      <c r="G139" s="98" t="s">
        <v>408</v>
      </c>
      <c r="H139" s="98" t="s">
        <v>558</v>
      </c>
      <c r="J139" s="103"/>
    </row>
    <row r="140" spans="4:10">
      <c r="D140" s="98">
        <v>140</v>
      </c>
      <c r="E140" s="106" t="str">
        <f t="shared" ref="E140:E203" ca="1" si="2">INDIRECT($C$9&amp;D140)</f>
        <v>Grundkosten</v>
      </c>
      <c r="F140" s="98" t="s">
        <v>188</v>
      </c>
      <c r="G140" s="98" t="s">
        <v>444</v>
      </c>
      <c r="H140" s="98" t="s">
        <v>559</v>
      </c>
      <c r="J140" s="103"/>
    </row>
    <row r="141" spans="4:10">
      <c r="D141" s="98">
        <v>141</v>
      </c>
      <c r="E141" s="106" t="str">
        <f t="shared" ca="1" si="2"/>
        <v>Energiekosten</v>
      </c>
      <c r="F141" s="98" t="s">
        <v>193</v>
      </c>
      <c r="G141" s="98" t="s">
        <v>397</v>
      </c>
      <c r="H141" s="98" t="s">
        <v>542</v>
      </c>
      <c r="J141" s="103"/>
    </row>
    <row r="142" spans="4:10">
      <c r="D142" s="98">
        <v>142</v>
      </c>
      <c r="E142" s="106" t="str">
        <f t="shared" ca="1" si="2"/>
        <v>Zählermiete</v>
      </c>
      <c r="F142" s="98" t="s">
        <v>302</v>
      </c>
      <c r="G142" s="98" t="s">
        <v>468</v>
      </c>
      <c r="H142" s="98" t="s">
        <v>560</v>
      </c>
      <c r="J142" s="103"/>
    </row>
    <row r="143" spans="4:10">
      <c r="D143" s="98">
        <v>143</v>
      </c>
      <c r="E143" s="106" t="str">
        <f t="shared" ca="1" si="2"/>
        <v>Kosten pro Meter</v>
      </c>
      <c r="F143" s="98" t="s">
        <v>213</v>
      </c>
      <c r="G143" s="98" t="s">
        <v>409</v>
      </c>
      <c r="H143" s="98" t="s">
        <v>561</v>
      </c>
      <c r="J143" s="103"/>
    </row>
    <row r="144" spans="4:10">
      <c r="D144" s="98">
        <v>144</v>
      </c>
      <c r="E144" s="106" t="str">
        <f t="shared" ca="1" si="2"/>
        <v>Amortisationszeit</v>
      </c>
      <c r="F144" s="98" t="s">
        <v>197</v>
      </c>
      <c r="G144" s="98" t="s">
        <v>410</v>
      </c>
      <c r="H144" s="98" t="s">
        <v>562</v>
      </c>
      <c r="J144" s="103"/>
    </row>
    <row r="145" spans="4:10">
      <c r="D145" s="98">
        <v>145</v>
      </c>
      <c r="E145" s="106" t="str">
        <f t="shared" ca="1" si="2"/>
        <v>Zuschlag für Unterhalt</v>
      </c>
      <c r="F145" s="98" t="s">
        <v>202</v>
      </c>
      <c r="G145" s="98" t="s">
        <v>469</v>
      </c>
      <c r="H145" s="98" t="s">
        <v>563</v>
      </c>
      <c r="J145" s="103"/>
    </row>
    <row r="146" spans="4:10">
      <c r="D146" s="98">
        <v>146</v>
      </c>
      <c r="E146" s="106" t="str">
        <f t="shared" ca="1" si="2"/>
        <v>Wärme pro Meter</v>
      </c>
      <c r="F146" s="98" t="s">
        <v>214</v>
      </c>
      <c r="G146" s="98" t="s">
        <v>411</v>
      </c>
      <c r="H146" s="98" t="s">
        <v>564</v>
      </c>
      <c r="J146" s="103"/>
    </row>
    <row r="147" spans="4:10">
      <c r="D147" s="98">
        <v>147</v>
      </c>
      <c r="E147" s="106" t="str">
        <f t="shared" ca="1" si="2"/>
        <v>Wenn bekannt kann die Wärmeerzeugerleistung hier eingegeben werden.</v>
      </c>
      <c r="F147" s="98" t="s">
        <v>221</v>
      </c>
      <c r="G147" s="98" t="s">
        <v>471</v>
      </c>
      <c r="H147" s="98" t="s">
        <v>565</v>
      </c>
      <c r="J147" s="103"/>
    </row>
    <row r="148" spans="4:10">
      <c r="D148" s="98">
        <v>148</v>
      </c>
      <c r="E148" s="106" t="str">
        <f t="shared" ca="1" si="2"/>
        <v>Zinssatz</v>
      </c>
      <c r="F148" s="98" t="s">
        <v>191</v>
      </c>
      <c r="G148" s="98" t="s">
        <v>412</v>
      </c>
      <c r="H148" s="98" t="s">
        <v>566</v>
      </c>
      <c r="J148" s="103"/>
    </row>
    <row r="149" spans="4:10">
      <c r="D149" s="98">
        <v>149</v>
      </c>
      <c r="E149" s="106" t="str">
        <f t="shared" ca="1" si="2"/>
        <v>Teuerung</v>
      </c>
      <c r="F149" s="98" t="s">
        <v>200</v>
      </c>
      <c r="G149" s="98" t="s">
        <v>470</v>
      </c>
      <c r="H149" s="98" t="s">
        <v>567</v>
      </c>
      <c r="J149" s="103"/>
    </row>
    <row r="150" spans="4:10">
      <c r="D150" s="98">
        <v>150</v>
      </c>
      <c r="E150" s="106" t="str">
        <f t="shared" ca="1" si="2"/>
        <v>Wenn bekannt kann der Heizwärmebedarf hier eingegeben werden.</v>
      </c>
      <c r="F150" s="98" t="s">
        <v>226</v>
      </c>
      <c r="G150" s="98" t="s">
        <v>472</v>
      </c>
      <c r="H150" s="98" t="s">
        <v>568</v>
      </c>
      <c r="J150" s="103"/>
    </row>
    <row r="151" spans="4:10">
      <c r="D151" s="98">
        <v>151</v>
      </c>
      <c r="E151" s="106" t="str">
        <f t="shared" ca="1" si="2"/>
        <v>Kostenberechnung Lagerausrüstung/Tank</v>
      </c>
      <c r="F151" s="98" t="s">
        <v>224</v>
      </c>
      <c r="G151" s="98" t="s">
        <v>473</v>
      </c>
      <c r="H151" s="98" t="s">
        <v>569</v>
      </c>
      <c r="J151" s="103"/>
    </row>
    <row r="152" spans="4:10">
      <c r="D152" s="98">
        <v>152</v>
      </c>
      <c r="E152" s="106" t="str">
        <f t="shared" ca="1" si="2"/>
        <v>Kostenberechnung Kamin</v>
      </c>
      <c r="F152" s="98" t="s">
        <v>223</v>
      </c>
      <c r="G152" s="98" t="s">
        <v>413</v>
      </c>
      <c r="H152" s="98" t="s">
        <v>570</v>
      </c>
      <c r="J152" s="103"/>
    </row>
    <row r="153" spans="4:10">
      <c r="D153" s="98">
        <v>153</v>
      </c>
      <c r="E153" s="106" t="str">
        <f t="shared" ca="1" si="2"/>
        <v>Daten vorhanden?</v>
      </c>
      <c r="F153" s="98" t="s">
        <v>260</v>
      </c>
      <c r="G153" s="98" t="s">
        <v>414</v>
      </c>
      <c r="H153" s="98" t="s">
        <v>571</v>
      </c>
      <c r="J153" s="103"/>
    </row>
    <row r="154" spans="4:10">
      <c r="D154" s="98">
        <v>154</v>
      </c>
      <c r="E154" s="106" t="str">
        <f t="shared" ca="1" si="2"/>
        <v>Daten vorhanden (z.B. SIA 380/1, SIA 384/2)</v>
      </c>
      <c r="F154" s="98" t="s">
        <v>1613</v>
      </c>
      <c r="G154" s="98" t="s">
        <v>1614</v>
      </c>
      <c r="H154" s="98" t="s">
        <v>1615</v>
      </c>
      <c r="J154" s="103"/>
    </row>
    <row r="155" spans="4:10">
      <c r="D155" s="98">
        <v>155</v>
      </c>
      <c r="E155" s="106" t="str">
        <f t="shared" ca="1" si="2"/>
        <v>Verbrauchsdaten vorhanden</v>
      </c>
      <c r="F155" s="98" t="s">
        <v>1357</v>
      </c>
      <c r="G155" s="98" t="s">
        <v>1358</v>
      </c>
      <c r="H155" s="98" t="s">
        <v>1359</v>
      </c>
      <c r="J155" s="103"/>
    </row>
    <row r="156" spans="4:10">
      <c r="D156" s="98">
        <v>156</v>
      </c>
      <c r="E156" s="106" t="str">
        <f t="shared" ca="1" si="2"/>
        <v>Keine Daten vorhanden</v>
      </c>
      <c r="F156" s="98" t="s">
        <v>1201</v>
      </c>
      <c r="G156" s="98" t="s">
        <v>1360</v>
      </c>
      <c r="H156" s="98" t="s">
        <v>1361</v>
      </c>
      <c r="J156" s="103"/>
    </row>
    <row r="157" spans="4:10">
      <c r="D157" s="98">
        <v>157</v>
      </c>
      <c r="E157" s="106">
        <f t="shared" ca="1" si="2"/>
        <v>0</v>
      </c>
      <c r="J157" s="103"/>
    </row>
    <row r="158" spans="4:10">
      <c r="D158" s="98">
        <v>158</v>
      </c>
      <c r="E158" s="106" t="str">
        <f t="shared" ca="1" si="2"/>
        <v>Quelle: KBOB (http://www.eco-bau.ch/index.cfm?Nav=17&amp;ID=46)</v>
      </c>
      <c r="F158" s="98" t="s">
        <v>358</v>
      </c>
      <c r="G158" s="98" t="s">
        <v>365</v>
      </c>
      <c r="H158" s="98" t="s">
        <v>572</v>
      </c>
      <c r="J158" s="103"/>
    </row>
    <row r="159" spans="4:10">
      <c r="D159" s="98">
        <v>159</v>
      </c>
      <c r="E159" s="106" t="str">
        <f t="shared" ca="1" si="2"/>
        <v>Summe</v>
      </c>
      <c r="F159" s="98" t="s">
        <v>189</v>
      </c>
      <c r="G159" s="98" t="s">
        <v>415</v>
      </c>
      <c r="H159" s="98" t="s">
        <v>573</v>
      </c>
      <c r="J159" s="103"/>
    </row>
    <row r="160" spans="4:10">
      <c r="D160" s="98">
        <v>160</v>
      </c>
      <c r="E160" s="106" t="str">
        <f t="shared" ca="1" si="2"/>
        <v>Grundwasserschacht</v>
      </c>
      <c r="F160" s="98" t="s">
        <v>245</v>
      </c>
      <c r="G160" s="98" t="s">
        <v>479</v>
      </c>
      <c r="H160" s="98" t="s">
        <v>593</v>
      </c>
      <c r="J160" s="103"/>
    </row>
    <row r="161" spans="4:10">
      <c r="D161" s="98">
        <v>161</v>
      </c>
      <c r="E161" s="106" t="str">
        <f t="shared" ca="1" si="2"/>
        <v>Öl Heizkessel</v>
      </c>
      <c r="F161" s="98" t="s">
        <v>239</v>
      </c>
      <c r="G161" s="98" t="s">
        <v>416</v>
      </c>
      <c r="H161" s="98" t="s">
        <v>574</v>
      </c>
      <c r="J161" s="103"/>
    </row>
    <row r="162" spans="4:10">
      <c r="D162" s="98">
        <v>162</v>
      </c>
      <c r="E162" s="106" t="str">
        <f t="shared" ca="1" si="2"/>
        <v>Abgaswärmetauscher</v>
      </c>
      <c r="F162" s="98" t="s">
        <v>240</v>
      </c>
      <c r="G162" s="98" t="s">
        <v>650</v>
      </c>
      <c r="H162" s="98" t="s">
        <v>575</v>
      </c>
      <c r="J162" s="103"/>
    </row>
    <row r="163" spans="4:10">
      <c r="D163" s="98">
        <v>163</v>
      </c>
      <c r="E163" s="106" t="str">
        <f t="shared" ca="1" si="2"/>
        <v>Armaturen &amp; Apparate</v>
      </c>
      <c r="F163" s="98" t="s">
        <v>230</v>
      </c>
      <c r="G163" s="98" t="s">
        <v>417</v>
      </c>
      <c r="H163" s="98" t="s">
        <v>576</v>
      </c>
      <c r="J163" s="103"/>
    </row>
    <row r="164" spans="4:10">
      <c r="D164" s="98">
        <v>164</v>
      </c>
      <c r="E164" s="106" t="str">
        <f t="shared" ca="1" si="2"/>
        <v>Öl Heizkessel, Abgaswärmetauscher, Neutralisationsbox</v>
      </c>
      <c r="F164" s="98" t="s">
        <v>988</v>
      </c>
      <c r="G164" s="98" t="s">
        <v>474</v>
      </c>
      <c r="H164" s="98" t="s">
        <v>577</v>
      </c>
      <c r="J164" s="103"/>
    </row>
    <row r="165" spans="4:10">
      <c r="D165" s="98">
        <v>165</v>
      </c>
      <c r="E165" s="106" t="str">
        <f t="shared" ca="1" si="2"/>
        <v>Tankanlage</v>
      </c>
      <c r="F165" s="98" t="s">
        <v>244</v>
      </c>
      <c r="G165" s="98" t="s">
        <v>475</v>
      </c>
      <c r="H165" s="98" t="s">
        <v>578</v>
      </c>
      <c r="J165" s="103"/>
    </row>
    <row r="166" spans="4:10">
      <c r="D166" s="98">
        <v>166</v>
      </c>
      <c r="E166" s="106" t="str">
        <f t="shared" ca="1" si="2"/>
        <v>Kamin</v>
      </c>
      <c r="F166" s="98" t="s">
        <v>186</v>
      </c>
      <c r="G166" s="98" t="s">
        <v>405</v>
      </c>
      <c r="H166" s="98" t="s">
        <v>554</v>
      </c>
      <c r="J166" s="103"/>
    </row>
    <row r="167" spans="4:10">
      <c r="D167" s="98">
        <v>167</v>
      </c>
      <c r="E167" s="106" t="str">
        <f t="shared" ca="1" si="2"/>
        <v>Montage</v>
      </c>
      <c r="F167" s="98" t="s">
        <v>232</v>
      </c>
      <c r="G167" s="98" t="s">
        <v>232</v>
      </c>
      <c r="H167" s="98" t="s">
        <v>579</v>
      </c>
      <c r="J167" s="103"/>
    </row>
    <row r="168" spans="4:10">
      <c r="D168" s="98">
        <v>168</v>
      </c>
      <c r="E168" s="106" t="str">
        <f t="shared" ca="1" si="2"/>
        <v>Wartungsabo</v>
      </c>
      <c r="F168" s="98" t="s">
        <v>255</v>
      </c>
      <c r="G168" s="98" t="s">
        <v>418</v>
      </c>
      <c r="H168" s="98" t="s">
        <v>580</v>
      </c>
      <c r="J168" s="103"/>
    </row>
    <row r="169" spans="4:10">
      <c r="D169" s="98">
        <v>169</v>
      </c>
      <c r="E169" s="106" t="str">
        <f t="shared" ca="1" si="2"/>
        <v>Kaminfeger</v>
      </c>
      <c r="F169" s="98" t="s">
        <v>256</v>
      </c>
      <c r="G169" s="98" t="s">
        <v>419</v>
      </c>
      <c r="H169" s="98" t="s">
        <v>581</v>
      </c>
      <c r="J169" s="103"/>
    </row>
    <row r="170" spans="4:10">
      <c r="D170" s="98">
        <v>170</v>
      </c>
      <c r="E170" s="106" t="str">
        <f t="shared" ca="1" si="2"/>
        <v>Gasheizkessel</v>
      </c>
      <c r="F170" s="98" t="s">
        <v>238</v>
      </c>
      <c r="G170" s="98" t="s">
        <v>366</v>
      </c>
      <c r="H170" s="98" t="s">
        <v>582</v>
      </c>
      <c r="J170" s="103"/>
    </row>
    <row r="171" spans="4:10">
      <c r="D171" s="98">
        <v>171</v>
      </c>
      <c r="E171" s="106" t="str">
        <f t="shared" ca="1" si="2"/>
        <v>Heizkessel inkl. IBN</v>
      </c>
      <c r="F171" s="98" t="s">
        <v>228</v>
      </c>
      <c r="G171" s="98" t="s">
        <v>476</v>
      </c>
      <c r="H171" s="98" t="s">
        <v>583</v>
      </c>
      <c r="J171" s="103"/>
    </row>
    <row r="172" spans="4:10">
      <c r="D172" s="98">
        <v>172</v>
      </c>
      <c r="E172" s="106" t="str">
        <f t="shared" ca="1" si="2"/>
        <v>Regulierung</v>
      </c>
      <c r="F172" s="98" t="s">
        <v>229</v>
      </c>
      <c r="G172" s="98" t="s">
        <v>420</v>
      </c>
      <c r="H172" s="98" t="s">
        <v>584</v>
      </c>
      <c r="J172" s="103"/>
    </row>
    <row r="173" spans="4:10">
      <c r="D173" s="98">
        <v>173</v>
      </c>
      <c r="E173" s="106" t="str">
        <f t="shared" ca="1" si="2"/>
        <v>Heizungsspeicher</v>
      </c>
      <c r="F173" s="98" t="s">
        <v>231</v>
      </c>
      <c r="G173" s="98" t="s">
        <v>433</v>
      </c>
      <c r="H173" s="98" t="s">
        <v>585</v>
      </c>
      <c r="J173" s="103"/>
    </row>
    <row r="174" spans="4:10">
      <c r="D174" s="98">
        <v>174</v>
      </c>
      <c r="E174" s="106" t="str">
        <f t="shared" ca="1" si="2"/>
        <v>Pellets Austragung</v>
      </c>
      <c r="F174" s="98" t="s">
        <v>242</v>
      </c>
      <c r="G174" s="98" t="s">
        <v>434</v>
      </c>
      <c r="H174" s="98" t="s">
        <v>586</v>
      </c>
      <c r="J174" s="103"/>
    </row>
    <row r="175" spans="4:10">
      <c r="D175" s="98">
        <v>175</v>
      </c>
      <c r="E175" s="106" t="str">
        <f t="shared" ca="1" si="2"/>
        <v>Pelletslager (Technik)</v>
      </c>
      <c r="F175" s="98" t="s">
        <v>243</v>
      </c>
      <c r="G175" s="98" t="s">
        <v>477</v>
      </c>
      <c r="H175" s="98" t="s">
        <v>587</v>
      </c>
      <c r="J175" s="103"/>
    </row>
    <row r="176" spans="4:10">
      <c r="D176" s="98">
        <v>176</v>
      </c>
      <c r="E176" s="106" t="str">
        <f t="shared" ca="1" si="2"/>
        <v>Armaturen Apparate</v>
      </c>
      <c r="F176" s="98" t="s">
        <v>233</v>
      </c>
      <c r="G176" s="98" t="s">
        <v>417</v>
      </c>
      <c r="H176" s="98" t="s">
        <v>576</v>
      </c>
      <c r="J176" s="103"/>
    </row>
    <row r="177" spans="4:10">
      <c r="D177" s="98">
        <v>177</v>
      </c>
      <c r="E177" s="106" t="str">
        <f t="shared" ca="1" si="2"/>
        <v>Bestückung</v>
      </c>
      <c r="F177" s="98" t="s">
        <v>234</v>
      </c>
      <c r="G177" s="98" t="s">
        <v>435</v>
      </c>
      <c r="H177" s="98" t="s">
        <v>588</v>
      </c>
      <c r="J177" s="103"/>
    </row>
    <row r="178" spans="4:10">
      <c r="D178" s="98">
        <v>178</v>
      </c>
      <c r="E178" s="106" t="str">
        <f t="shared" ca="1" si="2"/>
        <v xml:space="preserve">Wärmepumpe </v>
      </c>
      <c r="F178" s="98" t="s">
        <v>235</v>
      </c>
      <c r="G178" s="98" t="s">
        <v>421</v>
      </c>
      <c r="H178" s="98" t="s">
        <v>589</v>
      </c>
      <c r="J178" s="103"/>
    </row>
    <row r="179" spans="4:10">
      <c r="D179" s="98">
        <v>179</v>
      </c>
      <c r="E179" s="106" t="str">
        <f t="shared" ca="1" si="2"/>
        <v>Anschlussgebühren</v>
      </c>
      <c r="F179" s="98" t="s">
        <v>206</v>
      </c>
      <c r="G179" s="98" t="s">
        <v>436</v>
      </c>
      <c r="H179" s="98" t="s">
        <v>557</v>
      </c>
      <c r="J179" s="103"/>
    </row>
    <row r="180" spans="4:10">
      <c r="D180" s="98">
        <v>180</v>
      </c>
      <c r="E180" s="106" t="str">
        <f t="shared" ca="1" si="2"/>
        <v>Luftkanal</v>
      </c>
      <c r="F180" s="98" t="s">
        <v>236</v>
      </c>
      <c r="G180" s="98" t="s">
        <v>478</v>
      </c>
      <c r="H180" s="98" t="s">
        <v>590</v>
      </c>
      <c r="J180" s="103"/>
    </row>
    <row r="181" spans="4:10">
      <c r="D181" s="98">
        <v>181</v>
      </c>
      <c r="E181" s="106" t="str">
        <f t="shared" ca="1" si="2"/>
        <v>Filterwechsel</v>
      </c>
      <c r="F181" s="98" t="s">
        <v>257</v>
      </c>
      <c r="G181" s="98" t="s">
        <v>422</v>
      </c>
      <c r="H181" s="98" t="s">
        <v>591</v>
      </c>
      <c r="J181" s="103"/>
    </row>
    <row r="182" spans="4:10">
      <c r="D182" s="98">
        <v>182</v>
      </c>
      <c r="E182" s="106" t="str">
        <f t="shared" ca="1" si="2"/>
        <v>Zwischenkreis</v>
      </c>
      <c r="F182" s="98" t="s">
        <v>237</v>
      </c>
      <c r="G182" s="98" t="s">
        <v>437</v>
      </c>
      <c r="H182" s="98" t="s">
        <v>592</v>
      </c>
      <c r="J182" s="103"/>
    </row>
    <row r="183" spans="4:10">
      <c r="D183" s="98">
        <v>183</v>
      </c>
      <c r="E183" s="106" t="str">
        <f t="shared" ca="1" si="2"/>
        <v>Grundwasserschacht</v>
      </c>
      <c r="F183" s="98" t="s">
        <v>245</v>
      </c>
      <c r="G183" s="98" t="s">
        <v>479</v>
      </c>
      <c r="H183" s="98" t="s">
        <v>593</v>
      </c>
      <c r="J183" s="103"/>
    </row>
    <row r="184" spans="4:10">
      <c r="D184" s="98">
        <v>184</v>
      </c>
      <c r="E184" s="106" t="str">
        <f t="shared" ca="1" si="2"/>
        <v>Erdsondenbohrungen/Absorber</v>
      </c>
      <c r="F184" s="98" t="s">
        <v>1821</v>
      </c>
      <c r="G184" s="98" t="s">
        <v>1822</v>
      </c>
      <c r="H184" s="98" t="s">
        <v>1823</v>
      </c>
      <c r="J184" s="103"/>
    </row>
    <row r="185" spans="4:10">
      <c r="D185" s="98">
        <v>185</v>
      </c>
      <c r="E185" s="106" t="str">
        <f t="shared" ca="1" si="2"/>
        <v>Übergabestation</v>
      </c>
      <c r="F185" s="98" t="s">
        <v>241</v>
      </c>
      <c r="G185" s="98" t="s">
        <v>367</v>
      </c>
      <c r="H185" s="98" t="s">
        <v>594</v>
      </c>
      <c r="J185" s="103"/>
    </row>
    <row r="186" spans="4:10">
      <c r="D186" s="98">
        <v>186</v>
      </c>
      <c r="E186" s="106" t="str">
        <f t="shared" ca="1" si="2"/>
        <v>jährliche Kontrolle</v>
      </c>
      <c r="F186" s="98" t="s">
        <v>258</v>
      </c>
      <c r="G186" s="98" t="s">
        <v>438</v>
      </c>
      <c r="H186" s="98" t="s">
        <v>595</v>
      </c>
      <c r="J186" s="103"/>
    </row>
    <row r="187" spans="4:10">
      <c r="D187" s="98">
        <v>187</v>
      </c>
      <c r="E187" s="106" t="str">
        <f t="shared" ca="1" si="2"/>
        <v>Volllaststunden Wärmezentrale</v>
      </c>
      <c r="F187" s="98" t="s">
        <v>265</v>
      </c>
      <c r="G187" s="98" t="s">
        <v>439</v>
      </c>
      <c r="H187" s="98" t="s">
        <v>596</v>
      </c>
      <c r="J187" s="103"/>
    </row>
    <row r="188" spans="4:10">
      <c r="D188" s="98">
        <v>188</v>
      </c>
      <c r="E188" s="106" t="str">
        <f t="shared" ca="1" si="2"/>
        <v>nur Heizwärme</v>
      </c>
      <c r="F188" s="98" t="s">
        <v>266</v>
      </c>
      <c r="G188" s="98" t="s">
        <v>489</v>
      </c>
      <c r="H188" s="98" t="s">
        <v>597</v>
      </c>
      <c r="J188" s="103"/>
    </row>
    <row r="189" spans="4:10">
      <c r="D189" s="98">
        <v>189</v>
      </c>
      <c r="E189" s="106" t="str">
        <f t="shared" ca="1" si="2"/>
        <v>inkl. Warmwasser</v>
      </c>
      <c r="F189" s="98" t="s">
        <v>267</v>
      </c>
      <c r="G189" s="98" t="s">
        <v>490</v>
      </c>
      <c r="H189" s="98" t="s">
        <v>598</v>
      </c>
      <c r="J189" s="103"/>
    </row>
    <row r="190" spans="4:10">
      <c r="D190" s="98">
        <v>190</v>
      </c>
      <c r="E190" s="106" t="str">
        <f t="shared" ca="1" si="2"/>
        <v>Stunden pro Jahr</v>
      </c>
      <c r="F190" s="98" t="s">
        <v>268</v>
      </c>
      <c r="G190" s="98" t="s">
        <v>368</v>
      </c>
      <c r="H190" s="98" t="s">
        <v>599</v>
      </c>
      <c r="J190" s="103"/>
    </row>
    <row r="191" spans="4:10">
      <c r="D191" s="98">
        <v>191</v>
      </c>
      <c r="E191" s="106" t="str">
        <f t="shared" ca="1" si="2"/>
        <v>Wärmeerzeugung für:</v>
      </c>
      <c r="F191" s="98" t="s">
        <v>318</v>
      </c>
      <c r="G191" s="98" t="s">
        <v>440</v>
      </c>
      <c r="H191" s="98" t="s">
        <v>600</v>
      </c>
      <c r="J191" s="103"/>
    </row>
    <row r="192" spans="4:10">
      <c r="D192" s="98">
        <v>192</v>
      </c>
      <c r="E192" s="106" t="str">
        <f t="shared" ca="1" si="2"/>
        <v>Jahr</v>
      </c>
      <c r="F192" s="98" t="s">
        <v>271</v>
      </c>
      <c r="G192" s="98" t="s">
        <v>441</v>
      </c>
      <c r="H192" s="98" t="s">
        <v>601</v>
      </c>
      <c r="J192" s="103"/>
    </row>
    <row r="193" spans="4:10">
      <c r="D193" s="98">
        <v>193</v>
      </c>
      <c r="E193" s="106" t="str">
        <f t="shared" ca="1" si="2"/>
        <v>Vollkostenrechnung</v>
      </c>
      <c r="F193" s="98" t="s">
        <v>289</v>
      </c>
      <c r="G193" s="98" t="s">
        <v>442</v>
      </c>
      <c r="H193" s="98" t="s">
        <v>602</v>
      </c>
      <c r="J193" s="103"/>
    </row>
    <row r="194" spans="4:10">
      <c r="D194" s="98">
        <v>194</v>
      </c>
      <c r="E194" s="106" t="str">
        <f t="shared" ca="1" si="2"/>
        <v>Umweltbelastung</v>
      </c>
      <c r="F194" s="98" t="s">
        <v>290</v>
      </c>
      <c r="G194" s="98" t="s">
        <v>423</v>
      </c>
      <c r="H194" s="98" t="s">
        <v>603</v>
      </c>
      <c r="J194" s="103"/>
    </row>
    <row r="195" spans="4:10">
      <c r="D195" s="98">
        <v>195</v>
      </c>
      <c r="E195" s="106" t="str">
        <f t="shared" ca="1" si="2"/>
        <v>Möglich ist eine Leistung bis 2000 kW.</v>
      </c>
      <c r="F195" s="98" t="s">
        <v>1313</v>
      </c>
      <c r="G195" s="98" t="s">
        <v>1363</v>
      </c>
      <c r="H195" s="98" t="s">
        <v>1362</v>
      </c>
      <c r="J195" s="103"/>
    </row>
    <row r="196" spans="4:10">
      <c r="D196" s="98">
        <v>196</v>
      </c>
      <c r="E196" s="106" t="str">
        <f t="shared" ca="1" si="2"/>
        <v>Fehler: Die Leistung ist grösser als 2000 kW.</v>
      </c>
      <c r="F196" s="98" t="s">
        <v>1314</v>
      </c>
      <c r="G196" s="98" t="s">
        <v>1364</v>
      </c>
      <c r="H196" s="98" t="s">
        <v>1365</v>
      </c>
      <c r="J196" s="103"/>
    </row>
    <row r="197" spans="4:10">
      <c r="D197" s="98">
        <v>197</v>
      </c>
      <c r="E197" s="106" t="str">
        <f t="shared" ca="1" si="2"/>
        <v>Wärme</v>
      </c>
      <c r="F197" s="98" t="s">
        <v>293</v>
      </c>
      <c r="G197" s="98" t="s">
        <v>424</v>
      </c>
      <c r="H197" s="98" t="s">
        <v>604</v>
      </c>
      <c r="J197" s="103"/>
    </row>
    <row r="198" spans="4:10">
      <c r="D198" s="98">
        <v>198</v>
      </c>
      <c r="E198" s="106" t="str">
        <f t="shared" ca="1" si="2"/>
        <v>Wärmeleistung</v>
      </c>
      <c r="F198" s="98" t="s">
        <v>294</v>
      </c>
      <c r="G198" s="98" t="s">
        <v>425</v>
      </c>
      <c r="H198" s="98" t="s">
        <v>605</v>
      </c>
      <c r="J198" s="103"/>
    </row>
    <row r="199" spans="4:10">
      <c r="D199" s="98">
        <v>199</v>
      </c>
      <c r="E199" s="106" t="str">
        <f t="shared" ca="1" si="2"/>
        <v>Angaben bei einer Raumtemperatur von 21°C und -8°C Aussentemperatur</v>
      </c>
      <c r="F199" s="98" t="s">
        <v>295</v>
      </c>
      <c r="G199" s="98" t="s">
        <v>480</v>
      </c>
      <c r="H199" s="98" t="s">
        <v>606</v>
      </c>
      <c r="J199" s="103"/>
    </row>
    <row r="200" spans="4:10">
      <c r="D200" s="98">
        <v>200</v>
      </c>
      <c r="E200" s="106" t="str">
        <f t="shared" ca="1" si="2"/>
        <v>Abgaben (inkl. MwSt.)</v>
      </c>
      <c r="F200" s="98" t="s">
        <v>1293</v>
      </c>
      <c r="G200" s="98" t="s">
        <v>443</v>
      </c>
      <c r="H200" s="98" t="s">
        <v>607</v>
      </c>
      <c r="J200" s="103"/>
    </row>
    <row r="201" spans="4:10">
      <c r="D201" s="98">
        <v>201</v>
      </c>
      <c r="E201" s="106" t="str">
        <f t="shared" ca="1" si="2"/>
        <v>Jährliche Unterhaltskosten (inkl. MwSt.)</v>
      </c>
      <c r="F201" s="98" t="s">
        <v>1291</v>
      </c>
      <c r="G201" s="98" t="s">
        <v>1368</v>
      </c>
      <c r="H201" s="98" t="s">
        <v>1369</v>
      </c>
      <c r="J201" s="103"/>
    </row>
    <row r="202" spans="4:10">
      <c r="D202" s="98">
        <v>202</v>
      </c>
      <c r="E202" s="106" t="str">
        <f t="shared" ca="1" si="2"/>
        <v>Jährliche Kosten</v>
      </c>
      <c r="F202" s="98" t="s">
        <v>1189</v>
      </c>
      <c r="G202" s="98" t="s">
        <v>1367</v>
      </c>
      <c r="H202" s="98" t="s">
        <v>1366</v>
      </c>
      <c r="J202" s="103"/>
    </row>
    <row r="203" spans="4:10">
      <c r="D203" s="98">
        <v>203</v>
      </c>
      <c r="E203" s="106" t="str">
        <f t="shared" ca="1" si="2"/>
        <v>Erdgas mit Solar (max. 70 kW)</v>
      </c>
      <c r="F203" s="98" t="s">
        <v>350</v>
      </c>
      <c r="G203" s="98" t="s">
        <v>658</v>
      </c>
      <c r="H203" s="98" t="s">
        <v>659</v>
      </c>
      <c r="J203" s="103"/>
    </row>
    <row r="204" spans="4:10">
      <c r="D204" s="98">
        <v>204</v>
      </c>
      <c r="E204" s="106" t="str">
        <f t="shared" ref="E204:E267" ca="1" si="3">INDIRECT($C$9&amp;D204)</f>
        <v>ja</v>
      </c>
      <c r="F204" s="98" t="s">
        <v>331</v>
      </c>
      <c r="G204" s="98" t="s">
        <v>656</v>
      </c>
      <c r="H204" s="98" t="s">
        <v>655</v>
      </c>
      <c r="J204" s="103"/>
    </row>
    <row r="205" spans="4:10">
      <c r="D205" s="98">
        <v>205</v>
      </c>
      <c r="E205" s="106" t="str">
        <f t="shared" ca="1" si="3"/>
        <v>nein</v>
      </c>
      <c r="F205" s="98" t="s">
        <v>332</v>
      </c>
      <c r="G205" s="98" t="s">
        <v>657</v>
      </c>
      <c r="H205" s="98" t="s">
        <v>608</v>
      </c>
      <c r="J205" s="103"/>
    </row>
    <row r="206" spans="4:10">
      <c r="D206" s="98">
        <v>206</v>
      </c>
      <c r="E206" s="106" t="str">
        <f t="shared" ca="1" si="3"/>
        <v>Wärmeerzeugung berechnen?</v>
      </c>
      <c r="F206" s="98" t="s">
        <v>333</v>
      </c>
      <c r="G206" s="98" t="s">
        <v>481</v>
      </c>
      <c r="H206" s="98" t="s">
        <v>609</v>
      </c>
      <c r="J206" s="103"/>
    </row>
    <row r="207" spans="4:10">
      <c r="D207" s="98">
        <v>207</v>
      </c>
      <c r="E207" s="106" t="str">
        <f t="shared" ca="1" si="3"/>
        <v>Grundkosten:</v>
      </c>
      <c r="F207" s="98" t="s">
        <v>342</v>
      </c>
      <c r="G207" s="98" t="s">
        <v>482</v>
      </c>
      <c r="H207" s="98" t="s">
        <v>610</v>
      </c>
      <c r="J207" s="103"/>
    </row>
    <row r="208" spans="4:10">
      <c r="D208" s="98">
        <v>208</v>
      </c>
      <c r="E208" s="106" t="str">
        <f t="shared" ca="1" si="3"/>
        <v>Planung</v>
      </c>
      <c r="F208" s="98" t="s">
        <v>343</v>
      </c>
      <c r="G208" s="98" t="s">
        <v>445</v>
      </c>
      <c r="H208" s="98" t="s">
        <v>611</v>
      </c>
      <c r="J208" s="103"/>
    </row>
    <row r="209" spans="4:10">
      <c r="D209" s="98">
        <v>209</v>
      </c>
      <c r="E209" s="106" t="str">
        <f t="shared" ca="1" si="3"/>
        <v>Thermische Solaranlage</v>
      </c>
      <c r="F209" s="98" t="s">
        <v>337</v>
      </c>
      <c r="G209" s="98" t="s">
        <v>483</v>
      </c>
      <c r="H209" s="98" t="s">
        <v>612</v>
      </c>
      <c r="J209" s="103"/>
    </row>
    <row r="210" spans="4:10">
      <c r="D210" s="98">
        <v>210</v>
      </c>
      <c r="E210" s="106" t="str">
        <f ca="1">INDIRECT($C$9&amp;D210)</f>
        <v>Eigene Anlage</v>
      </c>
      <c r="F210" s="98" t="s">
        <v>330</v>
      </c>
      <c r="G210" s="98" t="s">
        <v>446</v>
      </c>
      <c r="H210" s="98" t="s">
        <v>522</v>
      </c>
      <c r="J210" s="103"/>
    </row>
    <row r="211" spans="4:10">
      <c r="D211" s="98">
        <v>211</v>
      </c>
      <c r="E211" s="106" t="str">
        <f ca="1">INDIRECT($C$9&amp;D211)</f>
        <v>Grundlagen für die Berechnung der Investitionskosten</v>
      </c>
      <c r="F211" s="98" t="s">
        <v>322</v>
      </c>
      <c r="G211" s="98" t="s">
        <v>507</v>
      </c>
      <c r="H211" s="98" t="s">
        <v>613</v>
      </c>
      <c r="J211" s="103"/>
    </row>
    <row r="212" spans="4:10">
      <c r="D212" s="98">
        <v>212</v>
      </c>
      <c r="E212" s="106" t="str">
        <f t="shared" ca="1" si="3"/>
        <v>Hackschnitzel</v>
      </c>
      <c r="F212" s="98" t="s">
        <v>15</v>
      </c>
      <c r="G212" s="98" t="s">
        <v>447</v>
      </c>
      <c r="H212" s="98" t="s">
        <v>614</v>
      </c>
      <c r="J212" s="103"/>
    </row>
    <row r="213" spans="4:10">
      <c r="D213" s="98">
        <v>213</v>
      </c>
      <c r="E213" s="106" t="str">
        <f t="shared" ca="1" si="3"/>
        <v>WP (LW)</v>
      </c>
      <c r="F213" s="98" t="s">
        <v>141</v>
      </c>
      <c r="G213" s="98" t="s">
        <v>448</v>
      </c>
      <c r="H213" s="98" t="s">
        <v>615</v>
      </c>
      <c r="J213" s="103"/>
    </row>
    <row r="214" spans="4:10">
      <c r="D214" s="98">
        <v>214</v>
      </c>
      <c r="E214" s="106" t="str">
        <f t="shared" ca="1" si="3"/>
        <v>Heizkessel/WP inkl. IBN</v>
      </c>
      <c r="F214" s="98" t="s">
        <v>351</v>
      </c>
      <c r="G214" s="98" t="s">
        <v>484</v>
      </c>
      <c r="H214" s="98" t="s">
        <v>616</v>
      </c>
      <c r="J214" s="103"/>
    </row>
    <row r="215" spans="4:10">
      <c r="D215" s="98">
        <v>215</v>
      </c>
      <c r="E215" s="106" t="str">
        <f t="shared" ca="1" si="3"/>
        <v>Solar für Erdgas-Anlage</v>
      </c>
      <c r="F215" s="98" t="s">
        <v>345</v>
      </c>
      <c r="G215" s="98" t="s">
        <v>485</v>
      </c>
      <c r="H215" s="98" t="s">
        <v>617</v>
      </c>
      <c r="J215" s="103"/>
    </row>
    <row r="216" spans="4:10">
      <c r="D216" s="98">
        <v>216</v>
      </c>
      <c r="E216" s="106" t="str">
        <f t="shared" ca="1" si="3"/>
        <v>Gesamtkosten für Anlagen (inkl. Montage):</v>
      </c>
      <c r="F216" s="98" t="s">
        <v>353</v>
      </c>
      <c r="G216" s="98" t="s">
        <v>486</v>
      </c>
      <c r="H216" s="98" t="s">
        <v>618</v>
      </c>
      <c r="J216" s="103"/>
    </row>
    <row r="217" spans="4:10">
      <c r="D217" s="98">
        <v>217</v>
      </c>
      <c r="E217" s="106" t="str">
        <f t="shared" ca="1" si="3"/>
        <v>bis 10 m²-Anlage</v>
      </c>
      <c r="F217" s="98" t="s">
        <v>724</v>
      </c>
      <c r="G217" s="98" t="s">
        <v>731</v>
      </c>
      <c r="H217" s="98" t="s">
        <v>732</v>
      </c>
      <c r="J217" s="103"/>
    </row>
    <row r="218" spans="4:10">
      <c r="D218" s="98">
        <v>218</v>
      </c>
      <c r="E218" s="106" t="str">
        <f t="shared" ca="1" si="3"/>
        <v>bis 32 m²-Anlage</v>
      </c>
      <c r="F218" s="98" t="s">
        <v>725</v>
      </c>
      <c r="G218" s="98" t="s">
        <v>730</v>
      </c>
      <c r="H218" s="98" t="s">
        <v>733</v>
      </c>
      <c r="J218" s="103"/>
    </row>
    <row r="219" spans="4:10">
      <c r="D219" s="98">
        <v>219</v>
      </c>
      <c r="E219" s="106" t="str">
        <f t="shared" ca="1" si="3"/>
        <v>ab 32 m²-Anlage</v>
      </c>
      <c r="F219" s="98" t="s">
        <v>726</v>
      </c>
      <c r="G219" s="98" t="s">
        <v>729</v>
      </c>
      <c r="H219" s="98" t="s">
        <v>734</v>
      </c>
      <c r="J219" s="103"/>
    </row>
    <row r="220" spans="4:10">
      <c r="D220" s="98">
        <v>220</v>
      </c>
      <c r="E220" s="106" t="str">
        <f t="shared" ca="1" si="3"/>
        <v>Fr./m² (Kollektorfläche)</v>
      </c>
      <c r="F220" s="98" t="s">
        <v>727</v>
      </c>
      <c r="G220" s="98" t="s">
        <v>728</v>
      </c>
      <c r="H220" s="98" t="s">
        <v>735</v>
      </c>
      <c r="J220" s="103"/>
    </row>
    <row r="221" spans="4:10">
      <c r="D221" s="98">
        <v>221</v>
      </c>
      <c r="E221" s="106" t="str">
        <f t="shared" ca="1" si="3"/>
        <v>Grundlagen für die Berechnung der jährlichen Unterhaltskosten</v>
      </c>
      <c r="F221" s="98" t="s">
        <v>334</v>
      </c>
      <c r="G221" s="98" t="s">
        <v>505</v>
      </c>
      <c r="H221" s="98" t="s">
        <v>619</v>
      </c>
      <c r="J221" s="103"/>
    </row>
    <row r="222" spans="4:10">
      <c r="D222" s="98">
        <v>222</v>
      </c>
      <c r="E222" s="106" t="str">
        <f t="shared" ca="1" si="3"/>
        <v>Grundpreis</v>
      </c>
      <c r="F222" s="98" t="s">
        <v>335</v>
      </c>
      <c r="G222" s="98" t="s">
        <v>449</v>
      </c>
      <c r="H222" s="98" t="s">
        <v>620</v>
      </c>
      <c r="J222" s="103"/>
    </row>
    <row r="223" spans="4:10">
      <c r="D223" s="98">
        <v>223</v>
      </c>
      <c r="E223" s="106" t="str">
        <f t="shared" ca="1" si="3"/>
        <v xml:space="preserve">Grundlagen für energetische Berechnung </v>
      </c>
      <c r="F223" s="98" t="s">
        <v>315</v>
      </c>
      <c r="G223" s="98" t="s">
        <v>503</v>
      </c>
      <c r="H223" s="98" t="s">
        <v>621</v>
      </c>
      <c r="J223" s="103"/>
    </row>
    <row r="224" spans="4:10">
      <c r="D224" s="98">
        <v>224</v>
      </c>
      <c r="E224" s="106" t="str">
        <f t="shared" ca="1" si="3"/>
        <v>Leistungs- und Wärmebedarf Neubauten</v>
      </c>
      <c r="F224" s="98" t="s">
        <v>148</v>
      </c>
      <c r="G224" s="98" t="s">
        <v>398</v>
      </c>
      <c r="H224" s="98" t="s">
        <v>544</v>
      </c>
      <c r="J224" s="103"/>
    </row>
    <row r="225" spans="4:10">
      <c r="D225" s="98">
        <v>225</v>
      </c>
      <c r="E225" s="106" t="str">
        <f t="shared" ca="1" si="3"/>
        <v>Jahresnutzungsgrad</v>
      </c>
      <c r="F225" s="98" t="s">
        <v>168</v>
      </c>
      <c r="G225" s="98" t="s">
        <v>487</v>
      </c>
      <c r="H225" s="98" t="s">
        <v>622</v>
      </c>
      <c r="J225" s="103"/>
    </row>
    <row r="226" spans="4:10">
      <c r="D226" s="98">
        <v>226</v>
      </c>
      <c r="E226" s="106" t="str">
        <f t="shared" ca="1" si="3"/>
        <v>alte Anlagen</v>
      </c>
      <c r="F226" s="98" t="s">
        <v>167</v>
      </c>
      <c r="G226" s="98" t="s">
        <v>450</v>
      </c>
      <c r="H226" s="98" t="s">
        <v>623</v>
      </c>
      <c r="J226" s="103"/>
    </row>
    <row r="227" spans="4:10">
      <c r="D227" s="98">
        <v>227</v>
      </c>
      <c r="E227" s="106" t="str">
        <f t="shared" ca="1" si="3"/>
        <v>neue Anlagen</v>
      </c>
      <c r="F227" s="98" t="s">
        <v>166</v>
      </c>
      <c r="G227" s="98" t="s">
        <v>451</v>
      </c>
      <c r="H227" s="98" t="s">
        <v>624</v>
      </c>
      <c r="J227" s="103"/>
    </row>
    <row r="228" spans="4:10">
      <c r="D228" s="98">
        <v>228</v>
      </c>
      <c r="E228" s="106" t="str">
        <f t="shared" ca="1" si="3"/>
        <v>Bei Wärmenetz BHKW (Gas) wird nur die Wärmeabgabe berücksichtigt.</v>
      </c>
      <c r="F228" s="98" t="s">
        <v>354</v>
      </c>
      <c r="G228" s="98" t="s">
        <v>488</v>
      </c>
      <c r="H228" s="98" t="s">
        <v>625</v>
      </c>
      <c r="J228" s="103"/>
    </row>
    <row r="229" spans="4:10">
      <c r="D229" s="98">
        <v>229</v>
      </c>
      <c r="E229" s="106" t="str">
        <f t="shared" ca="1" si="3"/>
        <v>Angaben bei einer Raumtemperatur von 21°C und -8°C Aussentemperatur</v>
      </c>
      <c r="F229" s="98" t="s">
        <v>295</v>
      </c>
      <c r="G229" s="98" t="s">
        <v>480</v>
      </c>
      <c r="H229" s="98" t="s">
        <v>606</v>
      </c>
      <c r="J229" s="103"/>
    </row>
    <row r="230" spans="4:10">
      <c r="D230" s="98">
        <v>230</v>
      </c>
      <c r="E230" s="106" t="str">
        <f t="shared" ca="1" si="3"/>
        <v>Volllaststunden Wärmeerzeugung</v>
      </c>
      <c r="F230" s="98" t="s">
        <v>311</v>
      </c>
      <c r="G230" s="98" t="s">
        <v>1605</v>
      </c>
      <c r="H230" s="98" t="s">
        <v>626</v>
      </c>
      <c r="J230" s="103"/>
    </row>
    <row r="231" spans="4:10">
      <c r="D231" s="98">
        <v>231</v>
      </c>
      <c r="E231" s="106" t="str">
        <f t="shared" ca="1" si="3"/>
        <v>Reduktionsfaktor für Gebäudestandard</v>
      </c>
      <c r="F231" s="98" t="s">
        <v>157</v>
      </c>
      <c r="G231" s="98" t="s">
        <v>399</v>
      </c>
      <c r="H231" s="98" t="s">
        <v>545</v>
      </c>
      <c r="J231" s="103"/>
    </row>
    <row r="232" spans="4:10">
      <c r="D232" s="98">
        <v>232</v>
      </c>
      <c r="E232" s="106" t="str">
        <f t="shared" ca="1" si="3"/>
        <v>Grundlagen für die Kostenberechnung</v>
      </c>
      <c r="F232" s="98" t="s">
        <v>198</v>
      </c>
      <c r="G232" s="98" t="s">
        <v>504</v>
      </c>
      <c r="H232" s="98" t="s">
        <v>627</v>
      </c>
      <c r="J232" s="103"/>
    </row>
    <row r="233" spans="4:10">
      <c r="D233" s="98">
        <v>233</v>
      </c>
      <c r="E233" s="106" t="str">
        <f t="shared" ca="1" si="3"/>
        <v>Bei Hackschnitzel muss anstelle des Energiepreises der Wärmepreis eingegeben werden.</v>
      </c>
      <c r="F233" s="98" t="s">
        <v>355</v>
      </c>
      <c r="G233" s="98" t="s">
        <v>492</v>
      </c>
      <c r="H233" s="98" t="s">
        <v>628</v>
      </c>
      <c r="J233" s="103"/>
    </row>
    <row r="234" spans="4:10">
      <c r="D234" s="98">
        <v>234</v>
      </c>
      <c r="E234" s="106" t="str">
        <f t="shared" ca="1" si="3"/>
        <v>Quelle:http://www.ezv.admin.ch/zollinfo_firmen/04020/04256/04265/index.html?lang=de</v>
      </c>
      <c r="F234" s="98" t="s">
        <v>356</v>
      </c>
      <c r="G234" s="98" t="s">
        <v>491</v>
      </c>
      <c r="H234" s="98" t="s">
        <v>629</v>
      </c>
      <c r="J234" s="103"/>
    </row>
    <row r="235" spans="4:10">
      <c r="D235" s="98">
        <v>235</v>
      </c>
      <c r="E235" s="106" t="str">
        <f t="shared" ca="1" si="3"/>
        <v>Energiepreise</v>
      </c>
      <c r="F235" s="98" t="s">
        <v>1616</v>
      </c>
      <c r="G235" s="98" t="s">
        <v>429</v>
      </c>
      <c r="H235" s="98" t="s">
        <v>542</v>
      </c>
      <c r="J235" s="103"/>
    </row>
    <row r="236" spans="4:10">
      <c r="D236" s="98">
        <v>236</v>
      </c>
      <c r="E236" s="106" t="str">
        <f t="shared" ca="1" si="3"/>
        <v>Leistungspreis</v>
      </c>
      <c r="F236" s="98" t="s">
        <v>310</v>
      </c>
      <c r="G236" s="98" t="s">
        <v>430</v>
      </c>
      <c r="H236" s="98" t="s">
        <v>552</v>
      </c>
      <c r="J236" s="103"/>
    </row>
    <row r="237" spans="4:10">
      <c r="D237" s="98">
        <v>237</v>
      </c>
      <c r="E237" s="106" t="str">
        <f t="shared" ca="1" si="3"/>
        <v>Zinssatz und Teuerung</v>
      </c>
      <c r="F237" s="98" t="s">
        <v>199</v>
      </c>
      <c r="G237" s="98" t="s">
        <v>493</v>
      </c>
      <c r="H237" s="98" t="s">
        <v>630</v>
      </c>
      <c r="J237" s="103"/>
    </row>
    <row r="238" spans="4:10">
      <c r="D238" s="98">
        <v>238</v>
      </c>
      <c r="E238" s="106" t="str">
        <f t="shared" ca="1" si="3"/>
        <v>Die Werte dürfen nicht gleich gross sein!</v>
      </c>
      <c r="F238" s="98" t="s">
        <v>357</v>
      </c>
      <c r="G238" s="98" t="s">
        <v>494</v>
      </c>
      <c r="H238" s="98" t="s">
        <v>631</v>
      </c>
      <c r="J238" s="103"/>
    </row>
    <row r="239" spans="4:10">
      <c r="D239" s="98">
        <v>239</v>
      </c>
      <c r="E239" s="106" t="str">
        <f t="shared" ca="1" si="3"/>
        <v>Thermische Solaranlage</v>
      </c>
      <c r="F239" s="98" t="s">
        <v>337</v>
      </c>
      <c r="G239" s="98" t="s">
        <v>432</v>
      </c>
      <c r="H239" s="98" t="s">
        <v>632</v>
      </c>
      <c r="J239" s="103"/>
    </row>
    <row r="240" spans="4:10">
      <c r="D240" s="98">
        <v>240</v>
      </c>
      <c r="E240" s="106" t="str">
        <f t="shared" ca="1" si="3"/>
        <v>Anteil an abgegebener Wärme</v>
      </c>
      <c r="F240" s="98" t="s">
        <v>347</v>
      </c>
      <c r="G240" s="98" t="s">
        <v>428</v>
      </c>
      <c r="H240" s="98" t="s">
        <v>633</v>
      </c>
      <c r="J240" s="103"/>
    </row>
    <row r="241" spans="3:10">
      <c r="D241" s="98">
        <v>241</v>
      </c>
      <c r="E241" s="106" t="str">
        <f t="shared" ca="1" si="3"/>
        <v>Amortisationszeit (Jahre)</v>
      </c>
      <c r="F241" s="98" t="s">
        <v>338</v>
      </c>
      <c r="G241" s="98" t="s">
        <v>431</v>
      </c>
      <c r="H241" s="98" t="s">
        <v>634</v>
      </c>
      <c r="J241" s="103"/>
    </row>
    <row r="242" spans="3:10">
      <c r="D242" s="98">
        <v>242</v>
      </c>
      <c r="E242" s="106" t="str">
        <f t="shared" ca="1" si="3"/>
        <v>Ertrag pro Jahr</v>
      </c>
      <c r="F242" s="98" t="s">
        <v>346</v>
      </c>
      <c r="G242" s="98" t="s">
        <v>427</v>
      </c>
      <c r="H242" s="98" t="s">
        <v>635</v>
      </c>
      <c r="J242" s="103"/>
    </row>
    <row r="243" spans="3:10">
      <c r="D243" s="98">
        <v>243</v>
      </c>
      <c r="E243" s="106" t="str">
        <f t="shared" ca="1" si="3"/>
        <v>Anteil an Investitionskosten</v>
      </c>
      <c r="F243" s="98" t="s">
        <v>344</v>
      </c>
      <c r="G243" s="98" t="s">
        <v>369</v>
      </c>
      <c r="H243" s="98" t="s">
        <v>636</v>
      </c>
      <c r="J243" s="103"/>
    </row>
    <row r="244" spans="3:10">
      <c r="D244" s="98">
        <v>244</v>
      </c>
      <c r="E244" s="106" t="str">
        <f t="shared" ca="1" si="3"/>
        <v>Erschliessung Elektro</v>
      </c>
      <c r="F244" s="98" t="s">
        <v>359</v>
      </c>
      <c r="G244" s="98" t="s">
        <v>426</v>
      </c>
      <c r="H244" s="98" t="s">
        <v>637</v>
      </c>
      <c r="J244" s="103"/>
    </row>
    <row r="245" spans="3:10">
      <c r="D245" s="98">
        <v>245</v>
      </c>
      <c r="E245" s="106" t="str">
        <f t="shared" ca="1" si="3"/>
        <v>Mehrauf. Elektrokasten</v>
      </c>
      <c r="F245" s="98" t="s">
        <v>360</v>
      </c>
      <c r="G245" s="98" t="s">
        <v>495</v>
      </c>
      <c r="H245" s="98" t="s">
        <v>638</v>
      </c>
      <c r="J245" s="103"/>
    </row>
    <row r="246" spans="3:10">
      <c r="D246" s="98">
        <v>246</v>
      </c>
      <c r="E246" s="106">
        <f t="shared" ca="1" si="3"/>
        <v>0</v>
      </c>
      <c r="J246" s="103"/>
    </row>
    <row r="247" spans="3:10">
      <c r="C247" s="99"/>
      <c r="D247" s="98">
        <v>247</v>
      </c>
      <c r="E247" s="106" t="str">
        <f t="shared" ca="1" si="3"/>
        <v>Erläuterungen und Hinweise</v>
      </c>
      <c r="F247" s="98" t="s">
        <v>324</v>
      </c>
      <c r="G247" s="98" t="s">
        <v>452</v>
      </c>
      <c r="H247" s="98" t="s">
        <v>639</v>
      </c>
      <c r="J247" s="103"/>
    </row>
    <row r="248" spans="3:10">
      <c r="D248" s="98">
        <v>248</v>
      </c>
      <c r="E248" s="106" t="str">
        <f t="shared" ca="1" si="3"/>
        <v xml:space="preserve">Auf dieser Seite finden Sie einige Hinweise zu der Berechnung und woher die Grundlagen stammen. Der Aufbau entspricht der Reihenfolge der Eingaben.  </v>
      </c>
      <c r="F248" s="98" t="s">
        <v>323</v>
      </c>
      <c r="G248" s="98" t="s">
        <v>496</v>
      </c>
      <c r="H248" s="98" t="s">
        <v>640</v>
      </c>
      <c r="J248" s="103"/>
    </row>
    <row r="249" spans="3:10">
      <c r="D249" s="98">
        <v>249</v>
      </c>
      <c r="E249" s="106" t="str">
        <f t="shared" ca="1" si="3"/>
        <v>Wärmeerzeugerleistung und abgegebene Wärme</v>
      </c>
      <c r="F249" s="98" t="s">
        <v>325</v>
      </c>
      <c r="G249" s="98" t="s">
        <v>498</v>
      </c>
      <c r="H249" s="98" t="s">
        <v>641</v>
      </c>
      <c r="J249" s="103"/>
    </row>
    <row r="250" spans="3:10" ht="135">
      <c r="D250" s="98">
        <v>250</v>
      </c>
      <c r="E250" s="106" t="str">
        <f t="shared" ca="1" si="3"/>
        <v>Für die Berechnung der Investitionskosten und der Umweltbelastung sind die Wärmeerzeugerleistung und die abgegebene Wärme notwendig. Sind die Grössen bekannt, können diese direkt eingegeben werden, andernfalls werden diese berechnet. Die Raumwärme und die Wärme für die verbundenen Systeme sowie die Wärme für das Brauchwarmwasser werden separat eingegeben.
Der Ertrag der thermischen Solaranlage wird nach SIA 384/3 gerechnet.</v>
      </c>
      <c r="F250" s="477" t="s">
        <v>1750</v>
      </c>
      <c r="G250" s="477" t="s">
        <v>1722</v>
      </c>
      <c r="H250" s="477" t="s">
        <v>1721</v>
      </c>
      <c r="J250" s="103"/>
    </row>
    <row r="251" spans="3:10">
      <c r="D251" s="98">
        <v>251</v>
      </c>
      <c r="E251" s="106" t="str">
        <f t="shared" ca="1" si="3"/>
        <v>Neubau</v>
      </c>
      <c r="F251" s="98" t="s">
        <v>126</v>
      </c>
      <c r="G251" s="98" t="s">
        <v>453</v>
      </c>
      <c r="H251" s="98" t="s">
        <v>528</v>
      </c>
      <c r="J251" s="103"/>
    </row>
    <row r="252" spans="3:10" ht="120">
      <c r="D252" s="98">
        <v>252</v>
      </c>
      <c r="E252" s="106" t="str">
        <f t="shared" ca="1" si="3"/>
        <v>Bei einem Neubau bildet die Energiebezugsfläche (EBF) die Basis, diese wird mit spezifischen Werten nach Merkblatt SIA 2024 multipliziert. Weicht die Aussentemperatur von -8°C ab, oder wird nach Minergie bzw. Minergie-P gebaut, wird der Wert korrigiert. Die Werte sind auf dem Excelblatt "Grundlagen" in den Tabellen "Leistungs- und Wärmebedarf Neubau" und "Reduktionsfaktor für Gebäudestandard" zu finden und können nach Bedarf überschrieben werden.</v>
      </c>
      <c r="F252" s="477" t="s">
        <v>1683</v>
      </c>
      <c r="G252" s="98" t="s">
        <v>497</v>
      </c>
      <c r="H252" s="98" t="s">
        <v>642</v>
      </c>
      <c r="J252" s="103"/>
    </row>
    <row r="253" spans="3:10">
      <c r="D253" s="98">
        <v>253</v>
      </c>
      <c r="E253" s="106" t="str">
        <f t="shared" ca="1" si="3"/>
        <v>Ersatz</v>
      </c>
      <c r="F253" s="98" t="s">
        <v>127</v>
      </c>
      <c r="G253" s="98" t="s">
        <v>386</v>
      </c>
      <c r="H253" s="98" t="s">
        <v>529</v>
      </c>
      <c r="J253" s="103"/>
    </row>
    <row r="254" spans="3:10" ht="210">
      <c r="D254" s="98">
        <v>254</v>
      </c>
      <c r="E254" s="106" t="str">
        <f t="shared" ca="1" si="3"/>
        <v xml:space="preserve">Bei einem Ersatz einer bestehenden Anlage wird der jährliche Verbrauch angegeben. Es darf jeweils nur eine Brennstoff-Art angegeben werden, ansonsten wird die Wärmeerzeugerleistung falsch berechnet. Der Verbrauch wird Heizgradtag bereinigt, für die Berechnung der Wärme werden die Stoffwerte aus der Norm SIA 380 verwendet. Der Jahresnutzungsgrad für neue Anlagen wurde den Minergie-Dokumenten entnommen, für alte Anlagen liefert die Leistungsgarantie Haustechnik von Energie Schweiz die Grundlage. Die Werte sind auf dem Excelblatt "Grundlagen" in der Tabelle Grundlagen für energetische Berechnung zu finden und können ebenfalls überschrieben werden. In der gleichen Tabelle sind auch die Werte für die akquivalenten Treibhausgase und Umweltbelastungspunkte (UBP) zu finden. Quelle hier ist die KBOB.    </v>
      </c>
      <c r="F254" s="477" t="s">
        <v>364</v>
      </c>
      <c r="G254" s="98" t="s">
        <v>500</v>
      </c>
      <c r="H254" s="98" t="s">
        <v>643</v>
      </c>
      <c r="J254" s="103"/>
    </row>
    <row r="255" spans="3:10" ht="75">
      <c r="D255" s="98">
        <v>255</v>
      </c>
      <c r="E255" s="106" t="str">
        <f t="shared" ca="1" si="3"/>
        <v xml:space="preserve">Die Berechnung der Wärmeerzeugerleistung und der abgegebenen Wärme ist in der Norm SIA 384/1 beschrieben. Die Volllaststunden können ebenfalls überschrieben werden, die Werte sind in der Tabelle "Volllaststunden Wärmeerzeugung" zu finden, Grundlage bildet hier die Leistungsgarantie Haustechnik. </v>
      </c>
      <c r="F255" s="477" t="s">
        <v>1751</v>
      </c>
      <c r="G255" s="98" t="s">
        <v>499</v>
      </c>
      <c r="H255" s="98" t="s">
        <v>644</v>
      </c>
      <c r="J255" s="103"/>
    </row>
    <row r="256" spans="3:10">
      <c r="D256" s="98">
        <v>256</v>
      </c>
      <c r="E256" s="106" t="str">
        <f t="shared" ca="1" si="3"/>
        <v>Investitionskosten</v>
      </c>
      <c r="F256" s="98" t="s">
        <v>319</v>
      </c>
      <c r="G256" s="98" t="s">
        <v>392</v>
      </c>
      <c r="H256" s="98" t="s">
        <v>534</v>
      </c>
      <c r="J256" s="103"/>
    </row>
    <row r="257" spans="4:10" ht="105">
      <c r="D257" s="98">
        <v>257</v>
      </c>
      <c r="E257" s="106" t="str">
        <f t="shared" ca="1" si="3"/>
        <v xml:space="preserve">Für die Berechnung der  Investitionskosten wurden bei den Wärmeerzeugerleistungen 5 kW, 10 kW, 20 kW, 70 kW, 100 kW, 200 kW, 350 kW, 500kW, 750kW, 1'000 kW, 1'500 kW und 2'000 kW für jede Wärmeerzeugungsart Marktwerte berechnet (exkl. MwSt.) und auf dem Excelblatt "Investitionskosten" hinterlegt. Liegen eigene Wert vor, können die vorhandenen Standardwerte überschrieben werden.    </v>
      </c>
      <c r="F257" s="477" t="s">
        <v>670</v>
      </c>
      <c r="G257" s="98" t="s">
        <v>810</v>
      </c>
      <c r="H257" s="98" t="s">
        <v>671</v>
      </c>
      <c r="J257" s="103"/>
    </row>
    <row r="258" spans="4:10">
      <c r="D258" s="98">
        <v>258</v>
      </c>
      <c r="E258" s="106" t="str">
        <f t="shared" ca="1" si="3"/>
        <v>Kapitalkosten</v>
      </c>
      <c r="F258" s="98" t="s">
        <v>327</v>
      </c>
      <c r="G258" s="98" t="s">
        <v>393</v>
      </c>
      <c r="H258" s="98" t="s">
        <v>645</v>
      </c>
      <c r="J258" s="103"/>
    </row>
    <row r="259" spans="4:10" ht="75">
      <c r="D259" s="98">
        <v>259</v>
      </c>
      <c r="E259" s="106" t="str">
        <f t="shared" ca="1" si="3"/>
        <v xml:space="preserve">Aus den interpolierten Investitionskosten werden mit Hilfe der Annuitätsmethode die Kapitalkosten berechnet. Die Amortisationszeiten sind auf dem Blatt "Grundlagen" und der Zinssatz auf dem Excelblatt "Projektdaten" zu finden und können überschrieben werden. </v>
      </c>
      <c r="F259" s="477" t="s">
        <v>1752</v>
      </c>
      <c r="G259" s="98" t="s">
        <v>506</v>
      </c>
      <c r="H259" s="98" t="s">
        <v>646</v>
      </c>
      <c r="J259" s="103"/>
    </row>
    <row r="260" spans="4:10">
      <c r="D260" s="98">
        <v>260</v>
      </c>
      <c r="E260" s="106" t="str">
        <f t="shared" ca="1" si="3"/>
        <v>Unterhaltskosten</v>
      </c>
      <c r="F260" s="98" t="s">
        <v>326</v>
      </c>
      <c r="G260" s="98" t="s">
        <v>394</v>
      </c>
      <c r="H260" s="98" t="s">
        <v>647</v>
      </c>
      <c r="J260" s="103"/>
    </row>
    <row r="261" spans="4:10" ht="60">
      <c r="D261" s="98">
        <v>261</v>
      </c>
      <c r="E261" s="106" t="str">
        <f t="shared" ca="1" si="3"/>
        <v>Die Berechung der Unterhaltskosten folgt dem gleichen Prinzip wie die Berechnung der Investitionskosten. die Vorgegebenen Standardwerte können auf dem Excelblatt "Unterhaltskosten" angepasst werden.</v>
      </c>
      <c r="F261" s="477" t="s">
        <v>328</v>
      </c>
      <c r="G261" s="98" t="s">
        <v>501</v>
      </c>
      <c r="H261" s="98" t="s">
        <v>648</v>
      </c>
      <c r="J261" s="103"/>
    </row>
    <row r="262" spans="4:10">
      <c r="D262" s="98">
        <v>262</v>
      </c>
      <c r="E262" s="106" t="str">
        <f t="shared" ca="1" si="3"/>
        <v>Energiekosten</v>
      </c>
      <c r="F262" s="98" t="s">
        <v>193</v>
      </c>
      <c r="G262" s="98" t="s">
        <v>1753</v>
      </c>
      <c r="H262" s="98" t="s">
        <v>1754</v>
      </c>
      <c r="J262" s="103"/>
    </row>
    <row r="263" spans="4:10" ht="45">
      <c r="D263" s="98">
        <v>263</v>
      </c>
      <c r="E263" s="107" t="str">
        <f t="shared" ca="1" si="3"/>
        <v xml:space="preserve">Die jährlichen Preissteigerung werden nach der Zinseszins-Methode berechnet. Weitere Informationen sind in der SIA 480 zu finden.  </v>
      </c>
      <c r="F263" s="105" t="s">
        <v>1755</v>
      </c>
      <c r="G263" s="105" t="s">
        <v>1757</v>
      </c>
      <c r="H263" s="105" t="s">
        <v>1756</v>
      </c>
      <c r="J263" s="103"/>
    </row>
    <row r="264" spans="4:10">
      <c r="D264" s="98">
        <v>264</v>
      </c>
      <c r="E264" s="106" t="str">
        <f t="shared" ca="1" si="3"/>
        <v>Subventionen</v>
      </c>
      <c r="F264" s="98" t="s">
        <v>672</v>
      </c>
      <c r="G264" s="98" t="s">
        <v>751</v>
      </c>
      <c r="H264" s="98" t="s">
        <v>773</v>
      </c>
    </row>
    <row r="265" spans="4:10">
      <c r="D265" s="98">
        <v>265</v>
      </c>
      <c r="E265" s="106" t="str">
        <f t="shared" ca="1" si="3"/>
        <v>Subventionsbeitrag</v>
      </c>
      <c r="F265" s="98" t="s">
        <v>673</v>
      </c>
      <c r="G265" s="98" t="s">
        <v>794</v>
      </c>
      <c r="H265" s="98" t="s">
        <v>793</v>
      </c>
    </row>
    <row r="266" spans="4:10">
      <c r="D266" s="98">
        <v>266</v>
      </c>
      <c r="E266" s="106" t="str">
        <f t="shared" ca="1" si="3"/>
        <v>Die Art und Höhe der Subvention ist von Kanton zu Kanton unterschiedlich. Informationen sind zu finden unter z. B. www.energiefranken.ch.</v>
      </c>
      <c r="F266" s="98" t="s">
        <v>723</v>
      </c>
      <c r="G266" s="98" t="s">
        <v>1600</v>
      </c>
      <c r="H266" s="98" t="s">
        <v>1601</v>
      </c>
    </row>
    <row r="267" spans="4:10">
      <c r="D267" s="98">
        <v>267</v>
      </c>
      <c r="E267" s="106" t="str">
        <f t="shared" ca="1" si="3"/>
        <v>Bauliche Massnahmen (exkl. Gebäudehülle)</v>
      </c>
      <c r="F267" s="98" t="s">
        <v>721</v>
      </c>
      <c r="G267" s="98" t="s">
        <v>752</v>
      </c>
      <c r="H267" s="98" t="s">
        <v>774</v>
      </c>
    </row>
    <row r="268" spans="4:10">
      <c r="D268" s="98">
        <v>268</v>
      </c>
      <c r="E268" s="106" t="str">
        <f t="shared" ref="E268:E331" ca="1" si="4">INDIRECT($C$9&amp;D268)</f>
        <v>Kosten für bauliche Massnahmen</v>
      </c>
      <c r="F268" s="98" t="s">
        <v>675</v>
      </c>
      <c r="G268" s="98" t="s">
        <v>753</v>
      </c>
      <c r="H268" s="98" t="s">
        <v>775</v>
      </c>
    </row>
    <row r="269" spans="4:10">
      <c r="D269" s="98">
        <v>269</v>
      </c>
      <c r="E269" s="106" t="str">
        <f t="shared" ca="1" si="4"/>
        <v>Unter baulichen Massnahmen fallen alle Kosten in Zusammenhang mit dem Wärmeerzeugerersatz.</v>
      </c>
      <c r="F269" s="98" t="s">
        <v>722</v>
      </c>
      <c r="G269" s="98" t="s">
        <v>754</v>
      </c>
      <c r="H269" s="98" t="s">
        <v>791</v>
      </c>
    </row>
    <row r="270" spans="4:10">
      <c r="D270" s="98">
        <v>270</v>
      </c>
      <c r="E270" s="106" t="str">
        <f t="shared" ca="1" si="4"/>
        <v>PV-Anlage</v>
      </c>
      <c r="F270" s="98" t="s">
        <v>677</v>
      </c>
      <c r="G270" s="98" t="s">
        <v>755</v>
      </c>
      <c r="H270" s="98" t="s">
        <v>776</v>
      </c>
    </row>
    <row r="271" spans="4:10">
      <c r="D271" s="98">
        <v>271</v>
      </c>
      <c r="E271" s="106" t="str">
        <f t="shared" ca="1" si="4"/>
        <v>Typ</v>
      </c>
      <c r="F271" s="98" t="s">
        <v>678</v>
      </c>
      <c r="G271" s="98" t="s">
        <v>756</v>
      </c>
      <c r="H271" s="98" t="s">
        <v>777</v>
      </c>
    </row>
    <row r="272" spans="4:10">
      <c r="D272" s="98">
        <v>272</v>
      </c>
      <c r="E272" s="106" t="str">
        <f t="shared" ca="1" si="4"/>
        <v>Grösse Anlage</v>
      </c>
      <c r="F272" s="98" t="s">
        <v>1281</v>
      </c>
      <c r="G272" s="98" t="s">
        <v>757</v>
      </c>
      <c r="H272" s="98" t="s">
        <v>778</v>
      </c>
    </row>
    <row r="273" spans="4:8">
      <c r="D273" s="98">
        <v>273</v>
      </c>
      <c r="E273" s="106" t="str">
        <f t="shared" ca="1" si="4"/>
        <v>Ausrichtung</v>
      </c>
      <c r="F273" s="98" t="s">
        <v>679</v>
      </c>
      <c r="G273" s="98" t="s">
        <v>758</v>
      </c>
      <c r="H273" s="98" t="s">
        <v>779</v>
      </c>
    </row>
    <row r="274" spans="4:8">
      <c r="D274" s="98">
        <v>274</v>
      </c>
      <c r="E274" s="106" t="str">
        <f t="shared" ca="1" si="4"/>
        <v>Neigung</v>
      </c>
      <c r="F274" s="98" t="s">
        <v>680</v>
      </c>
      <c r="G274" s="98" t="s">
        <v>759</v>
      </c>
      <c r="H274" s="98" t="s">
        <v>780</v>
      </c>
    </row>
    <row r="275" spans="4:8">
      <c r="D275" s="98">
        <v>275</v>
      </c>
      <c r="E275" s="106" t="str">
        <f t="shared" ca="1" si="4"/>
        <v>Südosten</v>
      </c>
      <c r="F275" s="98" t="s">
        <v>713</v>
      </c>
      <c r="G275" s="98" t="s">
        <v>760</v>
      </c>
      <c r="H275" s="98" t="s">
        <v>760</v>
      </c>
    </row>
    <row r="276" spans="4:8">
      <c r="D276" s="98">
        <v>276</v>
      </c>
      <c r="E276" s="106" t="str">
        <f t="shared" ca="1" si="4"/>
        <v>Osten</v>
      </c>
      <c r="F276" s="98" t="s">
        <v>682</v>
      </c>
      <c r="G276" s="98" t="s">
        <v>761</v>
      </c>
      <c r="H276" s="98" t="s">
        <v>761</v>
      </c>
    </row>
    <row r="277" spans="4:8">
      <c r="D277" s="98">
        <v>277</v>
      </c>
      <c r="E277" s="106" t="str">
        <f t="shared" ca="1" si="4"/>
        <v>Süden</v>
      </c>
      <c r="F277" s="98" t="s">
        <v>683</v>
      </c>
      <c r="G277" s="98" t="s">
        <v>762</v>
      </c>
      <c r="H277" s="98" t="s">
        <v>762</v>
      </c>
    </row>
    <row r="278" spans="4:8">
      <c r="D278" s="98">
        <v>278</v>
      </c>
      <c r="E278" s="106" t="str">
        <f t="shared" ca="1" si="4"/>
        <v>Westen</v>
      </c>
      <c r="F278" s="98" t="s">
        <v>686</v>
      </c>
      <c r="G278" s="98" t="s">
        <v>763</v>
      </c>
      <c r="H278" s="98" t="s">
        <v>781</v>
      </c>
    </row>
    <row r="279" spans="4:8">
      <c r="D279" s="98">
        <v>279</v>
      </c>
      <c r="E279" s="106" t="str">
        <f t="shared" ca="1" si="4"/>
        <v>Standard</v>
      </c>
      <c r="F279" s="98" t="s">
        <v>30</v>
      </c>
      <c r="G279" s="98" t="s">
        <v>30</v>
      </c>
      <c r="H279" s="98" t="s">
        <v>30</v>
      </c>
    </row>
    <row r="280" spans="4:8">
      <c r="D280" s="98">
        <v>280</v>
      </c>
      <c r="E280" s="106" t="str">
        <f t="shared" ca="1" si="4"/>
        <v>Ertrag pro Jahr (Südenost, 45°)</v>
      </c>
      <c r="F280" s="98" t="s">
        <v>718</v>
      </c>
      <c r="G280" s="98" t="s">
        <v>796</v>
      </c>
      <c r="H280" s="98" t="s">
        <v>795</v>
      </c>
    </row>
    <row r="281" spans="4:8">
      <c r="D281" s="98">
        <v>281</v>
      </c>
      <c r="E281" s="106" t="str">
        <f t="shared" ca="1" si="4"/>
        <v>Umrechnung von m² auf kWp</v>
      </c>
      <c r="F281" s="98" t="s">
        <v>698</v>
      </c>
      <c r="G281" s="98" t="s">
        <v>764</v>
      </c>
      <c r="H281" s="98" t="s">
        <v>782</v>
      </c>
    </row>
    <row r="282" spans="4:8">
      <c r="D282" s="98">
        <v>282</v>
      </c>
      <c r="E282" s="106" t="str">
        <f t="shared" ca="1" si="4"/>
        <v>Kosten pro kWp</v>
      </c>
      <c r="F282" s="98" t="s">
        <v>700</v>
      </c>
      <c r="G282" s="98" t="s">
        <v>765</v>
      </c>
      <c r="H282" s="98" t="s">
        <v>783</v>
      </c>
    </row>
    <row r="283" spans="4:8">
      <c r="D283" s="98">
        <v>283</v>
      </c>
      <c r="E283" s="106" t="str">
        <f t="shared" ca="1" si="4"/>
        <v>Erlös aus Stromverkauf</v>
      </c>
      <c r="F283" s="98" t="s">
        <v>705</v>
      </c>
      <c r="G283" s="98" t="s">
        <v>784</v>
      </c>
      <c r="H283" s="98" t="s">
        <v>797</v>
      </c>
    </row>
    <row r="284" spans="4:8">
      <c r="D284" s="98">
        <v>284</v>
      </c>
      <c r="E284" s="106" t="str">
        <f t="shared" ca="1" si="4"/>
        <v>PV-Anlage (inkl. Gebühren)</v>
      </c>
      <c r="F284" s="98" t="s">
        <v>717</v>
      </c>
      <c r="G284" s="98" t="s">
        <v>766</v>
      </c>
      <c r="H284" s="98" t="s">
        <v>792</v>
      </c>
    </row>
    <row r="285" spans="4:8">
      <c r="D285" s="98">
        <v>285</v>
      </c>
      <c r="E285" s="106" t="str">
        <f t="shared" ca="1" si="4"/>
        <v>Südwesten</v>
      </c>
      <c r="F285" s="98" t="s">
        <v>716</v>
      </c>
      <c r="G285" s="98" t="s">
        <v>767</v>
      </c>
      <c r="H285" s="98" t="s">
        <v>785</v>
      </c>
    </row>
    <row r="286" spans="4:8">
      <c r="D286" s="98">
        <v>286</v>
      </c>
      <c r="E286" s="106" t="str">
        <f t="shared" ca="1" si="4"/>
        <v>0 (horizontal)</v>
      </c>
      <c r="F286" s="98" t="s">
        <v>719</v>
      </c>
      <c r="G286" s="98" t="s">
        <v>719</v>
      </c>
      <c r="H286" s="98" t="s">
        <v>798</v>
      </c>
    </row>
    <row r="287" spans="4:8">
      <c r="D287" s="98">
        <v>287</v>
      </c>
      <c r="E287" s="106">
        <f t="shared" ca="1" si="4"/>
        <v>45</v>
      </c>
      <c r="F287" s="98">
        <v>45</v>
      </c>
      <c r="G287" s="98">
        <v>45</v>
      </c>
      <c r="H287" s="98">
        <v>45</v>
      </c>
    </row>
    <row r="288" spans="4:8">
      <c r="D288" s="98">
        <v>288</v>
      </c>
      <c r="E288" s="106" t="str">
        <f t="shared" ca="1" si="4"/>
        <v>90 (senkrecht)</v>
      </c>
      <c r="F288" s="98" t="s">
        <v>720</v>
      </c>
      <c r="G288" s="98" t="s">
        <v>768</v>
      </c>
      <c r="H288" s="98" t="s">
        <v>786</v>
      </c>
    </row>
    <row r="289" spans="4:8">
      <c r="D289" s="98">
        <v>289</v>
      </c>
      <c r="E289" s="106" t="str">
        <f t="shared" ca="1" si="4"/>
        <v>bis und mit 10 kWp</v>
      </c>
      <c r="F289" s="98" t="s">
        <v>737</v>
      </c>
      <c r="G289" s="98" t="s">
        <v>769</v>
      </c>
      <c r="H289" s="98" t="s">
        <v>787</v>
      </c>
    </row>
    <row r="290" spans="4:8">
      <c r="D290" s="98">
        <v>290</v>
      </c>
      <c r="E290" s="106" t="str">
        <f t="shared" ca="1" si="4"/>
        <v>bis und mit 30 kWp</v>
      </c>
      <c r="F290" s="98" t="s">
        <v>738</v>
      </c>
      <c r="G290" s="98" t="s">
        <v>770</v>
      </c>
      <c r="H290" s="98" t="s">
        <v>788</v>
      </c>
    </row>
    <row r="291" spans="4:8">
      <c r="D291" s="98">
        <v>291</v>
      </c>
      <c r="E291" s="106" t="str">
        <f t="shared" ca="1" si="4"/>
        <v>bis und mit 100 kWp</v>
      </c>
      <c r="F291" s="98" t="s">
        <v>739</v>
      </c>
      <c r="G291" s="98" t="s">
        <v>771</v>
      </c>
      <c r="H291" s="98" t="s">
        <v>789</v>
      </c>
    </row>
    <row r="292" spans="4:8">
      <c r="D292" s="98">
        <v>292</v>
      </c>
      <c r="E292" s="106" t="str">
        <f t="shared" ca="1" si="4"/>
        <v>ab 100 kWp</v>
      </c>
      <c r="F292" s="98" t="s">
        <v>736</v>
      </c>
      <c r="G292" s="98" t="s">
        <v>772</v>
      </c>
      <c r="H292" s="98" t="s">
        <v>790</v>
      </c>
    </row>
    <row r="293" spans="4:8">
      <c r="D293" s="98">
        <v>293</v>
      </c>
      <c r="E293" s="106" t="str">
        <f t="shared" ca="1" si="4"/>
        <v>Verstärkung Netzanschluss</v>
      </c>
      <c r="F293" s="98" t="s">
        <v>811</v>
      </c>
      <c r="G293" s="98" t="s">
        <v>812</v>
      </c>
      <c r="H293" s="98" t="s">
        <v>813</v>
      </c>
    </row>
    <row r="294" spans="4:8">
      <c r="D294" s="98">
        <v>294</v>
      </c>
      <c r="E294" s="106" t="str">
        <f t="shared" ca="1" si="4"/>
        <v>Standorthöhe</v>
      </c>
      <c r="F294" s="98" t="s">
        <v>815</v>
      </c>
      <c r="G294" s="98" t="s">
        <v>896</v>
      </c>
      <c r="H294" s="98" t="s">
        <v>897</v>
      </c>
    </row>
    <row r="295" spans="4:8">
      <c r="D295" s="98">
        <v>295</v>
      </c>
      <c r="E295" s="106" t="str">
        <f t="shared" ca="1" si="4"/>
        <v>Angaben zum Warmwasserverbrauch</v>
      </c>
      <c r="F295" s="98" t="s">
        <v>898</v>
      </c>
      <c r="G295" s="98" t="s">
        <v>899</v>
      </c>
      <c r="H295" s="98" t="s">
        <v>900</v>
      </c>
    </row>
    <row r="296" spans="4:8">
      <c r="D296" s="98">
        <v>296</v>
      </c>
      <c r="E296" s="106" t="str">
        <f t="shared" ca="1" si="4"/>
        <v xml:space="preserve">Angaben anhand der </v>
      </c>
      <c r="F296" s="98" t="s">
        <v>816</v>
      </c>
      <c r="G296" s="98" t="s">
        <v>901</v>
      </c>
      <c r="H296" s="98" t="s">
        <v>902</v>
      </c>
    </row>
    <row r="297" spans="4:8">
      <c r="D297" s="98">
        <v>297</v>
      </c>
      <c r="E297" s="106" t="str">
        <f t="shared" ca="1" si="4"/>
        <v>Nutzung</v>
      </c>
      <c r="F297" s="98" t="s">
        <v>817</v>
      </c>
      <c r="G297" s="98" t="s">
        <v>903</v>
      </c>
      <c r="H297" s="98" t="s">
        <v>904</v>
      </c>
    </row>
    <row r="298" spans="4:8">
      <c r="D298" s="98">
        <v>298</v>
      </c>
      <c r="E298" s="106" t="str">
        <f t="shared" ca="1" si="4"/>
        <v>Personen</v>
      </c>
      <c r="F298" s="98" t="s">
        <v>818</v>
      </c>
      <c r="G298" s="98" t="s">
        <v>874</v>
      </c>
      <c r="H298" s="98" t="s">
        <v>880</v>
      </c>
    </row>
    <row r="299" spans="4:8">
      <c r="D299" s="98">
        <v>299</v>
      </c>
      <c r="E299" s="106" t="str">
        <f t="shared" ca="1" si="4"/>
        <v>Anzahl Personen</v>
      </c>
      <c r="F299" s="98" t="s">
        <v>819</v>
      </c>
      <c r="G299" s="98" t="s">
        <v>905</v>
      </c>
      <c r="H299" s="98" t="s">
        <v>906</v>
      </c>
    </row>
    <row r="300" spans="4:8">
      <c r="D300" s="98">
        <v>300</v>
      </c>
      <c r="E300" s="106" t="str">
        <f t="shared" ca="1" si="4"/>
        <v>Stk.</v>
      </c>
      <c r="F300" s="98" t="s">
        <v>820</v>
      </c>
      <c r="G300" s="98" t="s">
        <v>907</v>
      </c>
      <c r="H300" s="98" t="s">
        <v>908</v>
      </c>
    </row>
    <row r="301" spans="4:8">
      <c r="D301" s="98">
        <v>301</v>
      </c>
      <c r="E301" s="106" t="str">
        <f t="shared" ca="1" si="4"/>
        <v>Berücksichtigen bei</v>
      </c>
      <c r="F301" s="98" t="s">
        <v>821</v>
      </c>
      <c r="G301" s="98" t="s">
        <v>909</v>
      </c>
      <c r="H301" s="98" t="s">
        <v>910</v>
      </c>
    </row>
    <row r="302" spans="4:8">
      <c r="D302" s="98">
        <v>302</v>
      </c>
      <c r="E302" s="106" t="str">
        <f t="shared" ca="1" si="4"/>
        <v>Wärme für Heizung</v>
      </c>
      <c r="F302" s="98" t="s">
        <v>823</v>
      </c>
      <c r="G302" s="98" t="s">
        <v>875</v>
      </c>
      <c r="H302" s="98" t="s">
        <v>881</v>
      </c>
    </row>
    <row r="303" spans="4:8">
      <c r="D303" s="98">
        <v>303</v>
      </c>
      <c r="E303" s="106" t="str">
        <f t="shared" ca="1" si="4"/>
        <v>Wärme für Warmwasser</v>
      </c>
      <c r="F303" s="98" t="s">
        <v>824</v>
      </c>
      <c r="G303" s="98" t="s">
        <v>911</v>
      </c>
      <c r="H303" s="98" t="s">
        <v>882</v>
      </c>
    </row>
    <row r="304" spans="4:8">
      <c r="D304" s="98">
        <v>304</v>
      </c>
      <c r="E304" s="106" t="str">
        <f t="shared" ca="1" si="4"/>
        <v>Der Wärmebedarf für das Warmwasser muss kleiner sein als der Gesamt-Wärmebedarf.</v>
      </c>
      <c r="F304" s="98" t="s">
        <v>825</v>
      </c>
      <c r="G304" s="98" t="s">
        <v>912</v>
      </c>
      <c r="H304" s="98" t="s">
        <v>913</v>
      </c>
    </row>
    <row r="305" spans="4:8">
      <c r="D305" s="98">
        <v>305</v>
      </c>
      <c r="E305" s="106" t="str">
        <f t="shared" ca="1" si="4"/>
        <v>m ü.M.</v>
      </c>
      <c r="F305" s="98" t="s">
        <v>156</v>
      </c>
      <c r="G305" s="98" t="s">
        <v>914</v>
      </c>
      <c r="H305" s="98" t="s">
        <v>915</v>
      </c>
    </row>
    <row r="306" spans="4:8">
      <c r="D306" s="98">
        <v>306</v>
      </c>
      <c r="E306" s="106" t="str">
        <f t="shared" ca="1" si="4"/>
        <v xml:space="preserve">Solarthermie für </v>
      </c>
      <c r="F306" s="98" t="s">
        <v>828</v>
      </c>
      <c r="G306" s="98" t="s">
        <v>916</v>
      </c>
      <c r="H306" s="98" t="s">
        <v>917</v>
      </c>
    </row>
    <row r="307" spans="4:8">
      <c r="D307" s="98">
        <v>307</v>
      </c>
      <c r="E307" s="106" t="str">
        <f t="shared" ca="1" si="4"/>
        <v>Warmwasser</v>
      </c>
      <c r="F307" s="98" t="s">
        <v>826</v>
      </c>
      <c r="G307" s="98" t="s">
        <v>918</v>
      </c>
      <c r="H307" s="98" t="s">
        <v>883</v>
      </c>
    </row>
    <row r="308" spans="4:8">
      <c r="D308" s="98">
        <v>308</v>
      </c>
      <c r="E308" s="106" t="str">
        <f t="shared" ca="1" si="4"/>
        <v>Heizung+Warmwasser</v>
      </c>
      <c r="F308" s="98" t="s">
        <v>827</v>
      </c>
      <c r="G308" s="98" t="s">
        <v>919</v>
      </c>
      <c r="H308" s="98" t="s">
        <v>920</v>
      </c>
    </row>
    <row r="309" spans="4:8">
      <c r="D309" s="98">
        <v>309</v>
      </c>
      <c r="E309" s="106" t="str">
        <f t="shared" ca="1" si="4"/>
        <v>Wärmeerzeugung wird gerechnet</v>
      </c>
      <c r="F309" s="98" t="s">
        <v>830</v>
      </c>
      <c r="G309" s="98" t="s">
        <v>921</v>
      </c>
      <c r="H309" s="98" t="s">
        <v>922</v>
      </c>
    </row>
    <row r="310" spans="4:8">
      <c r="D310" s="98">
        <v>310</v>
      </c>
      <c r="E310" s="106" t="str">
        <f t="shared" ca="1" si="4"/>
        <v>inkl. thermische Solaranlage</v>
      </c>
      <c r="F310" s="98" t="s">
        <v>831</v>
      </c>
      <c r="G310" s="98" t="s">
        <v>923</v>
      </c>
      <c r="H310" s="98" t="s">
        <v>884</v>
      </c>
    </row>
    <row r="311" spans="4:8">
      <c r="D311" s="98">
        <v>311</v>
      </c>
      <c r="E311" s="106" t="str">
        <f t="shared" ca="1" si="4"/>
        <v>Warmwasser (bestehend)</v>
      </c>
      <c r="F311" s="98" t="s">
        <v>849</v>
      </c>
      <c r="G311" s="98" t="s">
        <v>924</v>
      </c>
      <c r="H311" s="98" t="s">
        <v>885</v>
      </c>
    </row>
    <row r="312" spans="4:8">
      <c r="D312" s="98">
        <v>312</v>
      </c>
      <c r="E312" s="106" t="str">
        <f t="shared" ca="1" si="4"/>
        <v>Heizung+Warmwasser (bestehend)</v>
      </c>
      <c r="F312" s="98" t="s">
        <v>832</v>
      </c>
      <c r="G312" s="98" t="s">
        <v>925</v>
      </c>
      <c r="H312" s="98" t="s">
        <v>926</v>
      </c>
    </row>
    <row r="313" spans="4:8">
      <c r="D313" s="98">
        <v>313</v>
      </c>
      <c r="E313" s="106" t="str">
        <f t="shared" ca="1" si="4"/>
        <v>WW-Verbrauch pro Tag und Person</v>
      </c>
      <c r="F313" s="98" t="s">
        <v>927</v>
      </c>
      <c r="G313" s="98" t="s">
        <v>928</v>
      </c>
      <c r="H313" s="98" t="s">
        <v>929</v>
      </c>
    </row>
    <row r="314" spans="4:8">
      <c r="D314" s="98">
        <v>314</v>
      </c>
      <c r="E314" s="106" t="str">
        <f t="shared" ca="1" si="4"/>
        <v>Spezifischer Wärmebedarf</v>
      </c>
      <c r="F314" s="98" t="s">
        <v>834</v>
      </c>
      <c r="G314" s="98" t="s">
        <v>930</v>
      </c>
      <c r="H314" s="98" t="s">
        <v>931</v>
      </c>
    </row>
    <row r="315" spans="4:8">
      <c r="D315" s="98">
        <v>315</v>
      </c>
      <c r="E315" s="106" t="str">
        <f t="shared" ca="1" si="4"/>
        <v>Aperturfläche (für Ertrag)</v>
      </c>
      <c r="F315" s="98" t="s">
        <v>1277</v>
      </c>
      <c r="G315" s="98" t="s">
        <v>1348</v>
      </c>
      <c r="H315" s="98" t="s">
        <v>1349</v>
      </c>
    </row>
    <row r="316" spans="4:8">
      <c r="D316" s="98">
        <v>316</v>
      </c>
      <c r="E316" s="106" t="str">
        <f t="shared" ca="1" si="4"/>
        <v>Kollektorfläche (für Kosten)</v>
      </c>
      <c r="F316" s="98" t="s">
        <v>1276</v>
      </c>
      <c r="G316" s="98" t="s">
        <v>1346</v>
      </c>
      <c r="H316" s="98" t="s">
        <v>1347</v>
      </c>
    </row>
    <row r="317" spans="4:8">
      <c r="D317" s="98">
        <v>317</v>
      </c>
      <c r="E317" s="106" t="str">
        <f t="shared" ca="1" si="4"/>
        <v>Relevant für die Kosten</v>
      </c>
      <c r="F317" s="98" t="s">
        <v>853</v>
      </c>
      <c r="G317" s="98" t="s">
        <v>876</v>
      </c>
      <c r="H317" s="98" t="s">
        <v>886</v>
      </c>
    </row>
    <row r="318" spans="4:8">
      <c r="D318" s="98">
        <v>318</v>
      </c>
      <c r="E318" s="106" t="str">
        <f t="shared" ca="1" si="4"/>
        <v>Relevant für den Ertrag</v>
      </c>
      <c r="F318" s="98" t="s">
        <v>852</v>
      </c>
      <c r="G318" s="98" t="s">
        <v>877</v>
      </c>
      <c r="H318" s="98" t="s">
        <v>887</v>
      </c>
    </row>
    <row r="319" spans="4:8">
      <c r="D319" s="98">
        <v>319</v>
      </c>
      <c r="E319" s="106" t="str">
        <f t="shared" ca="1" si="4"/>
        <v>Wärmebedarf Gebäude</v>
      </c>
      <c r="F319" s="98" t="s">
        <v>860</v>
      </c>
      <c r="G319" s="98" t="s">
        <v>932</v>
      </c>
      <c r="H319" s="98" t="s">
        <v>933</v>
      </c>
    </row>
    <row r="320" spans="4:8">
      <c r="D320" s="98">
        <v>320</v>
      </c>
      <c r="E320" s="106" t="str">
        <f t="shared" ca="1" si="4"/>
        <v>Solare Deckung für Heizung</v>
      </c>
      <c r="F320" s="98" t="s">
        <v>891</v>
      </c>
      <c r="G320" s="98" t="s">
        <v>934</v>
      </c>
      <c r="H320" s="98" t="s">
        <v>893</v>
      </c>
    </row>
    <row r="321" spans="4:8">
      <c r="D321" s="98">
        <v>321</v>
      </c>
      <c r="E321" s="106" t="str">
        <f t="shared" ca="1" si="4"/>
        <v>Solare Deckung für Warmwasser</v>
      </c>
      <c r="F321" s="98" t="s">
        <v>892</v>
      </c>
      <c r="G321" s="98" t="s">
        <v>935</v>
      </c>
      <c r="H321" s="98" t="s">
        <v>894</v>
      </c>
    </row>
    <row r="322" spans="4:8">
      <c r="D322" s="98">
        <v>322</v>
      </c>
      <c r="E322" s="106" t="str">
        <f t="shared" ca="1" si="4"/>
        <v>Korrektur Aufgrund regionaler Einflüsse</v>
      </c>
      <c r="F322" s="98" t="s">
        <v>864</v>
      </c>
      <c r="G322" s="98" t="s">
        <v>936</v>
      </c>
      <c r="H322" s="98" t="s">
        <v>937</v>
      </c>
    </row>
    <row r="323" spans="4:8">
      <c r="D323" s="98">
        <v>323</v>
      </c>
      <c r="E323" s="106" t="str">
        <f t="shared" ca="1" si="4"/>
        <v>auf Investitionskosten</v>
      </c>
      <c r="F323" s="98" t="s">
        <v>865</v>
      </c>
      <c r="G323" s="98" t="s">
        <v>878</v>
      </c>
      <c r="H323" s="98" t="s">
        <v>888</v>
      </c>
    </row>
    <row r="324" spans="4:8">
      <c r="D324" s="98">
        <v>324</v>
      </c>
      <c r="E324" s="106" t="str">
        <f t="shared" ca="1" si="4"/>
        <v>auf Unterhaltskosten</v>
      </c>
      <c r="F324" s="98" t="s">
        <v>866</v>
      </c>
      <c r="G324" s="98" t="s">
        <v>879</v>
      </c>
      <c r="H324" s="98" t="s">
        <v>889</v>
      </c>
    </row>
    <row r="325" spans="4:8">
      <c r="D325" s="98">
        <v>325</v>
      </c>
      <c r="E325" s="106" t="str">
        <f t="shared" ca="1" si="4"/>
        <v>Prozent</v>
      </c>
      <c r="F325" s="98" t="s">
        <v>867</v>
      </c>
      <c r="G325" s="98" t="s">
        <v>938</v>
      </c>
      <c r="H325" s="98" t="s">
        <v>939</v>
      </c>
    </row>
    <row r="326" spans="4:8">
      <c r="D326" s="98">
        <v>326</v>
      </c>
      <c r="E326" s="106" t="str">
        <f t="shared" ca="1" si="4"/>
        <v>Bauliche Massnahmen</v>
      </c>
      <c r="F326" s="98" t="s">
        <v>674</v>
      </c>
      <c r="G326" s="98" t="s">
        <v>940</v>
      </c>
      <c r="H326" s="98" t="s">
        <v>890</v>
      </c>
    </row>
    <row r="327" spans="4:8">
      <c r="D327" s="98">
        <v>327</v>
      </c>
      <c r="E327" s="106" t="str">
        <f t="shared" ca="1" si="4"/>
        <v>Die Hochschule Luzern haftet nicht für Schäden, die durch die Anwendung des vorliegenden Tools entstehen können.</v>
      </c>
      <c r="F327" s="98" t="s">
        <v>1691</v>
      </c>
      <c r="G327" s="98" t="s">
        <v>1370</v>
      </c>
      <c r="H327" s="98" t="s">
        <v>1371</v>
      </c>
    </row>
    <row r="328" spans="4:8">
      <c r="D328" s="98">
        <v>328</v>
      </c>
      <c r="E328" s="106" t="str">
        <f t="shared" ca="1" si="4"/>
        <v>Wärmebedarf für Warmwasser</v>
      </c>
      <c r="F328" s="98" t="s">
        <v>1108</v>
      </c>
      <c r="G328" s="98" t="s">
        <v>1372</v>
      </c>
      <c r="H328" s="98" t="s">
        <v>1373</v>
      </c>
    </row>
    <row r="329" spans="4:8">
      <c r="D329" s="98">
        <v>329</v>
      </c>
      <c r="E329" s="106" t="str">
        <f t="shared" ca="1" si="4"/>
        <v>Wassererwärmung mitrechnen?</v>
      </c>
      <c r="F329" s="98" t="s">
        <v>1270</v>
      </c>
      <c r="G329" s="98" t="s">
        <v>1374</v>
      </c>
      <c r="H329" s="98" t="s">
        <v>1375</v>
      </c>
    </row>
    <row r="330" spans="4:8">
      <c r="D330" s="98">
        <v>330</v>
      </c>
      <c r="E330" s="106" t="str">
        <f t="shared" ca="1" si="4"/>
        <v>Vorhandene Wärmeerzeugung 1</v>
      </c>
      <c r="F330" s="98" t="s">
        <v>1271</v>
      </c>
      <c r="G330" s="98" t="s">
        <v>1376</v>
      </c>
      <c r="H330" s="98" t="s">
        <v>1378</v>
      </c>
    </row>
    <row r="331" spans="4:8">
      <c r="D331" s="98">
        <v>331</v>
      </c>
      <c r="E331" s="106" t="str">
        <f t="shared" ca="1" si="4"/>
        <v>Vorhandene Wärmeerzeugung 2</v>
      </c>
      <c r="F331" s="98" t="s">
        <v>1272</v>
      </c>
      <c r="G331" s="98" t="s">
        <v>1377</v>
      </c>
      <c r="H331" s="98" t="s">
        <v>1379</v>
      </c>
    </row>
    <row r="332" spans="4:8">
      <c r="D332" s="98">
        <v>332</v>
      </c>
      <c r="E332" s="106" t="str">
        <f t="shared" ref="E332:E395" ca="1" si="5">INDIRECT($C$9&amp;D332)</f>
        <v>ZEV</v>
      </c>
      <c r="F332" s="98" t="s">
        <v>1269</v>
      </c>
      <c r="G332" s="98" t="s">
        <v>1380</v>
      </c>
      <c r="H332" s="98" t="s">
        <v>1380</v>
      </c>
    </row>
    <row r="333" spans="4:8">
      <c r="D333" s="98">
        <v>333</v>
      </c>
      <c r="E333" s="106" t="str">
        <f t="shared" ca="1" si="5"/>
        <v>Ausgangswerte für die Berechnung</v>
      </c>
      <c r="F333" s="98" t="s">
        <v>1102</v>
      </c>
      <c r="G333" s="98" t="s">
        <v>1381</v>
      </c>
      <c r="H333" s="98" t="s">
        <v>1382</v>
      </c>
    </row>
    <row r="334" spans="4:8">
      <c r="D334" s="98">
        <v>334</v>
      </c>
      <c r="E334" s="106" t="str">
        <f t="shared" ca="1" si="5"/>
        <v>Betrachtungsperiode</v>
      </c>
      <c r="F334" s="98" t="s">
        <v>1064</v>
      </c>
      <c r="G334" s="98" t="s">
        <v>1383</v>
      </c>
      <c r="H334" s="98" t="s">
        <v>1384</v>
      </c>
    </row>
    <row r="335" spans="4:8">
      <c r="D335" s="98">
        <v>335</v>
      </c>
      <c r="E335" s="106" t="str">
        <f t="shared" ca="1" si="5"/>
        <v>Kapitalzinssatz real</v>
      </c>
      <c r="F335" s="98" t="s">
        <v>1274</v>
      </c>
      <c r="G335" s="98" t="s">
        <v>1385</v>
      </c>
      <c r="H335" s="98" t="s">
        <v>1386</v>
      </c>
    </row>
    <row r="336" spans="4:8">
      <c r="D336" s="98">
        <v>336</v>
      </c>
      <c r="E336" s="106" t="str">
        <f t="shared" ca="1" si="5"/>
        <v>Mehrwertsteuer (MwSt.)</v>
      </c>
      <c r="F336" s="98" t="s">
        <v>1282</v>
      </c>
      <c r="G336" s="98" t="s">
        <v>1387</v>
      </c>
      <c r="H336" s="98" t="s">
        <v>1388</v>
      </c>
    </row>
    <row r="337" spans="4:8">
      <c r="D337" s="98">
        <v>337</v>
      </c>
      <c r="E337" s="106" t="str">
        <f t="shared" ca="1" si="5"/>
        <v>Jährliche Preissteigerung</v>
      </c>
      <c r="F337" s="98" t="s">
        <v>1625</v>
      </c>
      <c r="G337" s="98" t="s">
        <v>1626</v>
      </c>
      <c r="H337" s="98" t="s">
        <v>1627</v>
      </c>
    </row>
    <row r="338" spans="4:8">
      <c r="D338" s="98">
        <v>338</v>
      </c>
      <c r="E338" s="106" t="str">
        <f t="shared" ca="1" si="5"/>
        <v>Jährliche Preissteigerung der Unterhaltskosten</v>
      </c>
      <c r="F338" s="98" t="s">
        <v>1389</v>
      </c>
      <c r="G338" s="98" t="s">
        <v>1390</v>
      </c>
      <c r="H338" s="98" t="s">
        <v>1391</v>
      </c>
    </row>
    <row r="339" spans="4:8">
      <c r="D339" s="98">
        <v>339</v>
      </c>
      <c r="E339" s="106" t="str">
        <f t="shared" ca="1" si="5"/>
        <v>Jährliche Preissteigerung der Investitionskosten</v>
      </c>
      <c r="F339" s="98" t="s">
        <v>1273</v>
      </c>
      <c r="G339" s="98" t="s">
        <v>1392</v>
      </c>
      <c r="H339" s="98" t="s">
        <v>1393</v>
      </c>
    </row>
    <row r="340" spans="4:8">
      <c r="D340" s="98">
        <v>340</v>
      </c>
      <c r="E340" s="106" t="str">
        <f t="shared" ca="1" si="5"/>
        <v>Wärmeerzeugung 1</v>
      </c>
      <c r="F340" s="98" t="s">
        <v>1079</v>
      </c>
      <c r="G340" s="98" t="s">
        <v>1394</v>
      </c>
      <c r="H340" s="98" t="s">
        <v>1396</v>
      </c>
    </row>
    <row r="341" spans="4:8">
      <c r="D341" s="98">
        <v>341</v>
      </c>
      <c r="E341" s="106" t="str">
        <f t="shared" ca="1" si="5"/>
        <v>Wärmeerzeugung 2</v>
      </c>
      <c r="F341" s="98" t="s">
        <v>1080</v>
      </c>
      <c r="G341" s="98" t="s">
        <v>1395</v>
      </c>
      <c r="H341" s="98" t="s">
        <v>1397</v>
      </c>
    </row>
    <row r="342" spans="4:8">
      <c r="D342" s="98">
        <v>342</v>
      </c>
      <c r="E342" s="106" t="str">
        <f t="shared" ca="1" si="5"/>
        <v>eBKP-H</v>
      </c>
      <c r="F342" s="98" t="s">
        <v>1398</v>
      </c>
      <c r="G342" s="98" t="s">
        <v>1399</v>
      </c>
      <c r="H342" s="98" t="s">
        <v>1400</v>
      </c>
    </row>
    <row r="343" spans="4:8">
      <c r="D343" s="98">
        <v>343</v>
      </c>
      <c r="E343" s="106" t="str">
        <f t="shared" ca="1" si="5"/>
        <v>Validierung Eingaben</v>
      </c>
      <c r="F343" s="98" t="s">
        <v>1275</v>
      </c>
      <c r="G343" s="98" t="s">
        <v>1401</v>
      </c>
      <c r="H343" s="98" t="s">
        <v>1522</v>
      </c>
    </row>
    <row r="344" spans="4:8">
      <c r="D344" s="98">
        <v>344</v>
      </c>
      <c r="E344" s="106" t="str">
        <f t="shared" ca="1" si="5"/>
        <v>Unterhalt</v>
      </c>
      <c r="F344" s="98" t="s">
        <v>203</v>
      </c>
      <c r="G344" s="98" t="s">
        <v>1402</v>
      </c>
      <c r="H344" s="98" t="s">
        <v>1403</v>
      </c>
    </row>
    <row r="345" spans="4:8">
      <c r="D345" s="98">
        <v>345</v>
      </c>
      <c r="E345" s="106" t="str">
        <f t="shared" ca="1" si="5"/>
        <v>Wärmeerzeugung</v>
      </c>
      <c r="F345" s="98" t="s">
        <v>303</v>
      </c>
      <c r="G345" s="98" t="s">
        <v>467</v>
      </c>
      <c r="H345" s="98" t="s">
        <v>553</v>
      </c>
    </row>
    <row r="346" spans="4:8">
      <c r="D346" s="98">
        <v>346</v>
      </c>
      <c r="E346" s="106" t="str">
        <f t="shared" ca="1" si="5"/>
        <v>Aufteilung auf Wärmeerzeuger, Anteil Heizwärme</v>
      </c>
      <c r="F346" s="98" t="s">
        <v>1308</v>
      </c>
      <c r="G346" s="98" t="s">
        <v>1404</v>
      </c>
      <c r="H346" s="98" t="s">
        <v>1408</v>
      </c>
    </row>
    <row r="347" spans="4:8">
      <c r="D347" s="98">
        <v>347</v>
      </c>
      <c r="E347" s="106" t="str">
        <f t="shared" ca="1" si="5"/>
        <v>Aufteilung auf Wärmeerzeuger, Anteil Warmwasser</v>
      </c>
      <c r="F347" s="98" t="s">
        <v>1309</v>
      </c>
      <c r="G347" s="98" t="s">
        <v>1405</v>
      </c>
      <c r="H347" s="98" t="s">
        <v>1410</v>
      </c>
    </row>
    <row r="348" spans="4:8">
      <c r="D348" s="98">
        <v>348</v>
      </c>
      <c r="E348" s="106" t="str">
        <f t="shared" ca="1" si="5"/>
        <v>Anteil Heizwärme</v>
      </c>
      <c r="F348" s="98" t="s">
        <v>1279</v>
      </c>
      <c r="G348" s="98" t="s">
        <v>1406</v>
      </c>
      <c r="H348" s="98" t="s">
        <v>1407</v>
      </c>
    </row>
    <row r="349" spans="4:8">
      <c r="D349" s="98">
        <v>349</v>
      </c>
      <c r="E349" s="106" t="str">
        <f t="shared" ca="1" si="5"/>
        <v>Anteil Wassererwärmung</v>
      </c>
      <c r="F349" s="98" t="s">
        <v>1143</v>
      </c>
      <c r="G349" s="98" t="s">
        <v>1409</v>
      </c>
      <c r="H349" s="98" t="s">
        <v>1411</v>
      </c>
    </row>
    <row r="350" spans="4:8">
      <c r="D350" s="98">
        <v>350</v>
      </c>
      <c r="E350" s="106" t="str">
        <f t="shared" ca="1" si="5"/>
        <v>Anteil Biogas (Anteil im Energieträger)</v>
      </c>
      <c r="F350" s="98" t="s">
        <v>1714</v>
      </c>
      <c r="G350" s="98" t="s">
        <v>1715</v>
      </c>
      <c r="H350" s="98" t="s">
        <v>1716</v>
      </c>
    </row>
    <row r="351" spans="4:8">
      <c r="D351" s="98">
        <v>351</v>
      </c>
      <c r="E351" s="106" t="str">
        <f t="shared" ca="1" si="5"/>
        <v>Eigenstromverbrauch</v>
      </c>
      <c r="F351" s="98" t="s">
        <v>1412</v>
      </c>
      <c r="G351" s="98" t="s">
        <v>1413</v>
      </c>
      <c r="H351" s="98" t="s">
        <v>1414</v>
      </c>
    </row>
    <row r="352" spans="4:8">
      <c r="D352" s="98">
        <v>352</v>
      </c>
      <c r="E352" s="106" t="str">
        <f t="shared" ca="1" si="5"/>
        <v>Investitionskosten (abzüglich  Subventionen)</v>
      </c>
      <c r="F352" s="98" t="s">
        <v>1290</v>
      </c>
      <c r="G352" s="98" t="s">
        <v>1415</v>
      </c>
      <c r="H352" s="98" t="s">
        <v>1416</v>
      </c>
    </row>
    <row r="353" spans="4:8">
      <c r="D353" s="98">
        <v>353</v>
      </c>
      <c r="E353" s="106" t="str">
        <f t="shared" ca="1" si="5"/>
        <v>Investitionskosten (Summe)</v>
      </c>
      <c r="F353" s="98" t="s">
        <v>1280</v>
      </c>
      <c r="G353" s="98" t="s">
        <v>1417</v>
      </c>
      <c r="H353" s="98" t="s">
        <v>1418</v>
      </c>
    </row>
    <row r="354" spans="4:8">
      <c r="D354" s="98">
        <v>354</v>
      </c>
      <c r="E354" s="106" t="str">
        <f t="shared" ca="1" si="5"/>
        <v>Honorar, Gebühren</v>
      </c>
      <c r="F354" s="98" t="s">
        <v>1177</v>
      </c>
      <c r="G354" s="98" t="s">
        <v>1419</v>
      </c>
      <c r="H354" s="98" t="s">
        <v>1420</v>
      </c>
    </row>
    <row r="355" spans="4:8">
      <c r="D355" s="98">
        <v>355</v>
      </c>
      <c r="E355" s="106" t="str">
        <f t="shared" ca="1" si="5"/>
        <v>Investitionskosten (inkl. Honorar)</v>
      </c>
      <c r="F355" s="98" t="s">
        <v>1289</v>
      </c>
      <c r="G355" s="98" t="s">
        <v>1421</v>
      </c>
      <c r="H355" s="98" t="s">
        <v>1422</v>
      </c>
    </row>
    <row r="356" spans="4:8">
      <c r="D356" s="98">
        <v>356</v>
      </c>
      <c r="E356" s="106" t="str">
        <f t="shared" ca="1" si="5"/>
        <v>Investitionskosten (inkl. MwSt.)</v>
      </c>
      <c r="F356" s="98" t="s">
        <v>1288</v>
      </c>
      <c r="G356" s="98" t="s">
        <v>1423</v>
      </c>
      <c r="H356" s="98" t="s">
        <v>1424</v>
      </c>
    </row>
    <row r="357" spans="4:8">
      <c r="D357" s="98">
        <v>357</v>
      </c>
      <c r="E357" s="106" t="str">
        <f t="shared" ca="1" si="5"/>
        <v>Honorar, Gebühren, MwSt</v>
      </c>
      <c r="F357" s="98" t="s">
        <v>1085</v>
      </c>
      <c r="G357" s="98" t="s">
        <v>1419</v>
      </c>
      <c r="H357" s="98" t="s">
        <v>1420</v>
      </c>
    </row>
    <row r="358" spans="4:8">
      <c r="D358" s="98">
        <v>358</v>
      </c>
      <c r="E358" s="106" t="str">
        <f t="shared" ca="1" si="5"/>
        <v>Demontage bestehende Heizanlage</v>
      </c>
      <c r="F358" s="98" t="s">
        <v>942</v>
      </c>
      <c r="G358" s="98" t="s">
        <v>1425</v>
      </c>
      <c r="H358" s="98" t="s">
        <v>1426</v>
      </c>
    </row>
    <row r="359" spans="4:8">
      <c r="D359" s="98">
        <v>359</v>
      </c>
      <c r="E359" s="106" t="str">
        <f t="shared" ca="1" si="5"/>
        <v>Demontage bestehendes Lager, inkl. Baumeister</v>
      </c>
      <c r="F359" s="98" t="s">
        <v>943</v>
      </c>
      <c r="G359" s="98" t="s">
        <v>1541</v>
      </c>
      <c r="H359" s="98" t="s">
        <v>1544</v>
      </c>
    </row>
    <row r="360" spans="4:8">
      <c r="D360" s="98">
        <v>360</v>
      </c>
      <c r="E360" s="106" t="str">
        <f t="shared" ca="1" si="5"/>
        <v>Warmwassererzeugung, inkl. Elektro, Sanitär</v>
      </c>
      <c r="F360" s="98" t="s">
        <v>944</v>
      </c>
      <c r="G360" s="98" t="s">
        <v>1427</v>
      </c>
      <c r="H360" s="98" t="s">
        <v>1542</v>
      </c>
    </row>
    <row r="361" spans="4:8">
      <c r="D361" s="98">
        <v>361</v>
      </c>
      <c r="E361" s="106" t="str">
        <f t="shared" ca="1" si="5"/>
        <v>WP-Wassererwärmer, inkl. Elektro, Sanitär</v>
      </c>
      <c r="F361" s="98" t="s">
        <v>945</v>
      </c>
      <c r="G361" s="98" t="s">
        <v>1428</v>
      </c>
      <c r="H361" s="98" t="s">
        <v>1543</v>
      </c>
    </row>
    <row r="362" spans="4:8">
      <c r="D362" s="98">
        <v>362</v>
      </c>
      <c r="E362" s="106" t="str">
        <f t="shared" ca="1" si="5"/>
        <v>Heizverteiler, inkl. Unterstationen ab 200 kW</v>
      </c>
      <c r="F362" s="98" t="s">
        <v>946</v>
      </c>
      <c r="G362" s="98" t="s">
        <v>1429</v>
      </c>
      <c r="H362" s="98" t="s">
        <v>1430</v>
      </c>
    </row>
    <row r="363" spans="4:8">
      <c r="D363" s="98">
        <v>363</v>
      </c>
      <c r="E363" s="106" t="str">
        <f t="shared" ca="1" si="5"/>
        <v>Verteilleitungen</v>
      </c>
      <c r="F363" s="98" t="s">
        <v>947</v>
      </c>
      <c r="G363" s="98" t="s">
        <v>1472</v>
      </c>
      <c r="H363" s="98" t="s">
        <v>1473</v>
      </c>
    </row>
    <row r="364" spans="4:8">
      <c r="D364" s="98">
        <v>364</v>
      </c>
      <c r="E364" s="106" t="str">
        <f t="shared" ca="1" si="5"/>
        <v>Wärmeabgabe</v>
      </c>
      <c r="F364" s="98" t="s">
        <v>948</v>
      </c>
      <c r="G364" s="98" t="s">
        <v>1465</v>
      </c>
      <c r="H364" s="98" t="s">
        <v>1466</v>
      </c>
    </row>
    <row r="365" spans="4:8">
      <c r="D365" s="98">
        <v>365</v>
      </c>
      <c r="E365" s="106" t="str">
        <f t="shared" ca="1" si="5"/>
        <v>Feldgeräte und Schaltgerätekombination</v>
      </c>
      <c r="F365" s="98" t="s">
        <v>1014</v>
      </c>
      <c r="G365" s="98" t="s">
        <v>1566</v>
      </c>
      <c r="H365" s="98" t="s">
        <v>1567</v>
      </c>
    </row>
    <row r="366" spans="4:8">
      <c r="D366" s="98">
        <v>366</v>
      </c>
      <c r="E366" s="106" t="str">
        <f t="shared" ca="1" si="5"/>
        <v>Elektromessgeräte</v>
      </c>
      <c r="F366" s="98" t="s">
        <v>1016</v>
      </c>
      <c r="G366" s="98" t="s">
        <v>1563</v>
      </c>
      <c r="H366" s="98" t="s">
        <v>1562</v>
      </c>
    </row>
    <row r="367" spans="4:8">
      <c r="D367" s="98">
        <v>367</v>
      </c>
      <c r="E367" s="106" t="str">
        <f t="shared" ca="1" si="5"/>
        <v>Volumenmessgeräte</v>
      </c>
      <c r="F367" s="98" t="s">
        <v>1018</v>
      </c>
      <c r="G367" s="98" t="s">
        <v>1564</v>
      </c>
      <c r="H367" s="98" t="s">
        <v>1565</v>
      </c>
    </row>
    <row r="368" spans="4:8">
      <c r="D368" s="98">
        <v>368</v>
      </c>
      <c r="E368" s="106" t="str">
        <f t="shared" ca="1" si="5"/>
        <v>Vernetzung</v>
      </c>
      <c r="F368" s="98" t="s">
        <v>1019</v>
      </c>
      <c r="G368" s="98" t="s">
        <v>1552</v>
      </c>
      <c r="H368" s="98" t="s">
        <v>1553</v>
      </c>
    </row>
    <row r="369" spans="4:8">
      <c r="D369" s="98">
        <v>369</v>
      </c>
      <c r="E369" s="106" t="str">
        <f t="shared" ca="1" si="5"/>
        <v>Gross-Wärmepumpen (Evac., Exschutz, BMA)</v>
      </c>
      <c r="F369" s="98" t="s">
        <v>1021</v>
      </c>
      <c r="G369" s="98" t="s">
        <v>1589</v>
      </c>
      <c r="H369" s="98" t="s">
        <v>1590</v>
      </c>
    </row>
    <row r="370" spans="4:8">
      <c r="D370" s="98">
        <v>370</v>
      </c>
      <c r="E370" s="106" t="str">
        <f t="shared" ca="1" si="5"/>
        <v>Luftkanal (Innenaufstellung)</v>
      </c>
      <c r="F370" s="98" t="s">
        <v>964</v>
      </c>
      <c r="G370" s="98" t="s">
        <v>1528</v>
      </c>
      <c r="H370" s="98" t="s">
        <v>1529</v>
      </c>
    </row>
    <row r="371" spans="4:8">
      <c r="D371" s="98">
        <v>371</v>
      </c>
      <c r="E371" s="106" t="str">
        <f t="shared" ca="1" si="5"/>
        <v>Pelletslager (Technik)</v>
      </c>
      <c r="F371" s="98" t="s">
        <v>243</v>
      </c>
      <c r="G371" s="98" t="s">
        <v>1512</v>
      </c>
      <c r="H371" s="98" t="s">
        <v>1513</v>
      </c>
    </row>
    <row r="372" spans="4:8">
      <c r="D372" s="98">
        <v>372</v>
      </c>
      <c r="E372" s="106" t="str">
        <f t="shared" ca="1" si="5"/>
        <v>Pellets Austragung</v>
      </c>
      <c r="F372" s="98" t="s">
        <v>242</v>
      </c>
      <c r="G372" s="98" t="s">
        <v>434</v>
      </c>
      <c r="H372" s="98" t="s">
        <v>1568</v>
      </c>
    </row>
    <row r="373" spans="4:8">
      <c r="D373" s="98">
        <v>373</v>
      </c>
      <c r="E373" s="106" t="str">
        <f t="shared" ca="1" si="5"/>
        <v>Hackschnitzelsilo</v>
      </c>
      <c r="F373" s="98" t="s">
        <v>994</v>
      </c>
      <c r="G373" s="98" t="s">
        <v>1483</v>
      </c>
      <c r="H373" s="98" t="s">
        <v>1484</v>
      </c>
    </row>
    <row r="374" spans="4:8">
      <c r="D374" s="98">
        <v>374</v>
      </c>
      <c r="E374" s="106" t="str">
        <f t="shared" ca="1" si="5"/>
        <v>Hackschnitzelsilo (Bestückung)</v>
      </c>
      <c r="F374" s="98" t="s">
        <v>1053</v>
      </c>
      <c r="G374" s="98" t="s">
        <v>1587</v>
      </c>
      <c r="H374" s="98" t="s">
        <v>1588</v>
      </c>
    </row>
    <row r="375" spans="4:8">
      <c r="D375" s="98">
        <v>375</v>
      </c>
      <c r="E375" s="106" t="str">
        <f t="shared" ca="1" si="5"/>
        <v>Anschlussgebühren (Wärmenetz, Gas)</v>
      </c>
      <c r="F375" s="98" t="s">
        <v>1299</v>
      </c>
      <c r="G375" s="98" t="s">
        <v>1526</v>
      </c>
      <c r="H375" s="98" t="s">
        <v>1527</v>
      </c>
    </row>
    <row r="376" spans="4:8">
      <c r="D376" s="98">
        <v>376</v>
      </c>
      <c r="E376" s="106" t="str">
        <f t="shared" ca="1" si="5"/>
        <v>Tankanlage (Öl)</v>
      </c>
      <c r="F376" s="98" t="s">
        <v>1054</v>
      </c>
      <c r="G376" s="98" t="s">
        <v>1474</v>
      </c>
      <c r="H376" s="98" t="s">
        <v>1480</v>
      </c>
    </row>
    <row r="377" spans="4:8">
      <c r="D377" s="98">
        <v>377</v>
      </c>
      <c r="E377" s="106" t="str">
        <f t="shared" ca="1" si="5"/>
        <v>Wärmeerzeugung</v>
      </c>
      <c r="F377" s="98" t="s">
        <v>303</v>
      </c>
      <c r="G377" s="98" t="s">
        <v>467</v>
      </c>
      <c r="H377" s="98" t="s">
        <v>553</v>
      </c>
    </row>
    <row r="378" spans="4:8">
      <c r="D378" s="98">
        <v>378</v>
      </c>
      <c r="E378" s="106" t="str">
        <f t="shared" ca="1" si="5"/>
        <v>Heizungsspeicher</v>
      </c>
      <c r="F378" s="98" t="s">
        <v>231</v>
      </c>
      <c r="G378" s="98" t="s">
        <v>1482</v>
      </c>
      <c r="H378" s="98" t="s">
        <v>1481</v>
      </c>
    </row>
    <row r="379" spans="4:8">
      <c r="D379" s="98">
        <v>379</v>
      </c>
      <c r="E379" s="106" t="str">
        <f t="shared" ca="1" si="5"/>
        <v>Armaturen, Apparate, Rohrleitungen, Dämmung</v>
      </c>
      <c r="F379" s="98" t="s">
        <v>965</v>
      </c>
      <c r="G379" s="98" t="s">
        <v>1475</v>
      </c>
      <c r="H379" s="98" t="s">
        <v>1476</v>
      </c>
    </row>
    <row r="380" spans="4:8">
      <c r="D380" s="98">
        <v>380</v>
      </c>
      <c r="E380" s="106" t="str">
        <f t="shared" ca="1" si="5"/>
        <v>Übergabestation</v>
      </c>
      <c r="F380" s="98" t="s">
        <v>241</v>
      </c>
      <c r="G380" s="98" t="s">
        <v>367</v>
      </c>
      <c r="H380" s="98" t="s">
        <v>1477</v>
      </c>
    </row>
    <row r="381" spans="4:8">
      <c r="D381" s="98">
        <v>381</v>
      </c>
      <c r="E381" s="106" t="str">
        <f t="shared" ca="1" si="5"/>
        <v>Zwischenkreis</v>
      </c>
      <c r="F381" s="98" t="s">
        <v>237</v>
      </c>
      <c r="G381" s="98" t="s">
        <v>437</v>
      </c>
      <c r="H381" s="98" t="s">
        <v>592</v>
      </c>
    </row>
    <row r="382" spans="4:8">
      <c r="D382" s="98">
        <v>382</v>
      </c>
      <c r="E382" s="106" t="str">
        <f t="shared" ca="1" si="5"/>
        <v>Transport und Montage</v>
      </c>
      <c r="F382" s="98" t="s">
        <v>966</v>
      </c>
      <c r="G382" s="98" t="s">
        <v>1478</v>
      </c>
      <c r="H382" s="98" t="s">
        <v>1479</v>
      </c>
    </row>
    <row r="383" spans="4:8">
      <c r="D383" s="98">
        <v>383</v>
      </c>
      <c r="E383" s="106" t="str">
        <f t="shared" ca="1" si="5"/>
        <v>Kamin</v>
      </c>
      <c r="F383" s="98" t="s">
        <v>186</v>
      </c>
      <c r="G383" s="98" t="s">
        <v>405</v>
      </c>
      <c r="H383" s="98" t="s">
        <v>554</v>
      </c>
    </row>
    <row r="384" spans="4:8">
      <c r="D384" s="98">
        <v>384</v>
      </c>
      <c r="E384" s="106" t="str">
        <f t="shared" ca="1" si="5"/>
        <v>Zentrale Starkstromanlagen</v>
      </c>
      <c r="F384" s="98" t="s">
        <v>1523</v>
      </c>
      <c r="G384" s="98" t="s">
        <v>1555</v>
      </c>
      <c r="H384" s="98" t="s">
        <v>1554</v>
      </c>
    </row>
    <row r="385" spans="4:8">
      <c r="D385" s="98">
        <v>385</v>
      </c>
      <c r="E385" s="106" t="str">
        <f t="shared" ca="1" si="5"/>
        <v>Erschliessung Elektro</v>
      </c>
      <c r="F385" s="98" t="s">
        <v>359</v>
      </c>
      <c r="G385" s="98" t="s">
        <v>1504</v>
      </c>
      <c r="H385" s="98" t="s">
        <v>1505</v>
      </c>
    </row>
    <row r="386" spans="4:8">
      <c r="D386" s="98">
        <v>386</v>
      </c>
      <c r="E386" s="106" t="str">
        <f t="shared" ca="1" si="5"/>
        <v>Anschlussgebühren (Elektro)</v>
      </c>
      <c r="F386" s="98" t="s">
        <v>1055</v>
      </c>
      <c r="G386" s="98" t="s">
        <v>1508</v>
      </c>
      <c r="H386" s="98" t="s">
        <v>1509</v>
      </c>
    </row>
    <row r="387" spans="4:8">
      <c r="D387" s="98">
        <v>387</v>
      </c>
      <c r="E387" s="106" t="str">
        <f t="shared" ca="1" si="5"/>
        <v>Bauseitige Arbeiten</v>
      </c>
      <c r="F387" s="98" t="s">
        <v>968</v>
      </c>
      <c r="G387" s="98" t="s">
        <v>1506</v>
      </c>
      <c r="H387" s="98" t="s">
        <v>1507</v>
      </c>
    </row>
    <row r="388" spans="4:8">
      <c r="D388" s="98">
        <v>388</v>
      </c>
      <c r="E388" s="106" t="str">
        <f t="shared" ca="1" si="5"/>
        <v>Grabarbeiten</v>
      </c>
      <c r="F388" s="98" t="s">
        <v>1025</v>
      </c>
      <c r="G388" s="98" t="s">
        <v>1470</v>
      </c>
      <c r="H388" s="98" t="s">
        <v>1471</v>
      </c>
    </row>
    <row r="389" spans="4:8">
      <c r="D389" s="98">
        <v>389</v>
      </c>
      <c r="E389" s="106" t="str">
        <f t="shared" ca="1" si="5"/>
        <v>Erstellung Lagerraum</v>
      </c>
      <c r="F389" s="98" t="s">
        <v>1027</v>
      </c>
      <c r="G389" s="98" t="s">
        <v>1487</v>
      </c>
      <c r="H389" s="98" t="s">
        <v>1488</v>
      </c>
    </row>
    <row r="390" spans="4:8">
      <c r="D390" s="98">
        <v>390</v>
      </c>
      <c r="E390" s="106" t="str">
        <f t="shared" ca="1" si="5"/>
        <v>Wanddurchbrüche, Kernbohrungen</v>
      </c>
      <c r="F390" s="98" t="s">
        <v>1028</v>
      </c>
      <c r="G390" s="98" t="s">
        <v>1580</v>
      </c>
      <c r="H390" s="98" t="s">
        <v>1579</v>
      </c>
    </row>
    <row r="391" spans="4:8">
      <c r="D391" s="98">
        <v>391</v>
      </c>
      <c r="E391" s="106" t="str">
        <f t="shared" ca="1" si="5"/>
        <v>Fundament, Sickergrube, Grabarbeiten</v>
      </c>
      <c r="F391" s="98" t="s">
        <v>969</v>
      </c>
      <c r="G391" s="98" t="s">
        <v>1582</v>
      </c>
      <c r="H391" s="98" t="s">
        <v>1581</v>
      </c>
    </row>
    <row r="392" spans="4:8">
      <c r="D392" s="98">
        <v>392</v>
      </c>
      <c r="E392" s="106" t="str">
        <f t="shared" ca="1" si="5"/>
        <v>Statische Massnahmen</v>
      </c>
      <c r="F392" s="98" t="s">
        <v>1031</v>
      </c>
      <c r="G392" s="98" t="s">
        <v>1485</v>
      </c>
      <c r="H392" s="98" t="s">
        <v>1486</v>
      </c>
    </row>
    <row r="393" spans="4:8">
      <c r="D393" s="98">
        <v>393</v>
      </c>
      <c r="E393" s="106" t="str">
        <f t="shared" ca="1" si="5"/>
        <v>Lärmschutzhauben, Lärmschutzwände</v>
      </c>
      <c r="F393" s="98" t="s">
        <v>970</v>
      </c>
      <c r="G393" s="98" t="s">
        <v>1583</v>
      </c>
      <c r="H393" s="98" t="s">
        <v>1584</v>
      </c>
    </row>
    <row r="394" spans="4:8">
      <c r="D394" s="98">
        <v>394</v>
      </c>
      <c r="E394" s="106" t="str">
        <f t="shared" ca="1" si="5"/>
        <v>Wiederherstellung Umgebung</v>
      </c>
      <c r="F394" s="98" t="s">
        <v>1036</v>
      </c>
      <c r="G394" s="98" t="s">
        <v>1586</v>
      </c>
      <c r="H394" s="98" t="s">
        <v>1585</v>
      </c>
    </row>
    <row r="395" spans="4:8">
      <c r="D395" s="98">
        <v>395</v>
      </c>
      <c r="E395" s="106" t="str">
        <f t="shared" ca="1" si="5"/>
        <v>Variante A</v>
      </c>
      <c r="F395" s="98" t="s">
        <v>954</v>
      </c>
      <c r="G395" s="98" t="s">
        <v>954</v>
      </c>
      <c r="H395" s="98" t="s">
        <v>954</v>
      </c>
    </row>
    <row r="396" spans="4:8">
      <c r="D396" s="98">
        <v>396</v>
      </c>
      <c r="E396" s="106" t="str">
        <f t="shared" ref="E396:E459" ca="1" si="6">INDIRECT($C$9&amp;D396)</f>
        <v>Variante B</v>
      </c>
      <c r="F396" s="98" t="s">
        <v>955</v>
      </c>
      <c r="G396" s="98" t="s">
        <v>955</v>
      </c>
      <c r="H396" s="98" t="s">
        <v>955</v>
      </c>
    </row>
    <row r="397" spans="4:8">
      <c r="D397" s="98">
        <v>397</v>
      </c>
      <c r="E397" s="106" t="str">
        <f t="shared" ca="1" si="6"/>
        <v>Variante C</v>
      </c>
      <c r="F397" s="98" t="s">
        <v>956</v>
      </c>
      <c r="G397" s="98" t="s">
        <v>956</v>
      </c>
      <c r="H397" s="98" t="s">
        <v>956</v>
      </c>
    </row>
    <row r="398" spans="4:8">
      <c r="D398" s="98">
        <v>398</v>
      </c>
      <c r="E398" s="106" t="str">
        <f t="shared" ca="1" si="6"/>
        <v>Variante D</v>
      </c>
      <c r="F398" s="98" t="s">
        <v>957</v>
      </c>
      <c r="G398" s="98" t="s">
        <v>957</v>
      </c>
      <c r="H398" s="98" t="s">
        <v>957</v>
      </c>
    </row>
    <row r="399" spans="4:8">
      <c r="D399" s="98">
        <v>399</v>
      </c>
      <c r="E399" s="106" t="str">
        <f t="shared" ca="1" si="6"/>
        <v>Variante E</v>
      </c>
      <c r="F399" s="98" t="s">
        <v>958</v>
      </c>
      <c r="G399" s="98" t="s">
        <v>958</v>
      </c>
      <c r="H399" s="98" t="s">
        <v>958</v>
      </c>
    </row>
    <row r="400" spans="4:8">
      <c r="D400" s="98">
        <v>400</v>
      </c>
      <c r="E400" s="106" t="str">
        <f t="shared" ca="1" si="6"/>
        <v>Variante F</v>
      </c>
      <c r="F400" s="98" t="s">
        <v>959</v>
      </c>
      <c r="G400" s="98" t="s">
        <v>959</v>
      </c>
      <c r="H400" s="98" t="s">
        <v>959</v>
      </c>
    </row>
    <row r="401" spans="4:8">
      <c r="D401" s="98">
        <v>401</v>
      </c>
      <c r="E401" s="106" t="str">
        <f t="shared" ca="1" si="6"/>
        <v>Variante G</v>
      </c>
      <c r="F401" s="98" t="s">
        <v>960</v>
      </c>
      <c r="G401" s="98" t="s">
        <v>960</v>
      </c>
      <c r="H401" s="98" t="s">
        <v>960</v>
      </c>
    </row>
    <row r="402" spans="4:8">
      <c r="D402" s="98">
        <v>402</v>
      </c>
      <c r="E402" s="106" t="str">
        <f t="shared" ca="1" si="6"/>
        <v>Variante H</v>
      </c>
      <c r="F402" s="98" t="s">
        <v>961</v>
      </c>
      <c r="G402" s="98" t="s">
        <v>961</v>
      </c>
      <c r="H402" s="98" t="s">
        <v>961</v>
      </c>
    </row>
    <row r="403" spans="4:8">
      <c r="D403" s="98">
        <v>403</v>
      </c>
      <c r="E403" s="106" t="str">
        <f t="shared" ca="1" si="6"/>
        <v>Variante I</v>
      </c>
      <c r="F403" s="98" t="s">
        <v>962</v>
      </c>
      <c r="G403" s="98" t="s">
        <v>962</v>
      </c>
      <c r="H403" s="98" t="s">
        <v>962</v>
      </c>
    </row>
    <row r="404" spans="4:8">
      <c r="D404" s="98">
        <v>404</v>
      </c>
      <c r="E404" s="106" t="str">
        <f t="shared" ca="1" si="6"/>
        <v>keine</v>
      </c>
      <c r="F404" s="98" t="s">
        <v>349</v>
      </c>
      <c r="G404" s="98" t="s">
        <v>1551</v>
      </c>
      <c r="H404" s="98" t="s">
        <v>1545</v>
      </c>
    </row>
    <row r="405" spans="4:8">
      <c r="D405" s="98">
        <v>405</v>
      </c>
      <c r="E405" s="106" t="str">
        <f t="shared" ca="1" si="6"/>
        <v>gering</v>
      </c>
      <c r="F405" s="98" t="s">
        <v>985</v>
      </c>
      <c r="G405" s="98" t="s">
        <v>1549</v>
      </c>
      <c r="H405" s="98" t="s">
        <v>1546</v>
      </c>
    </row>
    <row r="406" spans="4:8">
      <c r="D406" s="98">
        <v>406</v>
      </c>
      <c r="E406" s="106" t="str">
        <f t="shared" ca="1" si="6"/>
        <v>mittel</v>
      </c>
      <c r="F406" s="98" t="s">
        <v>941</v>
      </c>
      <c r="G406" s="98" t="s">
        <v>1548</v>
      </c>
      <c r="H406" s="98" t="s">
        <v>1431</v>
      </c>
    </row>
    <row r="407" spans="4:8">
      <c r="D407" s="98">
        <v>407</v>
      </c>
      <c r="E407" s="106" t="str">
        <f t="shared" ca="1" si="6"/>
        <v>aufwändig</v>
      </c>
      <c r="F407" s="98" t="s">
        <v>983</v>
      </c>
      <c r="G407" s="98" t="s">
        <v>1550</v>
      </c>
      <c r="H407" s="98" t="s">
        <v>1547</v>
      </c>
    </row>
    <row r="408" spans="4:8">
      <c r="D408" s="98">
        <v>408</v>
      </c>
      <c r="E408" s="106" t="str">
        <f t="shared" ca="1" si="6"/>
        <v>Nutzungsgrad Warmwasser</v>
      </c>
      <c r="F408" s="98" t="s">
        <v>1287</v>
      </c>
      <c r="G408" s="98" t="s">
        <v>1524</v>
      </c>
      <c r="H408" s="98" t="s">
        <v>1525</v>
      </c>
    </row>
    <row r="409" spans="4:8">
      <c r="D409" s="98">
        <v>409</v>
      </c>
      <c r="E409" s="106" t="str">
        <f t="shared" ca="1" si="6"/>
        <v>Konventionelle Energiequelle</v>
      </c>
      <c r="F409" s="98" t="s">
        <v>1181</v>
      </c>
      <c r="G409" s="98" t="s">
        <v>1458</v>
      </c>
      <c r="H409" s="98" t="s">
        <v>1459</v>
      </c>
    </row>
    <row r="410" spans="4:8">
      <c r="D410" s="98">
        <v>410</v>
      </c>
      <c r="E410" s="106" t="str">
        <f t="shared" ca="1" si="6"/>
        <v>Bio-Energiequelle</v>
      </c>
      <c r="F410" s="98" t="s">
        <v>1182</v>
      </c>
      <c r="G410" s="98" t="s">
        <v>1460</v>
      </c>
      <c r="H410" s="98" t="s">
        <v>1461</v>
      </c>
    </row>
    <row r="411" spans="4:8">
      <c r="D411" s="98">
        <v>411</v>
      </c>
      <c r="E411" s="106" t="str">
        <f t="shared" ca="1" si="6"/>
        <v>Treibhausgase (Vollzug)</v>
      </c>
      <c r="F411" s="98" t="s">
        <v>1301</v>
      </c>
      <c r="G411" s="98" t="s">
        <v>1560</v>
      </c>
      <c r="H411" s="98" t="s">
        <v>1561</v>
      </c>
    </row>
    <row r="412" spans="4:8">
      <c r="D412" s="98">
        <v>412</v>
      </c>
      <c r="E412" s="106" t="str">
        <f t="shared" ca="1" si="6"/>
        <v>Gewinn Verkauf/Eigennutzung Strom</v>
      </c>
      <c r="F412" s="98" t="s">
        <v>1688</v>
      </c>
      <c r="G412" s="98" t="s">
        <v>1689</v>
      </c>
      <c r="H412" s="98" t="s">
        <v>1690</v>
      </c>
    </row>
    <row r="413" spans="4:8">
      <c r="D413" s="98">
        <v>413</v>
      </c>
      <c r="E413" s="106" t="str">
        <f t="shared" ca="1" si="6"/>
        <v>Restwert der Anlage</v>
      </c>
      <c r="F413" s="98" t="s">
        <v>1194</v>
      </c>
      <c r="G413" s="98" t="s">
        <v>1510</v>
      </c>
      <c r="H413" s="98" t="s">
        <v>1511</v>
      </c>
    </row>
    <row r="414" spans="4:8">
      <c r="D414" s="98">
        <v>414</v>
      </c>
      <c r="E414" s="106" t="str">
        <f t="shared" ca="1" si="6"/>
        <v>Summe Variante</v>
      </c>
      <c r="F414" s="98" t="s">
        <v>1264</v>
      </c>
      <c r="G414" s="98" t="s">
        <v>1520</v>
      </c>
      <c r="H414" s="98" t="s">
        <v>1521</v>
      </c>
    </row>
    <row r="415" spans="4:8">
      <c r="D415" s="98">
        <v>415</v>
      </c>
      <c r="E415" s="106" t="str">
        <f t="shared" ca="1" si="6"/>
        <v>Lebenszykluskosten (inkl. MwSt.)</v>
      </c>
      <c r="F415" s="98" t="s">
        <v>1294</v>
      </c>
      <c r="G415" s="98" t="s">
        <v>1531</v>
      </c>
      <c r="H415" s="98" t="s">
        <v>1532</v>
      </c>
    </row>
    <row r="416" spans="4:8">
      <c r="D416" s="98">
        <v>416</v>
      </c>
      <c r="E416" s="106" t="str">
        <f t="shared" ca="1" si="6"/>
        <v>Rodung, Rückbau</v>
      </c>
      <c r="F416" s="98" t="s">
        <v>1249</v>
      </c>
      <c r="G416" s="98" t="s">
        <v>1530</v>
      </c>
      <c r="H416" s="98" t="s">
        <v>1556</v>
      </c>
    </row>
    <row r="417" spans="4:8">
      <c r="D417" s="98">
        <v>417</v>
      </c>
      <c r="E417" s="106" t="str">
        <f t="shared" ca="1" si="6"/>
        <v>Ergänzende Leistung zu Konstruktion</v>
      </c>
      <c r="F417" s="98" t="s">
        <v>1247</v>
      </c>
      <c r="G417" s="98" t="s">
        <v>1502</v>
      </c>
      <c r="H417" s="98" t="s">
        <v>1503</v>
      </c>
    </row>
    <row r="418" spans="4:8">
      <c r="D418" s="98">
        <v>418</v>
      </c>
      <c r="E418" s="106" t="str">
        <f t="shared" ca="1" si="6"/>
        <v>Anlage Erzeugung Starkstrom</v>
      </c>
      <c r="F418" s="98" t="s">
        <v>1251</v>
      </c>
      <c r="G418" s="98" t="s">
        <v>1518</v>
      </c>
      <c r="H418" s="98" t="s">
        <v>1519</v>
      </c>
    </row>
    <row r="419" spans="4:8">
      <c r="D419" s="98">
        <v>419</v>
      </c>
      <c r="E419" s="106" t="str">
        <f t="shared" ca="1" si="6"/>
        <v>Installation Starkstrom</v>
      </c>
      <c r="F419" s="98" t="s">
        <v>1245</v>
      </c>
      <c r="G419" s="98" t="s">
        <v>1498</v>
      </c>
      <c r="H419" s="98" t="s">
        <v>1499</v>
      </c>
    </row>
    <row r="420" spans="4:8">
      <c r="D420" s="98">
        <v>420</v>
      </c>
      <c r="E420" s="106" t="str">
        <f t="shared" ca="1" si="6"/>
        <v>Gebäudeautomation</v>
      </c>
      <c r="F420" s="98" t="s">
        <v>1013</v>
      </c>
      <c r="G420" s="98" t="s">
        <v>1500</v>
      </c>
      <c r="H420" s="98" t="s">
        <v>1501</v>
      </c>
    </row>
    <row r="421" spans="4:8">
      <c r="D421" s="98">
        <v>421</v>
      </c>
      <c r="E421" s="106" t="str">
        <f t="shared" ca="1" si="6"/>
        <v>Wärmequellen, -senken, Lager</v>
      </c>
      <c r="F421" s="98" t="s">
        <v>1242</v>
      </c>
      <c r="G421" s="98" t="s">
        <v>1533</v>
      </c>
      <c r="H421" s="98" t="s">
        <v>1557</v>
      </c>
    </row>
    <row r="422" spans="4:8">
      <c r="D422" s="98">
        <v>422</v>
      </c>
      <c r="E422" s="106" t="str">
        <f t="shared" ca="1" si="6"/>
        <v>Wärmespeicherung</v>
      </c>
      <c r="F422" s="98" t="s">
        <v>1243</v>
      </c>
      <c r="G422" s="98" t="s">
        <v>1462</v>
      </c>
      <c r="H422" s="98" t="s">
        <v>1469</v>
      </c>
    </row>
    <row r="423" spans="4:8">
      <c r="D423" s="98">
        <v>423</v>
      </c>
      <c r="E423" s="106" t="str">
        <f t="shared" ca="1" si="6"/>
        <v>Wärmeverteilung</v>
      </c>
      <c r="F423" s="98" t="s">
        <v>1012</v>
      </c>
      <c r="G423" s="98" t="s">
        <v>1463</v>
      </c>
      <c r="H423" s="98" t="s">
        <v>1464</v>
      </c>
    </row>
    <row r="424" spans="4:8">
      <c r="D424" s="98">
        <v>424</v>
      </c>
      <c r="E424" s="106" t="str">
        <f t="shared" ca="1" si="6"/>
        <v>Wärmeabgabe</v>
      </c>
      <c r="F424" s="98" t="s">
        <v>948</v>
      </c>
      <c r="G424" s="98" t="s">
        <v>1465</v>
      </c>
      <c r="H424" s="98" t="s">
        <v>1466</v>
      </c>
    </row>
    <row r="425" spans="4:8">
      <c r="D425" s="98">
        <v>425</v>
      </c>
      <c r="E425" s="106" t="str">
        <f t="shared" ca="1" si="6"/>
        <v>Wasserspeicher</v>
      </c>
      <c r="F425" s="98" t="s">
        <v>1250</v>
      </c>
      <c r="G425" s="98" t="s">
        <v>1467</v>
      </c>
      <c r="H425" s="98" t="s">
        <v>1468</v>
      </c>
    </row>
    <row r="426" spans="4:8">
      <c r="D426" s="98">
        <v>426</v>
      </c>
      <c r="E426" s="106" t="str">
        <f t="shared" ca="1" si="6"/>
        <v>Umgebungsgestaltung</v>
      </c>
      <c r="F426" s="98" t="s">
        <v>1246</v>
      </c>
      <c r="G426" s="98" t="s">
        <v>1558</v>
      </c>
      <c r="H426" s="98" t="s">
        <v>1559</v>
      </c>
    </row>
    <row r="427" spans="4:8">
      <c r="D427" s="98">
        <v>427</v>
      </c>
      <c r="E427" s="106" t="str">
        <f t="shared" ca="1" si="6"/>
        <v>Treibhausgas-Emissionen (kg/m² EBF)</v>
      </c>
      <c r="F427" s="98" t="s">
        <v>1708</v>
      </c>
      <c r="G427" s="98" t="s">
        <v>1709</v>
      </c>
      <c r="H427" s="98" t="s">
        <v>1710</v>
      </c>
    </row>
    <row r="428" spans="4:8">
      <c r="D428" s="98">
        <v>428</v>
      </c>
      <c r="E428" s="106" t="str">
        <f t="shared" ca="1" si="6"/>
        <v>Gestehungskosten in Fr./m² EBF</v>
      </c>
      <c r="F428" s="98" t="s">
        <v>1705</v>
      </c>
      <c r="G428" s="98" t="s">
        <v>1706</v>
      </c>
      <c r="H428" s="98" t="s">
        <v>1707</v>
      </c>
    </row>
    <row r="429" spans="4:8">
      <c r="D429" s="98">
        <v>429</v>
      </c>
      <c r="E429" s="106" t="str">
        <f t="shared" ca="1" si="6"/>
        <v>Lebenszykluskosten in Fr.</v>
      </c>
      <c r="F429" s="98" t="s">
        <v>1198</v>
      </c>
      <c r="G429" s="98" t="s">
        <v>1450</v>
      </c>
      <c r="H429" s="98" t="s">
        <v>1451</v>
      </c>
    </row>
    <row r="430" spans="4:8">
      <c r="D430" s="98">
        <v>430</v>
      </c>
      <c r="E430" s="106" t="str">
        <f t="shared" ca="1" si="6"/>
        <v>Jährliche Kosten und Einnahmen in Fr./a</v>
      </c>
      <c r="F430" s="98" t="s">
        <v>1692</v>
      </c>
      <c r="G430" s="98" t="s">
        <v>1694</v>
      </c>
      <c r="H430" s="98" t="s">
        <v>1693</v>
      </c>
    </row>
    <row r="431" spans="4:8">
      <c r="D431" s="98">
        <v>431</v>
      </c>
      <c r="E431" s="106" t="str">
        <f t="shared" ca="1" si="6"/>
        <v>Investitionskosten in Fr.</v>
      </c>
      <c r="F431" s="98" t="s">
        <v>1199</v>
      </c>
      <c r="G431" s="98" t="s">
        <v>1452</v>
      </c>
      <c r="H431" s="98" t="s">
        <v>1453</v>
      </c>
    </row>
    <row r="432" spans="4:8">
      <c r="D432" s="98">
        <v>432</v>
      </c>
      <c r="E432" s="106" t="str">
        <f t="shared" ca="1" si="6"/>
        <v>Energiekosten (inkl. MwSt.)</v>
      </c>
      <c r="F432" s="98" t="s">
        <v>1292</v>
      </c>
      <c r="G432" s="98" t="s">
        <v>1514</v>
      </c>
      <c r="H432" s="98" t="s">
        <v>1515</v>
      </c>
    </row>
    <row r="433" spans="4:8">
      <c r="D433" s="98">
        <v>433</v>
      </c>
      <c r="E433" s="106" t="str">
        <f t="shared" ca="1" si="6"/>
        <v>Wärmenetz</v>
      </c>
      <c r="F433" s="98" t="s">
        <v>1300</v>
      </c>
      <c r="G433" s="98" t="s">
        <v>1454</v>
      </c>
      <c r="H433" s="98" t="s">
        <v>1455</v>
      </c>
    </row>
    <row r="434" spans="4:8">
      <c r="D434" s="98">
        <v>434</v>
      </c>
      <c r="E434" s="106" t="str">
        <f t="shared" ca="1" si="6"/>
        <v>Anteil Strom</v>
      </c>
      <c r="F434" s="98" t="s">
        <v>1213</v>
      </c>
      <c r="G434" s="98" t="s">
        <v>1457</v>
      </c>
      <c r="H434" s="98" t="s">
        <v>1456</v>
      </c>
    </row>
    <row r="435" spans="4:8">
      <c r="D435" s="98">
        <v>435</v>
      </c>
      <c r="E435" s="106" t="str">
        <f t="shared" ca="1" si="6"/>
        <v>Angaben zu Stromkosten</v>
      </c>
      <c r="F435" s="98" t="s">
        <v>1236</v>
      </c>
      <c r="G435" s="98" t="s">
        <v>1516</v>
      </c>
      <c r="H435" s="98" t="s">
        <v>1517</v>
      </c>
    </row>
    <row r="436" spans="4:8">
      <c r="D436" s="98">
        <v>436</v>
      </c>
      <c r="E436" s="106" t="str">
        <f t="shared" ca="1" si="6"/>
        <v>*Vom Wärmeerzeugertyp (weitgehend) unabhängige Kostenpositionen</v>
      </c>
      <c r="F436" s="98" t="s">
        <v>1303</v>
      </c>
      <c r="G436" s="98" t="s">
        <v>1571</v>
      </c>
      <c r="H436" s="98" t="s">
        <v>1572</v>
      </c>
    </row>
    <row r="437" spans="4:8">
      <c r="D437" s="98">
        <v>437</v>
      </c>
      <c r="E437" s="106" t="str">
        <f t="shared" ca="1" si="6"/>
        <v>Demontage</v>
      </c>
      <c r="F437" s="98" t="s">
        <v>1004</v>
      </c>
      <c r="G437" s="98" t="s">
        <v>1446</v>
      </c>
      <c r="H437" s="98" t="s">
        <v>1447</v>
      </c>
    </row>
    <row r="438" spans="4:8">
      <c r="D438" s="98">
        <v>438</v>
      </c>
      <c r="E438" s="106" t="str">
        <f t="shared" ca="1" si="6"/>
        <v>Lärmschutzmassnahmen</v>
      </c>
      <c r="F438" s="98" t="s">
        <v>1033</v>
      </c>
      <c r="G438" s="98" t="s">
        <v>1448</v>
      </c>
      <c r="H438" s="98" t="s">
        <v>1449</v>
      </c>
    </row>
    <row r="439" spans="4:8">
      <c r="D439" s="98">
        <v>439</v>
      </c>
      <c r="E439" s="106" t="str">
        <f t="shared" ca="1" si="6"/>
        <v>Weitere gebäudetechnische Installationen</v>
      </c>
      <c r="F439" s="98" t="s">
        <v>1009</v>
      </c>
      <c r="G439" s="98" t="s">
        <v>1489</v>
      </c>
      <c r="H439" s="98" t="s">
        <v>1490</v>
      </c>
    </row>
    <row r="440" spans="4:8">
      <c r="D440" s="98">
        <v>440</v>
      </c>
      <c r="E440" s="106" t="str">
        <f t="shared" ca="1" si="6"/>
        <v>Pelletkessel</v>
      </c>
      <c r="F440" s="98" t="s">
        <v>992</v>
      </c>
      <c r="G440" s="98" t="s">
        <v>1438</v>
      </c>
      <c r="H440" s="98" t="s">
        <v>1439</v>
      </c>
    </row>
    <row r="441" spans="4:8">
      <c r="D441" s="98">
        <v>441</v>
      </c>
      <c r="E441" s="106" t="str">
        <f t="shared" ca="1" si="6"/>
        <v>Hackschnitzelkessel</v>
      </c>
      <c r="F441" s="98" t="s">
        <v>995</v>
      </c>
      <c r="G441" s="98" t="s">
        <v>1440</v>
      </c>
      <c r="H441" s="98" t="s">
        <v>1441</v>
      </c>
    </row>
    <row r="442" spans="4:8">
      <c r="D442" s="98">
        <v>442</v>
      </c>
      <c r="E442" s="106" t="str">
        <f t="shared" ca="1" si="6"/>
        <v xml:space="preserve">Wärmepumpe </v>
      </c>
      <c r="F442" s="98" t="s">
        <v>235</v>
      </c>
      <c r="G442" s="98" t="s">
        <v>1442</v>
      </c>
      <c r="H442" s="98" t="s">
        <v>1443</v>
      </c>
    </row>
    <row r="443" spans="4:8">
      <c r="D443" s="98">
        <v>443</v>
      </c>
      <c r="E443" s="106" t="str">
        <f t="shared" ca="1" si="6"/>
        <v>Wärmekraftkopplung (WKK)</v>
      </c>
      <c r="F443" s="98" t="s">
        <v>1304</v>
      </c>
      <c r="G443" s="98" t="s">
        <v>1444</v>
      </c>
      <c r="H443" s="98" t="s">
        <v>1445</v>
      </c>
    </row>
    <row r="444" spans="4:8">
      <c r="D444" s="98">
        <v>444</v>
      </c>
      <c r="E444" s="106" t="str">
        <f t="shared" ca="1" si="6"/>
        <v>Benutzerdef.*</v>
      </c>
      <c r="F444" s="98" t="s">
        <v>1310</v>
      </c>
      <c r="G444" s="98" t="s">
        <v>1574</v>
      </c>
      <c r="H444" s="98" t="s">
        <v>1573</v>
      </c>
    </row>
    <row r="445" spans="4:8">
      <c r="D445" s="98">
        <v>445</v>
      </c>
      <c r="E445" s="106" t="str">
        <f t="shared" ca="1" si="6"/>
        <v>* Die Kosten für  Investition und Unterhalt werden ohne Korrektur übernommen.</v>
      </c>
      <c r="F445" s="98" t="s">
        <v>1317</v>
      </c>
      <c r="G445" s="98" t="s">
        <v>1575</v>
      </c>
      <c r="H445" s="98" t="s">
        <v>1576</v>
      </c>
    </row>
    <row r="446" spans="4:8">
      <c r="D446" s="98">
        <v>446</v>
      </c>
      <c r="E446" s="106" t="str">
        <f t="shared" ca="1" si="6"/>
        <v>keine Hinweise</v>
      </c>
      <c r="F446" s="98" t="s">
        <v>1318</v>
      </c>
      <c r="G446" s="98" t="s">
        <v>1536</v>
      </c>
      <c r="H446" s="98" t="s">
        <v>1537</v>
      </c>
    </row>
    <row r="447" spans="4:8">
      <c r="D447" s="98">
        <v>447</v>
      </c>
      <c r="E447" s="106" t="str">
        <f t="shared" ca="1" si="6"/>
        <v>Leistung zu gross!</v>
      </c>
      <c r="F447" s="98" t="s">
        <v>1539</v>
      </c>
      <c r="G447" s="102" t="s">
        <v>1569</v>
      </c>
      <c r="H447" s="102" t="s">
        <v>1570</v>
      </c>
    </row>
    <row r="448" spans="4:8">
      <c r="D448" s="98">
        <v>448</v>
      </c>
      <c r="E448" s="106" t="str">
        <f t="shared" ca="1" si="6"/>
        <v>Daten inkl. Warmwasser?</v>
      </c>
      <c r="F448" s="98" t="s">
        <v>1319</v>
      </c>
      <c r="G448" s="98" t="s">
        <v>1497</v>
      </c>
      <c r="H448" s="98" t="s">
        <v>1496</v>
      </c>
    </row>
    <row r="449" spans="4:8">
      <c r="D449" s="98">
        <v>449</v>
      </c>
      <c r="E449" s="106" t="str">
        <f t="shared" ca="1" si="6"/>
        <v>Informationen für Berechnung relevant.</v>
      </c>
      <c r="F449" s="98" t="s">
        <v>1345</v>
      </c>
      <c r="G449" s="98" t="s">
        <v>1493</v>
      </c>
      <c r="H449" s="98" t="s">
        <v>1494</v>
      </c>
    </row>
    <row r="450" spans="4:8">
      <c r="D450" s="98">
        <v>450</v>
      </c>
      <c r="E450" s="106" t="str">
        <f t="shared" ca="1" si="6"/>
        <v>Sind informative Eingaben.</v>
      </c>
      <c r="F450" s="98" t="s">
        <v>1331</v>
      </c>
      <c r="G450" s="98" t="s">
        <v>1495</v>
      </c>
      <c r="H450" s="98" t="s">
        <v>1599</v>
      </c>
    </row>
    <row r="451" spans="4:8">
      <c r="D451" s="98">
        <v>451</v>
      </c>
      <c r="E451" s="106" t="str">
        <f t="shared" ca="1" si="6"/>
        <v>MwSt. Stromverkauf.</v>
      </c>
      <c r="F451" s="98" t="s">
        <v>1335</v>
      </c>
      <c r="G451" s="98" t="s">
        <v>1491</v>
      </c>
      <c r="H451" s="98" t="s">
        <v>1492</v>
      </c>
    </row>
    <row r="452" spans="4:8">
      <c r="D452" s="98">
        <v>452</v>
      </c>
      <c r="E452" s="106" t="str">
        <f t="shared" ca="1" si="6"/>
        <v>Erschliessung Elektro und Anschlussbeiträge</v>
      </c>
      <c r="F452" s="98" t="s">
        <v>1341</v>
      </c>
      <c r="G452" s="98" t="s">
        <v>1578</v>
      </c>
      <c r="H452" s="98" t="s">
        <v>1577</v>
      </c>
    </row>
    <row r="453" spans="4:8">
      <c r="D453" s="98">
        <v>453</v>
      </c>
      <c r="E453" s="106" t="str">
        <f t="shared" ca="1" si="6"/>
        <v>Hydraulische Einbindung</v>
      </c>
      <c r="F453" s="98" t="s">
        <v>1340</v>
      </c>
      <c r="G453" s="98" t="s">
        <v>1434</v>
      </c>
      <c r="H453" s="98" t="s">
        <v>1435</v>
      </c>
    </row>
    <row r="454" spans="4:8">
      <c r="D454" s="98">
        <v>454</v>
      </c>
      <c r="E454" s="106" t="str">
        <f t="shared" ca="1" si="6"/>
        <v>Lüftungsanlage</v>
      </c>
      <c r="F454" s="98" t="s">
        <v>1339</v>
      </c>
      <c r="G454" s="98" t="s">
        <v>1436</v>
      </c>
      <c r="H454" s="98" t="s">
        <v>1437</v>
      </c>
    </row>
    <row r="455" spans="4:8">
      <c r="D455" s="98">
        <v>455</v>
      </c>
      <c r="E455" s="106" t="str">
        <f t="shared" ca="1" si="6"/>
        <v>Kamin inkl. Bau &amp; Abgasreinigung</v>
      </c>
      <c r="F455" s="98" t="s">
        <v>1338</v>
      </c>
      <c r="G455" s="98" t="s">
        <v>1534</v>
      </c>
      <c r="H455" s="98" t="s">
        <v>1535</v>
      </c>
    </row>
    <row r="456" spans="4:8">
      <c r="D456" s="98">
        <v>456</v>
      </c>
      <c r="E456" s="106" t="str">
        <f t="shared" ca="1" si="6"/>
        <v>Lärmschutz</v>
      </c>
      <c r="F456" s="98" t="s">
        <v>1337</v>
      </c>
      <c r="G456" s="98" t="s">
        <v>1432</v>
      </c>
      <c r="H456" s="98" t="s">
        <v>1433</v>
      </c>
    </row>
    <row r="457" spans="4:8">
      <c r="D457" s="98">
        <v>457</v>
      </c>
      <c r="E457" s="106" t="str">
        <f t="shared" ca="1" si="6"/>
        <v>Leistung ist 0 kW!</v>
      </c>
      <c r="F457" s="98" t="s">
        <v>1540</v>
      </c>
      <c r="G457" s="98" t="s">
        <v>1591</v>
      </c>
      <c r="H457" s="98" t="s">
        <v>1593</v>
      </c>
    </row>
    <row r="458" spans="4:8">
      <c r="D458" s="98">
        <v>458</v>
      </c>
      <c r="E458" s="106" t="str">
        <f t="shared" ca="1" si="6"/>
        <v>Wärme ist 0 kWh!</v>
      </c>
      <c r="F458" s="98" t="s">
        <v>1538</v>
      </c>
      <c r="G458" s="98" t="s">
        <v>1592</v>
      </c>
      <c r="H458" s="98" t="s">
        <v>1594</v>
      </c>
    </row>
    <row r="459" spans="4:8">
      <c r="D459" s="98">
        <v>459</v>
      </c>
      <c r="E459" s="106" t="str">
        <f t="shared" ca="1" si="6"/>
        <v>Grundlagen für die Wirtschaftlichkeitsberechnung</v>
      </c>
      <c r="F459" s="98" t="s">
        <v>971</v>
      </c>
      <c r="G459" s="98" t="s">
        <v>1595</v>
      </c>
      <c r="H459" s="98" t="s">
        <v>1596</v>
      </c>
    </row>
    <row r="460" spans="4:8">
      <c r="D460" s="98">
        <v>460</v>
      </c>
      <c r="E460" s="106" t="str">
        <f t="shared" ref="E460:E523" ca="1" si="7">INDIRECT($C$9&amp;D460)</f>
        <v>Eingabe der Varianten</v>
      </c>
      <c r="F460" s="98" t="s">
        <v>972</v>
      </c>
      <c r="G460" s="98" t="s">
        <v>1597</v>
      </c>
      <c r="H460" s="98" t="s">
        <v>1598</v>
      </c>
    </row>
    <row r="461" spans="4:8">
      <c r="D461" s="98">
        <v>461</v>
      </c>
      <c r="E461" s="106" t="str">
        <f t="shared" ca="1" si="7"/>
        <v>Resultate</v>
      </c>
      <c r="F461" s="98" t="s">
        <v>133</v>
      </c>
      <c r="G461" s="98" t="s">
        <v>462</v>
      </c>
      <c r="H461" s="98" t="s">
        <v>537</v>
      </c>
    </row>
    <row r="462" spans="4:8">
      <c r="D462" s="98">
        <v>462</v>
      </c>
      <c r="E462" s="106" t="str">
        <f t="shared" ca="1" si="7"/>
        <v>Gestehungskosten</v>
      </c>
      <c r="F462" s="98" t="s">
        <v>1175</v>
      </c>
      <c r="G462" s="98" t="s">
        <v>1603</v>
      </c>
      <c r="H462" s="98" t="s">
        <v>1604</v>
      </c>
    </row>
    <row r="463" spans="4:8">
      <c r="D463" s="98">
        <v>463</v>
      </c>
      <c r="E463" s="106">
        <f t="shared" ca="1" si="7"/>
        <v>0</v>
      </c>
    </row>
    <row r="464" spans="4:8">
      <c r="D464" s="98">
        <v>464</v>
      </c>
      <c r="E464" s="106">
        <f t="shared" ca="1" si="7"/>
        <v>0</v>
      </c>
    </row>
    <row r="465" spans="4:8">
      <c r="D465" s="98">
        <v>465</v>
      </c>
      <c r="E465" s="106" t="str">
        <f t="shared" ca="1" si="7"/>
        <v>Stromkosten Allgemeinverbrauch</v>
      </c>
      <c r="F465" s="98" t="s">
        <v>1606</v>
      </c>
      <c r="G465" s="98" t="s">
        <v>1607</v>
      </c>
      <c r="H465" s="98" t="s">
        <v>1608</v>
      </c>
    </row>
    <row r="466" spans="4:8">
      <c r="D466" s="98">
        <v>466</v>
      </c>
      <c r="E466" s="106" t="str">
        <f t="shared" ca="1" si="7"/>
        <v xml:space="preserve">Hier steht eine Auswahl zur Verfügung </v>
      </c>
      <c r="F466" s="98" t="s">
        <v>1609</v>
      </c>
      <c r="G466" s="98" t="s">
        <v>1610</v>
      </c>
      <c r="H466" s="98" t="s">
        <v>1611</v>
      </c>
    </row>
    <row r="467" spans="4:8">
      <c r="D467" s="98">
        <v>467</v>
      </c>
      <c r="E467" s="106" t="str">
        <f t="shared" ca="1" si="7"/>
        <v>Überschreibt die Standartwerte</v>
      </c>
      <c r="F467" s="98" t="s">
        <v>1661</v>
      </c>
      <c r="G467" s="98" t="s">
        <v>1663</v>
      </c>
      <c r="H467" s="98" t="s">
        <v>1662</v>
      </c>
    </row>
    <row r="468" spans="4:8">
      <c r="D468" s="98">
        <v>468</v>
      </c>
      <c r="E468" s="106" t="str">
        <f t="shared" ca="1" si="7"/>
        <v>Stromverbraucherprofil</v>
      </c>
      <c r="F468" s="98" t="s">
        <v>1664</v>
      </c>
      <c r="G468" s="98" t="s">
        <v>1665</v>
      </c>
      <c r="H468" s="98" t="s">
        <v>1666</v>
      </c>
    </row>
    <row r="469" spans="4:8">
      <c r="D469" s="98">
        <v>469</v>
      </c>
      <c r="E469" s="106" t="str">
        <f t="shared" ca="1" si="7"/>
        <v>Preise inkl. CO2-Abgabe, exkl. MwSt.</v>
      </c>
      <c r="F469" s="98" t="s">
        <v>1674</v>
      </c>
      <c r="G469" s="98" t="s">
        <v>1676</v>
      </c>
      <c r="H469" s="98" t="s">
        <v>1675</v>
      </c>
    </row>
    <row r="470" spans="4:8">
      <c r="D470" s="98">
        <v>470</v>
      </c>
      <c r="E470" s="106" t="str">
        <f t="shared" ca="1" si="7"/>
        <v>Einsparungen durch Eigennutzung</v>
      </c>
      <c r="F470" s="98" t="s">
        <v>1232</v>
      </c>
      <c r="G470" s="98" t="s">
        <v>1681</v>
      </c>
      <c r="H470" s="98" t="s">
        <v>1680</v>
      </c>
    </row>
    <row r="471" spans="4:8">
      <c r="D471" s="98">
        <v>471</v>
      </c>
      <c r="E471" s="106" t="str">
        <f t="shared" ca="1" si="7"/>
        <v>Investitionskosten in Fr./m² EBF</v>
      </c>
      <c r="F471" s="98" t="s">
        <v>1685</v>
      </c>
      <c r="G471" s="98" t="s">
        <v>1686</v>
      </c>
      <c r="H471" s="98" t="s">
        <v>1687</v>
      </c>
    </row>
    <row r="472" spans="4:8">
      <c r="D472" s="98">
        <v>472</v>
      </c>
      <c r="E472" s="106" t="str">
        <f t="shared" ca="1" si="7"/>
        <v>Bezeichnung der Variante</v>
      </c>
      <c r="F472" s="98" t="s">
        <v>1695</v>
      </c>
      <c r="G472" s="98" t="s">
        <v>1696</v>
      </c>
      <c r="H472" s="98" t="s">
        <v>1697</v>
      </c>
    </row>
    <row r="473" spans="4:8">
      <c r="D473" s="98">
        <v>473</v>
      </c>
      <c r="E473" s="106" t="str">
        <f t="shared" ca="1" si="7"/>
        <v>Für diese Leistung sind keine Standard-Kostenkennwerte vorhanden.</v>
      </c>
      <c r="F473" s="98" t="s">
        <v>1700</v>
      </c>
      <c r="G473" s="98" t="s">
        <v>1699</v>
      </c>
      <c r="H473" s="98" t="s">
        <v>1698</v>
      </c>
    </row>
    <row r="474" spans="4:8">
      <c r="D474" s="98">
        <v>474</v>
      </c>
      <c r="E474" s="106" t="str">
        <f t="shared" ca="1" si="7"/>
        <v>spez. Kosten pro EBF</v>
      </c>
      <c r="F474" s="98" t="s">
        <v>1702</v>
      </c>
      <c r="G474" s="98" t="s">
        <v>1703</v>
      </c>
      <c r="H474" s="98" t="s">
        <v>1704</v>
      </c>
    </row>
    <row r="475" spans="4:8">
      <c r="D475" s="98">
        <v>475</v>
      </c>
      <c r="E475" s="106" t="str">
        <f t="shared" ca="1" si="7"/>
        <v>Jährliche Nettokosten in Fr./a</v>
      </c>
      <c r="F475" s="98" t="s">
        <v>1711</v>
      </c>
      <c r="G475" s="98" t="s">
        <v>1713</v>
      </c>
      <c r="H475" s="98" t="s">
        <v>1712</v>
      </c>
    </row>
    <row r="476" spans="4:8">
      <c r="D476" s="98">
        <v>476</v>
      </c>
      <c r="E476" s="106" t="str">
        <f t="shared" ca="1" si="7"/>
        <v>Jahr</v>
      </c>
      <c r="F476" s="98" t="s">
        <v>271</v>
      </c>
      <c r="G476" s="98" t="s">
        <v>441</v>
      </c>
      <c r="H476" s="98" t="s">
        <v>601</v>
      </c>
    </row>
    <row r="477" spans="4:8">
      <c r="D477" s="98">
        <v>477</v>
      </c>
      <c r="E477" s="106" t="str">
        <f t="shared" ca="1" si="7"/>
        <v>Holz</v>
      </c>
      <c r="F477" s="98" t="s">
        <v>1718</v>
      </c>
      <c r="G477" s="98" t="s">
        <v>1719</v>
      </c>
      <c r="H477" s="98" t="s">
        <v>1720</v>
      </c>
    </row>
    <row r="478" spans="4:8">
      <c r="D478" s="98">
        <v>478</v>
      </c>
      <c r="E478" s="106" t="str">
        <f t="shared" ca="1" si="7"/>
        <v>Der Aufbau und die Funktionen des Tool werden in einem Video erklärt. Der Link ist unten angegeben. Die Videos sind nur auf Deutsch vorhanden.</v>
      </c>
      <c r="F478" s="98" t="s">
        <v>1724</v>
      </c>
      <c r="G478" s="98" t="s">
        <v>1725</v>
      </c>
      <c r="H478" s="98" t="s">
        <v>1726</v>
      </c>
    </row>
    <row r="479" spans="4:8">
      <c r="D479" s="98">
        <v>479</v>
      </c>
      <c r="E479" s="106" t="str">
        <f t="shared" ca="1" si="7"/>
        <v xml:space="preserve">Energiepreissteigerung berücksichtigen als </v>
      </c>
      <c r="F479" s="98" t="s">
        <v>1762</v>
      </c>
      <c r="G479" s="98" t="s">
        <v>1763</v>
      </c>
      <c r="H479" s="98" t="s">
        <v>1764</v>
      </c>
    </row>
    <row r="480" spans="4:8">
      <c r="D480" s="98">
        <v>480</v>
      </c>
      <c r="E480" s="106" t="str">
        <f t="shared" ca="1" si="7"/>
        <v>linearer Verlauf</v>
      </c>
      <c r="F480" s="98" t="s">
        <v>1761</v>
      </c>
      <c r="G480" s="98" t="s">
        <v>1766</v>
      </c>
      <c r="H480" s="98" t="s">
        <v>1765</v>
      </c>
    </row>
    <row r="481" spans="4:8">
      <c r="D481" s="98">
        <v>481</v>
      </c>
      <c r="E481" s="106" t="str">
        <f t="shared" ca="1" si="7"/>
        <v>progressiver Verlauf</v>
      </c>
      <c r="F481" s="98" t="s">
        <v>1760</v>
      </c>
      <c r="G481" s="98" t="s">
        <v>1767</v>
      </c>
      <c r="H481" s="98" t="s">
        <v>1768</v>
      </c>
    </row>
    <row r="482" spans="4:8">
      <c r="D482" s="98">
        <v>482</v>
      </c>
      <c r="E482" s="106" t="str">
        <f t="shared" ca="1" si="7"/>
        <v>WP (SW mit Absorber)</v>
      </c>
      <c r="F482" s="98" t="s">
        <v>1810</v>
      </c>
      <c r="G482" s="98" t="s">
        <v>1815</v>
      </c>
      <c r="H482" s="98" t="s">
        <v>1814</v>
      </c>
    </row>
    <row r="483" spans="4:8">
      <c r="D483" s="98">
        <v>483</v>
      </c>
      <c r="E483" s="106" t="str">
        <f t="shared" ca="1" si="7"/>
        <v>Absorber</v>
      </c>
      <c r="F483" s="98" t="s">
        <v>1811</v>
      </c>
      <c r="G483" s="98" t="s">
        <v>1813</v>
      </c>
      <c r="H483" s="98" t="s">
        <v>1812</v>
      </c>
    </row>
    <row r="484" spans="4:8">
      <c r="D484" s="98">
        <v>484</v>
      </c>
      <c r="E484" s="106" t="str">
        <f t="shared" ca="1" si="7"/>
        <v>Planungskosten</v>
      </c>
      <c r="F484" s="98" t="s">
        <v>1817</v>
      </c>
      <c r="G484" s="98" t="s">
        <v>1818</v>
      </c>
      <c r="H484" s="98" t="s">
        <v>1819</v>
      </c>
    </row>
    <row r="485" spans="4:8">
      <c r="D485" s="98">
        <v>485</v>
      </c>
      <c r="E485" s="106">
        <f t="shared" ca="1" si="7"/>
        <v>0</v>
      </c>
      <c r="G485" s="98" t="str">
        <f t="shared" ref="G485:G527" si="8">"f_" &amp;F485</f>
        <v>f_</v>
      </c>
      <c r="H485" s="98" t="str">
        <f t="shared" ref="H485:H520" si="9">"i_" &amp;F485</f>
        <v>i_</v>
      </c>
    </row>
    <row r="486" spans="4:8">
      <c r="D486" s="98">
        <v>486</v>
      </c>
      <c r="E486" s="106">
        <f t="shared" ca="1" si="7"/>
        <v>0</v>
      </c>
      <c r="G486" s="98" t="str">
        <f t="shared" si="8"/>
        <v>f_</v>
      </c>
      <c r="H486" s="98" t="str">
        <f t="shared" si="9"/>
        <v>i_</v>
      </c>
    </row>
    <row r="487" spans="4:8">
      <c r="D487" s="98">
        <v>487</v>
      </c>
      <c r="E487" s="106">
        <f t="shared" ca="1" si="7"/>
        <v>0</v>
      </c>
      <c r="G487" s="98" t="str">
        <f t="shared" si="8"/>
        <v>f_</v>
      </c>
      <c r="H487" s="98" t="str">
        <f t="shared" si="9"/>
        <v>i_</v>
      </c>
    </row>
    <row r="488" spans="4:8">
      <c r="D488" s="98">
        <v>488</v>
      </c>
      <c r="E488" s="106">
        <f t="shared" ca="1" si="7"/>
        <v>0</v>
      </c>
      <c r="G488" s="98" t="str">
        <f t="shared" si="8"/>
        <v>f_</v>
      </c>
      <c r="H488" s="98" t="str">
        <f t="shared" si="9"/>
        <v>i_</v>
      </c>
    </row>
    <row r="489" spans="4:8">
      <c r="D489" s="98">
        <v>489</v>
      </c>
      <c r="E489" s="106">
        <f t="shared" ca="1" si="7"/>
        <v>0</v>
      </c>
      <c r="G489" s="98" t="str">
        <f t="shared" si="8"/>
        <v>f_</v>
      </c>
      <c r="H489" s="98" t="str">
        <f t="shared" si="9"/>
        <v>i_</v>
      </c>
    </row>
    <row r="490" spans="4:8">
      <c r="D490" s="98">
        <v>490</v>
      </c>
      <c r="E490" s="106">
        <f t="shared" ca="1" si="7"/>
        <v>0</v>
      </c>
      <c r="G490" s="98" t="str">
        <f t="shared" si="8"/>
        <v>f_</v>
      </c>
      <c r="H490" s="98" t="str">
        <f t="shared" si="9"/>
        <v>i_</v>
      </c>
    </row>
    <row r="491" spans="4:8">
      <c r="D491" s="98">
        <v>491</v>
      </c>
      <c r="E491" s="106">
        <f t="shared" ca="1" si="7"/>
        <v>0</v>
      </c>
      <c r="G491" s="98" t="str">
        <f t="shared" si="8"/>
        <v>f_</v>
      </c>
      <c r="H491" s="98" t="str">
        <f t="shared" si="9"/>
        <v>i_</v>
      </c>
    </row>
    <row r="492" spans="4:8">
      <c r="D492" s="98">
        <v>492</v>
      </c>
      <c r="E492" s="106">
        <f t="shared" ca="1" si="7"/>
        <v>0</v>
      </c>
      <c r="G492" s="98" t="str">
        <f t="shared" si="8"/>
        <v>f_</v>
      </c>
      <c r="H492" s="98" t="str">
        <f t="shared" si="9"/>
        <v>i_</v>
      </c>
    </row>
    <row r="493" spans="4:8">
      <c r="D493" s="98">
        <v>493</v>
      </c>
      <c r="E493" s="106">
        <f t="shared" ca="1" si="7"/>
        <v>0</v>
      </c>
      <c r="G493" s="98" t="str">
        <f t="shared" si="8"/>
        <v>f_</v>
      </c>
      <c r="H493" s="98" t="str">
        <f t="shared" si="9"/>
        <v>i_</v>
      </c>
    </row>
    <row r="494" spans="4:8">
      <c r="D494" s="98">
        <v>494</v>
      </c>
      <c r="E494" s="106">
        <f t="shared" ca="1" si="7"/>
        <v>0</v>
      </c>
      <c r="G494" s="98" t="str">
        <f t="shared" si="8"/>
        <v>f_</v>
      </c>
      <c r="H494" s="98" t="str">
        <f t="shared" si="9"/>
        <v>i_</v>
      </c>
    </row>
    <row r="495" spans="4:8">
      <c r="D495" s="98">
        <v>495</v>
      </c>
      <c r="E495" s="106">
        <f t="shared" ca="1" si="7"/>
        <v>0</v>
      </c>
      <c r="G495" s="98" t="str">
        <f t="shared" si="8"/>
        <v>f_</v>
      </c>
      <c r="H495" s="98" t="str">
        <f t="shared" si="9"/>
        <v>i_</v>
      </c>
    </row>
    <row r="496" spans="4:8">
      <c r="D496" s="98">
        <v>496</v>
      </c>
      <c r="E496" s="106">
        <f t="shared" ca="1" si="7"/>
        <v>0</v>
      </c>
      <c r="G496" s="98" t="str">
        <f t="shared" si="8"/>
        <v>f_</v>
      </c>
      <c r="H496" s="98" t="str">
        <f t="shared" si="9"/>
        <v>i_</v>
      </c>
    </row>
    <row r="497" spans="4:8">
      <c r="D497" s="98">
        <v>497</v>
      </c>
      <c r="E497" s="106">
        <f t="shared" ca="1" si="7"/>
        <v>0</v>
      </c>
      <c r="G497" s="98" t="str">
        <f t="shared" si="8"/>
        <v>f_</v>
      </c>
      <c r="H497" s="98" t="str">
        <f t="shared" si="9"/>
        <v>i_</v>
      </c>
    </row>
    <row r="498" spans="4:8">
      <c r="D498" s="98">
        <v>498</v>
      </c>
      <c r="E498" s="106">
        <f t="shared" ca="1" si="7"/>
        <v>0</v>
      </c>
      <c r="G498" s="98" t="str">
        <f t="shared" si="8"/>
        <v>f_</v>
      </c>
      <c r="H498" s="98" t="str">
        <f t="shared" si="9"/>
        <v>i_</v>
      </c>
    </row>
    <row r="499" spans="4:8">
      <c r="D499" s="98">
        <v>499</v>
      </c>
      <c r="E499" s="106">
        <f t="shared" ca="1" si="7"/>
        <v>0</v>
      </c>
      <c r="G499" s="98" t="str">
        <f t="shared" si="8"/>
        <v>f_</v>
      </c>
      <c r="H499" s="98" t="str">
        <f t="shared" si="9"/>
        <v>i_</v>
      </c>
    </row>
    <row r="500" spans="4:8">
      <c r="D500" s="98">
        <v>500</v>
      </c>
      <c r="E500" s="106">
        <f t="shared" ca="1" si="7"/>
        <v>0</v>
      </c>
      <c r="G500" s="98" t="str">
        <f t="shared" si="8"/>
        <v>f_</v>
      </c>
      <c r="H500" s="98" t="str">
        <f t="shared" si="9"/>
        <v>i_</v>
      </c>
    </row>
    <row r="501" spans="4:8">
      <c r="D501" s="98">
        <v>501</v>
      </c>
      <c r="E501" s="106">
        <f t="shared" ca="1" si="7"/>
        <v>0</v>
      </c>
      <c r="G501" s="98" t="str">
        <f t="shared" si="8"/>
        <v>f_</v>
      </c>
      <c r="H501" s="98" t="str">
        <f t="shared" si="9"/>
        <v>i_</v>
      </c>
    </row>
    <row r="502" spans="4:8">
      <c r="D502" s="98">
        <v>502</v>
      </c>
      <c r="E502" s="106">
        <f t="shared" ca="1" si="7"/>
        <v>0</v>
      </c>
      <c r="G502" s="98" t="str">
        <f t="shared" si="8"/>
        <v>f_</v>
      </c>
      <c r="H502" s="98" t="str">
        <f t="shared" si="9"/>
        <v>i_</v>
      </c>
    </row>
    <row r="503" spans="4:8">
      <c r="D503" s="98">
        <v>503</v>
      </c>
      <c r="E503" s="106">
        <f t="shared" ca="1" si="7"/>
        <v>0</v>
      </c>
      <c r="G503" s="98" t="str">
        <f t="shared" si="8"/>
        <v>f_</v>
      </c>
      <c r="H503" s="98" t="str">
        <f t="shared" si="9"/>
        <v>i_</v>
      </c>
    </row>
    <row r="504" spans="4:8">
      <c r="D504" s="98">
        <v>504</v>
      </c>
      <c r="E504" s="106">
        <f t="shared" ca="1" si="7"/>
        <v>0</v>
      </c>
      <c r="G504" s="98" t="str">
        <f t="shared" si="8"/>
        <v>f_</v>
      </c>
      <c r="H504" s="98" t="str">
        <f t="shared" si="9"/>
        <v>i_</v>
      </c>
    </row>
    <row r="505" spans="4:8">
      <c r="D505" s="98">
        <v>505</v>
      </c>
      <c r="E505" s="106">
        <f t="shared" ca="1" si="7"/>
        <v>0</v>
      </c>
      <c r="G505" s="98" t="str">
        <f t="shared" si="8"/>
        <v>f_</v>
      </c>
      <c r="H505" s="98" t="str">
        <f t="shared" si="9"/>
        <v>i_</v>
      </c>
    </row>
    <row r="506" spans="4:8">
      <c r="D506" s="98">
        <v>506</v>
      </c>
      <c r="E506" s="106">
        <f t="shared" ca="1" si="7"/>
        <v>0</v>
      </c>
      <c r="G506" s="98" t="str">
        <f t="shared" si="8"/>
        <v>f_</v>
      </c>
      <c r="H506" s="98" t="str">
        <f t="shared" si="9"/>
        <v>i_</v>
      </c>
    </row>
    <row r="507" spans="4:8">
      <c r="D507" s="98">
        <v>507</v>
      </c>
      <c r="E507" s="106">
        <f t="shared" ca="1" si="7"/>
        <v>0</v>
      </c>
      <c r="G507" s="98" t="str">
        <f t="shared" si="8"/>
        <v>f_</v>
      </c>
      <c r="H507" s="98" t="str">
        <f t="shared" si="9"/>
        <v>i_</v>
      </c>
    </row>
    <row r="508" spans="4:8">
      <c r="D508" s="98">
        <v>508</v>
      </c>
      <c r="E508" s="106">
        <f t="shared" ca="1" si="7"/>
        <v>0</v>
      </c>
      <c r="G508" s="98" t="str">
        <f t="shared" si="8"/>
        <v>f_</v>
      </c>
      <c r="H508" s="98" t="str">
        <f t="shared" si="9"/>
        <v>i_</v>
      </c>
    </row>
    <row r="509" spans="4:8">
      <c r="D509" s="98">
        <v>509</v>
      </c>
      <c r="E509" s="106">
        <f t="shared" ca="1" si="7"/>
        <v>0</v>
      </c>
      <c r="G509" s="98" t="str">
        <f t="shared" si="8"/>
        <v>f_</v>
      </c>
      <c r="H509" s="98" t="str">
        <f t="shared" si="9"/>
        <v>i_</v>
      </c>
    </row>
    <row r="510" spans="4:8">
      <c r="D510" s="98">
        <v>510</v>
      </c>
      <c r="E510" s="106">
        <f t="shared" ca="1" si="7"/>
        <v>0</v>
      </c>
      <c r="G510" s="98" t="str">
        <f t="shared" si="8"/>
        <v>f_</v>
      </c>
      <c r="H510" s="98" t="str">
        <f t="shared" si="9"/>
        <v>i_</v>
      </c>
    </row>
    <row r="511" spans="4:8">
      <c r="D511" s="98">
        <v>511</v>
      </c>
      <c r="E511" s="106">
        <f t="shared" ca="1" si="7"/>
        <v>0</v>
      </c>
      <c r="G511" s="98" t="str">
        <f t="shared" si="8"/>
        <v>f_</v>
      </c>
      <c r="H511" s="98" t="str">
        <f t="shared" si="9"/>
        <v>i_</v>
      </c>
    </row>
    <row r="512" spans="4:8">
      <c r="D512" s="98">
        <v>512</v>
      </c>
      <c r="E512" s="106">
        <f t="shared" ca="1" si="7"/>
        <v>0</v>
      </c>
      <c r="G512" s="98" t="str">
        <f t="shared" si="8"/>
        <v>f_</v>
      </c>
      <c r="H512" s="98" t="str">
        <f t="shared" si="9"/>
        <v>i_</v>
      </c>
    </row>
    <row r="513" spans="4:8">
      <c r="D513" s="98">
        <v>513</v>
      </c>
      <c r="E513" s="106">
        <f t="shared" ca="1" si="7"/>
        <v>0</v>
      </c>
      <c r="G513" s="98" t="str">
        <f t="shared" si="8"/>
        <v>f_</v>
      </c>
      <c r="H513" s="98" t="str">
        <f t="shared" si="9"/>
        <v>i_</v>
      </c>
    </row>
    <row r="514" spans="4:8">
      <c r="D514" s="98">
        <v>514</v>
      </c>
      <c r="E514" s="106">
        <f t="shared" ca="1" si="7"/>
        <v>0</v>
      </c>
      <c r="G514" s="98" t="str">
        <f t="shared" si="8"/>
        <v>f_</v>
      </c>
      <c r="H514" s="98" t="str">
        <f t="shared" si="9"/>
        <v>i_</v>
      </c>
    </row>
    <row r="515" spans="4:8">
      <c r="D515" s="98">
        <v>515</v>
      </c>
      <c r="E515" s="106">
        <f t="shared" ca="1" si="7"/>
        <v>0</v>
      </c>
      <c r="G515" s="98" t="str">
        <f t="shared" si="8"/>
        <v>f_</v>
      </c>
      <c r="H515" s="98" t="str">
        <f t="shared" si="9"/>
        <v>i_</v>
      </c>
    </row>
    <row r="516" spans="4:8">
      <c r="D516" s="98">
        <v>516</v>
      </c>
      <c r="E516" s="106">
        <f t="shared" ca="1" si="7"/>
        <v>0</v>
      </c>
      <c r="G516" s="98" t="str">
        <f t="shared" si="8"/>
        <v>f_</v>
      </c>
      <c r="H516" s="98" t="str">
        <f t="shared" si="9"/>
        <v>i_</v>
      </c>
    </row>
    <row r="517" spans="4:8">
      <c r="D517" s="98">
        <v>517</v>
      </c>
      <c r="E517" s="106">
        <f t="shared" ca="1" si="7"/>
        <v>0</v>
      </c>
      <c r="G517" s="98" t="str">
        <f t="shared" si="8"/>
        <v>f_</v>
      </c>
      <c r="H517" s="98" t="str">
        <f t="shared" si="9"/>
        <v>i_</v>
      </c>
    </row>
    <row r="518" spans="4:8">
      <c r="D518" s="98">
        <v>518</v>
      </c>
      <c r="E518" s="106">
        <f t="shared" ca="1" si="7"/>
        <v>0</v>
      </c>
      <c r="G518" s="98" t="str">
        <f t="shared" si="8"/>
        <v>f_</v>
      </c>
      <c r="H518" s="98" t="str">
        <f t="shared" si="9"/>
        <v>i_</v>
      </c>
    </row>
    <row r="519" spans="4:8">
      <c r="D519" s="98">
        <v>519</v>
      </c>
      <c r="E519" s="106">
        <f t="shared" ca="1" si="7"/>
        <v>0</v>
      </c>
      <c r="G519" s="98" t="str">
        <f t="shared" si="8"/>
        <v>f_</v>
      </c>
      <c r="H519" s="98" t="str">
        <f t="shared" si="9"/>
        <v>i_</v>
      </c>
    </row>
    <row r="520" spans="4:8">
      <c r="D520" s="98">
        <v>520</v>
      </c>
      <c r="E520" s="106">
        <f t="shared" ca="1" si="7"/>
        <v>0</v>
      </c>
      <c r="G520" s="98" t="str">
        <f t="shared" si="8"/>
        <v>f_</v>
      </c>
      <c r="H520" s="98" t="str">
        <f t="shared" si="9"/>
        <v>i_</v>
      </c>
    </row>
    <row r="521" spans="4:8">
      <c r="D521" s="98">
        <v>521</v>
      </c>
      <c r="E521" s="106">
        <f t="shared" ca="1" si="7"/>
        <v>0</v>
      </c>
      <c r="G521" s="98" t="str">
        <f t="shared" si="8"/>
        <v>f_</v>
      </c>
      <c r="H521" s="98" t="str">
        <f t="shared" ref="H521:H542" si="10">"i_" &amp;F521</f>
        <v>i_</v>
      </c>
    </row>
    <row r="522" spans="4:8">
      <c r="D522" s="98">
        <v>522</v>
      </c>
      <c r="E522" s="106">
        <f t="shared" ca="1" si="7"/>
        <v>0</v>
      </c>
      <c r="G522" s="98" t="str">
        <f t="shared" si="8"/>
        <v>f_</v>
      </c>
      <c r="H522" s="98" t="str">
        <f t="shared" si="10"/>
        <v>i_</v>
      </c>
    </row>
    <row r="523" spans="4:8">
      <c r="D523" s="98">
        <v>523</v>
      </c>
      <c r="E523" s="106">
        <f t="shared" ca="1" si="7"/>
        <v>0</v>
      </c>
      <c r="G523" s="98" t="str">
        <f t="shared" si="8"/>
        <v>f_</v>
      </c>
      <c r="H523" s="98" t="str">
        <f t="shared" si="10"/>
        <v>i_</v>
      </c>
    </row>
    <row r="524" spans="4:8">
      <c r="D524" s="98">
        <v>524</v>
      </c>
      <c r="E524" s="106">
        <f t="shared" ref="E524:E542" ca="1" si="11">INDIRECT($C$9&amp;D524)</f>
        <v>0</v>
      </c>
      <c r="G524" s="98" t="str">
        <f t="shared" si="8"/>
        <v>f_</v>
      </c>
      <c r="H524" s="98" t="str">
        <f t="shared" si="10"/>
        <v>i_</v>
      </c>
    </row>
    <row r="525" spans="4:8">
      <c r="D525" s="98">
        <v>525</v>
      </c>
      <c r="E525" s="106">
        <f t="shared" ca="1" si="11"/>
        <v>0</v>
      </c>
      <c r="G525" s="98" t="str">
        <f t="shared" si="8"/>
        <v>f_</v>
      </c>
      <c r="H525" s="98" t="str">
        <f t="shared" si="10"/>
        <v>i_</v>
      </c>
    </row>
    <row r="526" spans="4:8">
      <c r="D526" s="98">
        <v>526</v>
      </c>
      <c r="E526" s="106">
        <f t="shared" ca="1" si="11"/>
        <v>0</v>
      </c>
      <c r="G526" s="98" t="str">
        <f t="shared" si="8"/>
        <v>f_</v>
      </c>
      <c r="H526" s="98" t="str">
        <f t="shared" si="10"/>
        <v>i_</v>
      </c>
    </row>
    <row r="527" spans="4:8">
      <c r="D527" s="98">
        <v>527</v>
      </c>
      <c r="E527" s="106">
        <f t="shared" ca="1" si="11"/>
        <v>0</v>
      </c>
      <c r="G527" s="98" t="str">
        <f t="shared" si="8"/>
        <v>f_</v>
      </c>
      <c r="H527" s="98" t="str">
        <f t="shared" si="10"/>
        <v>i_</v>
      </c>
    </row>
    <row r="528" spans="4:8">
      <c r="D528" s="98">
        <v>528</v>
      </c>
      <c r="E528" s="106">
        <f t="shared" ca="1" si="11"/>
        <v>0</v>
      </c>
      <c r="G528" s="98" t="str">
        <f t="shared" ref="G528:G542" si="12">"f_" &amp;F528</f>
        <v>f_</v>
      </c>
      <c r="H528" s="98" t="str">
        <f t="shared" si="10"/>
        <v>i_</v>
      </c>
    </row>
    <row r="529" spans="4:8">
      <c r="D529" s="98">
        <v>529</v>
      </c>
      <c r="E529" s="106">
        <f t="shared" ca="1" si="11"/>
        <v>0</v>
      </c>
      <c r="G529" s="98" t="str">
        <f t="shared" si="12"/>
        <v>f_</v>
      </c>
      <c r="H529" s="98" t="str">
        <f t="shared" si="10"/>
        <v>i_</v>
      </c>
    </row>
    <row r="530" spans="4:8">
      <c r="D530" s="98">
        <v>530</v>
      </c>
      <c r="E530" s="106">
        <f t="shared" ca="1" si="11"/>
        <v>0</v>
      </c>
      <c r="G530" s="98" t="str">
        <f t="shared" si="12"/>
        <v>f_</v>
      </c>
      <c r="H530" s="98" t="str">
        <f t="shared" si="10"/>
        <v>i_</v>
      </c>
    </row>
    <row r="531" spans="4:8">
      <c r="D531" s="98">
        <v>531</v>
      </c>
      <c r="E531" s="106">
        <f t="shared" ca="1" si="11"/>
        <v>0</v>
      </c>
      <c r="G531" s="98" t="str">
        <f t="shared" si="12"/>
        <v>f_</v>
      </c>
      <c r="H531" s="98" t="str">
        <f t="shared" si="10"/>
        <v>i_</v>
      </c>
    </row>
    <row r="532" spans="4:8">
      <c r="D532" s="98">
        <v>532</v>
      </c>
      <c r="E532" s="106">
        <f t="shared" ca="1" si="11"/>
        <v>0</v>
      </c>
      <c r="G532" s="98" t="str">
        <f t="shared" si="12"/>
        <v>f_</v>
      </c>
      <c r="H532" s="98" t="str">
        <f t="shared" si="10"/>
        <v>i_</v>
      </c>
    </row>
    <row r="533" spans="4:8">
      <c r="D533" s="98">
        <v>533</v>
      </c>
      <c r="E533" s="106">
        <f t="shared" ca="1" si="11"/>
        <v>0</v>
      </c>
      <c r="G533" s="98" t="str">
        <f t="shared" si="12"/>
        <v>f_</v>
      </c>
      <c r="H533" s="98" t="str">
        <f t="shared" si="10"/>
        <v>i_</v>
      </c>
    </row>
    <row r="534" spans="4:8">
      <c r="D534" s="98">
        <v>534</v>
      </c>
      <c r="E534" s="106">
        <f t="shared" ca="1" si="11"/>
        <v>0</v>
      </c>
      <c r="G534" s="98" t="str">
        <f t="shared" si="12"/>
        <v>f_</v>
      </c>
      <c r="H534" s="98" t="str">
        <f t="shared" si="10"/>
        <v>i_</v>
      </c>
    </row>
    <row r="535" spans="4:8">
      <c r="D535" s="98">
        <v>535</v>
      </c>
      <c r="E535" s="106">
        <f t="shared" ca="1" si="11"/>
        <v>0</v>
      </c>
      <c r="G535" s="98" t="str">
        <f t="shared" si="12"/>
        <v>f_</v>
      </c>
      <c r="H535" s="98" t="str">
        <f t="shared" si="10"/>
        <v>i_</v>
      </c>
    </row>
    <row r="536" spans="4:8">
      <c r="D536" s="98">
        <v>536</v>
      </c>
      <c r="E536" s="106">
        <f t="shared" ca="1" si="11"/>
        <v>0</v>
      </c>
      <c r="G536" s="98" t="str">
        <f t="shared" si="12"/>
        <v>f_</v>
      </c>
      <c r="H536" s="98" t="str">
        <f t="shared" si="10"/>
        <v>i_</v>
      </c>
    </row>
    <row r="537" spans="4:8">
      <c r="D537" s="98">
        <v>537</v>
      </c>
      <c r="E537" s="106">
        <f t="shared" ca="1" si="11"/>
        <v>0</v>
      </c>
      <c r="G537" s="98" t="str">
        <f t="shared" si="12"/>
        <v>f_</v>
      </c>
      <c r="H537" s="98" t="str">
        <f t="shared" si="10"/>
        <v>i_</v>
      </c>
    </row>
    <row r="538" spans="4:8">
      <c r="D538" s="98">
        <v>538</v>
      </c>
      <c r="E538" s="106">
        <f t="shared" ca="1" si="11"/>
        <v>0</v>
      </c>
      <c r="G538" s="98" t="str">
        <f t="shared" si="12"/>
        <v>f_</v>
      </c>
      <c r="H538" s="98" t="str">
        <f t="shared" si="10"/>
        <v>i_</v>
      </c>
    </row>
    <row r="539" spans="4:8">
      <c r="D539" s="98">
        <v>539</v>
      </c>
      <c r="E539" s="106">
        <f t="shared" ca="1" si="11"/>
        <v>0</v>
      </c>
      <c r="G539" s="98" t="str">
        <f t="shared" si="12"/>
        <v>f_</v>
      </c>
      <c r="H539" s="98" t="str">
        <f t="shared" si="10"/>
        <v>i_</v>
      </c>
    </row>
    <row r="540" spans="4:8">
      <c r="D540" s="98">
        <v>540</v>
      </c>
      <c r="E540" s="106">
        <f t="shared" ca="1" si="11"/>
        <v>0</v>
      </c>
      <c r="G540" s="98" t="str">
        <f t="shared" si="12"/>
        <v>f_</v>
      </c>
      <c r="H540" s="98" t="str">
        <f t="shared" si="10"/>
        <v>i_</v>
      </c>
    </row>
    <row r="541" spans="4:8">
      <c r="D541" s="98">
        <v>541</v>
      </c>
      <c r="E541" s="106">
        <f t="shared" ca="1" si="11"/>
        <v>0</v>
      </c>
      <c r="G541" s="98" t="str">
        <f t="shared" si="12"/>
        <v>f_</v>
      </c>
      <c r="H541" s="98" t="str">
        <f t="shared" si="10"/>
        <v>i_</v>
      </c>
    </row>
    <row r="542" spans="4:8">
      <c r="D542" s="98">
        <v>542</v>
      </c>
      <c r="E542" s="106">
        <f t="shared" ca="1" si="11"/>
        <v>0</v>
      </c>
      <c r="G542" s="98" t="str">
        <f t="shared" si="12"/>
        <v>f_</v>
      </c>
      <c r="H542" s="98" t="str">
        <f t="shared" si="10"/>
        <v>i_</v>
      </c>
    </row>
  </sheetData>
  <pageMargins left="0.7" right="0.7" top="0.78740157499999996" bottom="0.78740157499999996" header="0.3" footer="0.3"/>
  <pageSetup paperSize="9" orientation="portrait" verticalDpi="12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FF0000"/>
  </sheetPr>
  <dimension ref="B3:M151"/>
  <sheetViews>
    <sheetView topLeftCell="A48" workbookViewId="0">
      <selection activeCell="E58" sqref="E58"/>
    </sheetView>
  </sheetViews>
  <sheetFormatPr baseColWidth="10" defaultColWidth="11.42578125" defaultRowHeight="12.75"/>
  <cols>
    <col min="1" max="1" width="20" style="1" customWidth="1"/>
    <col min="2" max="4" width="15.140625" style="1" customWidth="1"/>
    <col min="5" max="5" width="32.5703125" style="1" customWidth="1"/>
    <col min="6" max="13" width="15.140625" style="1" customWidth="1"/>
    <col min="14" max="16384" width="11.42578125" style="1"/>
  </cols>
  <sheetData>
    <row r="3" spans="2:13">
      <c r="B3" s="1" t="s">
        <v>979</v>
      </c>
    </row>
    <row r="5" spans="2:13" ht="15">
      <c r="B5" s="109" t="str">
        <f ca="1">Sprache!E395</f>
        <v>Variante A</v>
      </c>
      <c r="C5" s="109" t="str">
        <f ca="1">Sprache!E396</f>
        <v>Variante B</v>
      </c>
      <c r="D5" s="109" t="str">
        <f ca="1">Sprache!E397</f>
        <v>Variante C</v>
      </c>
      <c r="E5" s="109" t="str">
        <f ca="1">Sprache!E398</f>
        <v>Variante D</v>
      </c>
      <c r="F5" s="109" t="str">
        <f ca="1">Sprache!E399</f>
        <v>Variante E</v>
      </c>
      <c r="G5" s="109" t="str">
        <f ca="1">Sprache!E400</f>
        <v>Variante F</v>
      </c>
      <c r="H5" s="109" t="str">
        <f ca="1">Sprache!E401</f>
        <v>Variante G</v>
      </c>
      <c r="I5" s="109" t="str">
        <f ca="1">Sprache!E402</f>
        <v>Variante H</v>
      </c>
      <c r="J5" s="109" t="str">
        <f ca="1">Sprache!E403</f>
        <v>Variante I</v>
      </c>
      <c r="K5" s="325"/>
      <c r="L5" s="325"/>
      <c r="M5" s="325"/>
    </row>
    <row r="6" spans="2:13">
      <c r="B6" s="94"/>
      <c r="C6" s="94"/>
      <c r="D6" s="94"/>
      <c r="E6" s="94"/>
      <c r="F6" s="94"/>
      <c r="G6" s="94"/>
      <c r="H6" s="94"/>
      <c r="I6" s="94"/>
      <c r="J6" s="94"/>
    </row>
    <row r="7" spans="2:13">
      <c r="B7" s="1" t="s">
        <v>980</v>
      </c>
      <c r="E7" s="1" t="s">
        <v>352</v>
      </c>
      <c r="F7" s="1" t="s">
        <v>7</v>
      </c>
      <c r="G7" s="1" t="s">
        <v>1205</v>
      </c>
    </row>
    <row r="8" spans="2:13">
      <c r="G8" s="1" t="s">
        <v>1120</v>
      </c>
      <c r="H8" s="1" t="s">
        <v>1207</v>
      </c>
    </row>
    <row r="9" spans="2:13">
      <c r="B9" s="1" t="s">
        <v>982</v>
      </c>
      <c r="E9" s="64" t="str">
        <f ca="1">Sprache!E62</f>
        <v>Bitte wählen …</v>
      </c>
      <c r="F9" s="1">
        <v>0</v>
      </c>
      <c r="G9" s="1">
        <v>0</v>
      </c>
      <c r="H9" s="1">
        <v>0</v>
      </c>
    </row>
    <row r="10" spans="2:13">
      <c r="E10" s="64" t="str">
        <f ca="1">Sprache!E16</f>
        <v>Öl</v>
      </c>
      <c r="F10" s="1">
        <v>1</v>
      </c>
      <c r="G10" s="1">
        <v>0.8</v>
      </c>
      <c r="H10" s="1">
        <v>0.8</v>
      </c>
    </row>
    <row r="11" spans="2:13">
      <c r="E11" s="64" t="str">
        <f ca="1">Sprache!E17</f>
        <v>Erdgas</v>
      </c>
      <c r="F11" s="1">
        <v>2</v>
      </c>
      <c r="G11" s="1">
        <v>0.8</v>
      </c>
      <c r="H11" s="1">
        <v>0.8</v>
      </c>
    </row>
    <row r="12" spans="2:13">
      <c r="E12" s="64" t="str">
        <f ca="1">Sprache!E18</f>
        <v>Pellets</v>
      </c>
      <c r="F12" s="1">
        <v>3</v>
      </c>
      <c r="G12" s="1">
        <v>0.8</v>
      </c>
      <c r="H12" s="1">
        <v>0.8</v>
      </c>
    </row>
    <row r="13" spans="2:13">
      <c r="E13" s="64" t="str">
        <f ca="1">Sprache!E19</f>
        <v>Hackschnitzel  (ab 20 kW)</v>
      </c>
      <c r="F13" s="1">
        <v>4</v>
      </c>
      <c r="G13" s="1">
        <v>0.8</v>
      </c>
      <c r="H13" s="1">
        <v>0.8</v>
      </c>
    </row>
    <row r="14" spans="2:13">
      <c r="E14" s="64" t="str">
        <f ca="1">Sprache!E20</f>
        <v>WP (LW) (max. 200 kW)</v>
      </c>
      <c r="F14" s="1">
        <v>5</v>
      </c>
      <c r="G14" s="1">
        <v>0.6</v>
      </c>
      <c r="H14" s="1">
        <v>0.3</v>
      </c>
    </row>
    <row r="15" spans="2:13">
      <c r="E15" s="64" t="str">
        <f ca="1">Sprache!E21</f>
        <v>WP (WW)</v>
      </c>
      <c r="F15" s="1">
        <v>6</v>
      </c>
      <c r="G15" s="1">
        <v>0.6</v>
      </c>
      <c r="H15" s="1">
        <v>0.3</v>
      </c>
      <c r="J15" s="35"/>
      <c r="K15" s="35"/>
      <c r="L15" s="35"/>
    </row>
    <row r="16" spans="2:13">
      <c r="E16" s="64" t="str">
        <f ca="1">Sprache!E22</f>
        <v>WP (SW)</v>
      </c>
      <c r="F16" s="1">
        <v>7</v>
      </c>
      <c r="G16" s="1">
        <v>0.6</v>
      </c>
      <c r="H16" s="1">
        <v>0.3</v>
      </c>
    </row>
    <row r="17" spans="2:8">
      <c r="E17" s="64" t="str">
        <f ca="1">Sprache!E482</f>
        <v>WP (SW mit Absorber)</v>
      </c>
      <c r="F17" s="1">
        <v>14</v>
      </c>
      <c r="G17" s="1">
        <v>0.6</v>
      </c>
      <c r="H17" s="1">
        <v>0.3</v>
      </c>
    </row>
    <row r="18" spans="2:8">
      <c r="E18" s="64" t="str">
        <f ca="1">Sprache!E23</f>
        <v>WKK Anlage (Gas)</v>
      </c>
      <c r="F18" s="1">
        <v>8</v>
      </c>
      <c r="G18" s="1">
        <v>0.8</v>
      </c>
      <c r="H18" s="1">
        <v>0.8</v>
      </c>
    </row>
    <row r="19" spans="2:8">
      <c r="E19" s="64" t="str">
        <f ca="1">Sprache!E129</f>
        <v>Wärmenetz KVA</v>
      </c>
      <c r="F19" s="1">
        <v>10</v>
      </c>
      <c r="G19" s="1">
        <v>0.8</v>
      </c>
      <c r="H19" s="1">
        <v>0.8</v>
      </c>
    </row>
    <row r="20" spans="2:8">
      <c r="E20" s="64" t="str">
        <f ca="1">Sprache!E130</f>
        <v>Wärmenetz BHKW (Gas)</v>
      </c>
      <c r="F20" s="1">
        <v>11</v>
      </c>
      <c r="G20" s="1">
        <v>0.8</v>
      </c>
      <c r="H20" s="1">
        <v>0.8</v>
      </c>
    </row>
    <row r="21" spans="2:8">
      <c r="E21" s="64" t="str">
        <f ca="1">Sprache!E131</f>
        <v>Wärmenetz WP (Grundwasser)</v>
      </c>
      <c r="F21" s="1">
        <v>12</v>
      </c>
      <c r="G21" s="1">
        <v>0.8</v>
      </c>
      <c r="H21" s="1">
        <v>0.8</v>
      </c>
    </row>
    <row r="22" spans="2:8">
      <c r="E22" s="64" t="str">
        <f ca="1">Sprache!E132</f>
        <v>Wärmenetz Hackschnitzel</v>
      </c>
      <c r="F22" s="1">
        <v>13</v>
      </c>
      <c r="G22" s="1">
        <v>0.8</v>
      </c>
      <c r="H22" s="1">
        <v>0.8</v>
      </c>
    </row>
    <row r="25" spans="2:8">
      <c r="B25" s="1" t="s">
        <v>984</v>
      </c>
      <c r="E25" s="1" t="str">
        <f ca="1">Sprache!E404</f>
        <v>keine</v>
      </c>
      <c r="F25" s="1">
        <v>0</v>
      </c>
    </row>
    <row r="26" spans="2:8">
      <c r="E26" s="1" t="str">
        <f ca="1">Sprache!E405</f>
        <v>gering</v>
      </c>
      <c r="F26" s="1">
        <v>1</v>
      </c>
    </row>
    <row r="27" spans="2:8">
      <c r="E27" s="1" t="str">
        <f ca="1">Sprache!E406</f>
        <v>mittel</v>
      </c>
      <c r="F27" s="1">
        <v>2</v>
      </c>
    </row>
    <row r="28" spans="2:8">
      <c r="E28" s="1" t="str">
        <f ca="1">Sprache!E407</f>
        <v>aufwändig</v>
      </c>
      <c r="F28" s="1">
        <v>3</v>
      </c>
    </row>
    <row r="29" spans="2:8">
      <c r="E29" s="1" t="str">
        <f ca="1">Sprache!E444</f>
        <v>Benutzerdef.*</v>
      </c>
      <c r="F29" s="1">
        <v>4</v>
      </c>
    </row>
    <row r="30" spans="2:8">
      <c r="G30" s="7" t="s">
        <v>981</v>
      </c>
    </row>
    <row r="31" spans="2:8">
      <c r="B31" s="1" t="s">
        <v>125</v>
      </c>
      <c r="E31" s="1" t="str">
        <f ca="1">Sprache!E62</f>
        <v>Bitte wählen …</v>
      </c>
      <c r="F31" s="1">
        <v>0</v>
      </c>
      <c r="G31" s="1">
        <f ca="1">VLOOKUP(Projektdaten!E15,Auswahllisten!E31:F33,2,FALSE)</f>
        <v>2</v>
      </c>
    </row>
    <row r="32" spans="2:8">
      <c r="E32" s="1" t="str">
        <f ca="1">Sprache!E55</f>
        <v>Neubau</v>
      </c>
      <c r="F32" s="1">
        <v>1</v>
      </c>
    </row>
    <row r="33" spans="2:12">
      <c r="E33" s="1" t="str">
        <f ca="1">Sprache!E56</f>
        <v>Ersatz</v>
      </c>
      <c r="F33" s="1">
        <v>2</v>
      </c>
    </row>
    <row r="34" spans="2:12">
      <c r="G34" s="7" t="s">
        <v>981</v>
      </c>
    </row>
    <row r="35" spans="2:12">
      <c r="B35" s="1" t="s">
        <v>1325</v>
      </c>
      <c r="E35" s="1" t="str">
        <f ca="1">Sprache!$E$62</f>
        <v>Bitte wählen …</v>
      </c>
      <c r="F35" s="1">
        <v>0</v>
      </c>
      <c r="G35" s="1">
        <f ca="1">IFERROR(VLOOKUP(Projektdaten!E30,E35:F38,2,FALSE),0)</f>
        <v>0</v>
      </c>
    </row>
    <row r="36" spans="2:12">
      <c r="E36" s="1" t="str">
        <f ca="1">Sprache!$E$59</f>
        <v>Grenzwert SIA 380/1</v>
      </c>
      <c r="F36" s="1">
        <v>1</v>
      </c>
    </row>
    <row r="37" spans="2:12">
      <c r="E37" s="1" t="str">
        <f ca="1">Sprache!$E$60</f>
        <v>Minergie</v>
      </c>
      <c r="F37" s="1">
        <v>2</v>
      </c>
    </row>
    <row r="38" spans="2:12">
      <c r="E38" s="1" t="str">
        <f ca="1">Sprache!$E$61</f>
        <v>Minergie-P</v>
      </c>
      <c r="F38" s="1">
        <v>3</v>
      </c>
    </row>
    <row r="39" spans="2:12">
      <c r="G39" s="7" t="s">
        <v>981</v>
      </c>
    </row>
    <row r="40" spans="2:12" ht="15">
      <c r="B40" s="1" t="s">
        <v>1323</v>
      </c>
      <c r="E40" s="1" t="str">
        <f ca="1">Sprache!$E$62</f>
        <v>Bitte wählen …</v>
      </c>
      <c r="F40" s="1">
        <v>0</v>
      </c>
      <c r="G40" s="1">
        <f>IFERROR(VLOOKUP(Projektdaten!#REF!,Auswahllisten!E40:F43,2,FALSE),0)</f>
        <v>0</v>
      </c>
      <c r="J40" s="99" t="s">
        <v>1664</v>
      </c>
      <c r="K40" s="1" t="str">
        <f t="shared" ref="K40:K43" ca="1" si="0">E40</f>
        <v>Bitte wählen …</v>
      </c>
      <c r="L40" s="32" t="s">
        <v>28</v>
      </c>
    </row>
    <row r="41" spans="2:12">
      <c r="E41" s="1" t="str">
        <f ca="1">Sprache!$E$48</f>
        <v>Wohnen MFH</v>
      </c>
      <c r="F41" s="1">
        <v>1</v>
      </c>
      <c r="K41" s="1" t="str">
        <f t="shared" ca="1" si="0"/>
        <v>Wohnen MFH</v>
      </c>
      <c r="L41" s="1" t="s">
        <v>1635</v>
      </c>
    </row>
    <row r="42" spans="2:12">
      <c r="E42" s="1" t="str">
        <f ca="1">Sprache!$E$49</f>
        <v>Wohnen EFH</v>
      </c>
      <c r="F42" s="1">
        <v>2</v>
      </c>
      <c r="K42" s="1" t="str">
        <f t="shared" ca="1" si="0"/>
        <v>Wohnen EFH</v>
      </c>
      <c r="L42" s="1" t="s">
        <v>1634</v>
      </c>
    </row>
    <row r="43" spans="2:12">
      <c r="E43" s="1" t="str">
        <f ca="1">Sprache!$E$50</f>
        <v>Verwaltung</v>
      </c>
      <c r="F43" s="1">
        <v>3</v>
      </c>
      <c r="K43" s="1" t="str">
        <f t="shared" ca="1" si="0"/>
        <v>Verwaltung</v>
      </c>
      <c r="L43" s="1" t="s">
        <v>1639</v>
      </c>
    </row>
    <row r="45" spans="2:12">
      <c r="G45" s="7" t="s">
        <v>981</v>
      </c>
    </row>
    <row r="46" spans="2:12">
      <c r="B46" s="1" t="s">
        <v>1324</v>
      </c>
      <c r="E46" s="1" t="str">
        <f ca="1">Sprache!$E$62</f>
        <v>Bitte wählen …</v>
      </c>
      <c r="F46" s="1">
        <v>0</v>
      </c>
      <c r="G46" s="1">
        <f ca="1">IFERROR(VLOOKUP(Projektdaten!E28,Auswahllisten!E46:F48,2,FALSE),0)</f>
        <v>0</v>
      </c>
    </row>
    <row r="47" spans="2:12">
      <c r="E47" s="1" t="str">
        <f ca="1">Sprache!$E$154</f>
        <v>Daten vorhanden (z.B. SIA 380/1, SIA 384/2)</v>
      </c>
      <c r="F47" s="1">
        <v>1</v>
      </c>
    </row>
    <row r="48" spans="2:12">
      <c r="E48" s="1" t="str">
        <f ca="1">Sprache!$E$156</f>
        <v>Keine Daten vorhanden</v>
      </c>
      <c r="F48" s="1">
        <v>2</v>
      </c>
    </row>
    <row r="51" spans="2:7">
      <c r="G51" s="7" t="s">
        <v>981</v>
      </c>
    </row>
    <row r="52" spans="2:7">
      <c r="B52" s="1" t="s">
        <v>1326</v>
      </c>
      <c r="E52" s="1" t="str">
        <f ca="1">Sprache!E62</f>
        <v>Bitte wählen …</v>
      </c>
      <c r="F52" s="1">
        <v>0</v>
      </c>
      <c r="G52" s="1">
        <f ca="1">VLOOKUP(Projektdaten!E16,Auswahllisten!E52:F54,2,FALSE)</f>
        <v>2</v>
      </c>
    </row>
    <row r="53" spans="2:7">
      <c r="E53" s="1" t="str">
        <f ca="1">Sprache!$E$204</f>
        <v>ja</v>
      </c>
      <c r="F53" s="1">
        <v>1</v>
      </c>
    </row>
    <row r="54" spans="2:7">
      <c r="E54" s="1" t="str">
        <f ca="1">Sprache!$E$205</f>
        <v>nein</v>
      </c>
      <c r="F54" s="1">
        <v>2</v>
      </c>
    </row>
    <row r="57" spans="2:7">
      <c r="B57" s="1" t="s">
        <v>272</v>
      </c>
      <c r="E57" s="1" t="str">
        <f ca="1">Sprache!$E$62</f>
        <v>Bitte wählen …</v>
      </c>
    </row>
    <row r="58" spans="2:7">
      <c r="E58" s="1">
        <v>2025</v>
      </c>
    </row>
    <row r="59" spans="2:7">
      <c r="E59" s="1">
        <v>2024</v>
      </c>
    </row>
    <row r="60" spans="2:7">
      <c r="E60" s="1">
        <v>2023</v>
      </c>
    </row>
    <row r="61" spans="2:7">
      <c r="E61" s="1">
        <v>2022</v>
      </c>
    </row>
    <row r="62" spans="2:7">
      <c r="E62" s="1">
        <v>2021</v>
      </c>
    </row>
    <row r="63" spans="2:7">
      <c r="E63" s="1">
        <v>2020</v>
      </c>
    </row>
    <row r="64" spans="2:7">
      <c r="E64" s="1">
        <v>2019</v>
      </c>
    </row>
    <row r="65" spans="2:7">
      <c r="E65" s="1">
        <v>2018</v>
      </c>
    </row>
    <row r="66" spans="2:7">
      <c r="E66" s="1">
        <v>2017</v>
      </c>
    </row>
    <row r="67" spans="2:7">
      <c r="E67" s="1">
        <v>2016</v>
      </c>
    </row>
    <row r="68" spans="2:7">
      <c r="E68" s="1">
        <v>2015</v>
      </c>
    </row>
    <row r="69" spans="2:7">
      <c r="E69" s="1">
        <v>2014</v>
      </c>
    </row>
    <row r="70" spans="2:7">
      <c r="E70" s="1">
        <v>2013</v>
      </c>
    </row>
    <row r="71" spans="2:7">
      <c r="E71" s="1">
        <v>2012</v>
      </c>
    </row>
    <row r="72" spans="2:7">
      <c r="E72" s="1">
        <v>2011</v>
      </c>
    </row>
    <row r="73" spans="2:7">
      <c r="E73" s="1">
        <v>2010</v>
      </c>
    </row>
    <row r="75" spans="2:7">
      <c r="G75" s="7"/>
    </row>
    <row r="76" spans="2:7">
      <c r="B76" s="83"/>
    </row>
    <row r="80" spans="2:7">
      <c r="B80" s="1" t="s">
        <v>676</v>
      </c>
      <c r="E80" s="1" t="s">
        <v>201</v>
      </c>
      <c r="F80" s="1">
        <v>0</v>
      </c>
    </row>
    <row r="81" spans="2:13">
      <c r="E81" s="1" t="s">
        <v>175</v>
      </c>
      <c r="F81" s="1">
        <v>1</v>
      </c>
    </row>
    <row r="82" spans="2:13">
      <c r="H82" s="1" t="s">
        <v>709</v>
      </c>
    </row>
    <row r="83" spans="2:13">
      <c r="B83" s="1" t="s">
        <v>681</v>
      </c>
      <c r="E83" s="1" t="str">
        <f ca="1">Sprache!$E$276</f>
        <v>Osten</v>
      </c>
      <c r="F83" s="1">
        <v>1</v>
      </c>
      <c r="H83" s="16" t="s">
        <v>680</v>
      </c>
      <c r="I83" s="50"/>
      <c r="J83" s="91"/>
      <c r="K83" s="91" t="s">
        <v>715</v>
      </c>
      <c r="L83" s="91"/>
      <c r="M83" s="90"/>
    </row>
    <row r="84" spans="2:13">
      <c r="E84" s="1" t="str">
        <f ca="1">Sprache!$E$275</f>
        <v>Südosten</v>
      </c>
      <c r="F84" s="1">
        <v>2</v>
      </c>
      <c r="H84" s="16"/>
      <c r="I84" s="16" t="s">
        <v>682</v>
      </c>
      <c r="J84" s="16" t="s">
        <v>713</v>
      </c>
      <c r="K84" s="16" t="s">
        <v>683</v>
      </c>
      <c r="L84" s="16" t="s">
        <v>714</v>
      </c>
      <c r="M84" s="16" t="s">
        <v>686</v>
      </c>
    </row>
    <row r="85" spans="2:13">
      <c r="E85" s="1" t="str">
        <f ca="1">Sprache!$E$277</f>
        <v>Süden</v>
      </c>
      <c r="F85" s="1">
        <v>3</v>
      </c>
      <c r="H85" s="16" t="s">
        <v>710</v>
      </c>
      <c r="I85" s="16">
        <v>0.85</v>
      </c>
      <c r="J85" s="16">
        <v>0.85</v>
      </c>
      <c r="K85" s="16">
        <v>0.85</v>
      </c>
      <c r="L85" s="16">
        <v>0.85</v>
      </c>
      <c r="M85" s="16">
        <v>0.85</v>
      </c>
    </row>
    <row r="86" spans="2:13">
      <c r="E86" s="1" t="str">
        <f ca="1">Sprache!$E$285</f>
        <v>Südwesten</v>
      </c>
      <c r="F86" s="1">
        <v>4</v>
      </c>
      <c r="H86" s="16" t="s">
        <v>711</v>
      </c>
      <c r="I86" s="16">
        <v>0.85</v>
      </c>
      <c r="J86" s="16">
        <v>1</v>
      </c>
      <c r="K86" s="16">
        <v>1.05</v>
      </c>
      <c r="L86" s="16">
        <v>1</v>
      </c>
      <c r="M86" s="16">
        <v>0.85</v>
      </c>
    </row>
    <row r="87" spans="2:13">
      <c r="E87" s="1" t="str">
        <f ca="1">Sprache!$E$278</f>
        <v>Westen</v>
      </c>
      <c r="F87" s="1">
        <v>5</v>
      </c>
      <c r="H87" s="16" t="s">
        <v>712</v>
      </c>
      <c r="I87" s="16">
        <v>0.65</v>
      </c>
      <c r="J87" s="16">
        <v>0.75</v>
      </c>
      <c r="K87" s="16">
        <v>0.8</v>
      </c>
      <c r="L87" s="16">
        <v>0.75</v>
      </c>
      <c r="M87" s="16">
        <v>0.65</v>
      </c>
    </row>
    <row r="89" spans="2:13">
      <c r="B89" s="1" t="s">
        <v>684</v>
      </c>
      <c r="E89" s="1" t="str">
        <f ca="1">Sprache!$E$286</f>
        <v>0 (horizontal)</v>
      </c>
      <c r="F89" s="1">
        <v>1</v>
      </c>
    </row>
    <row r="90" spans="2:13">
      <c r="E90" s="1">
        <f ca="1">Sprache!$E$287</f>
        <v>45</v>
      </c>
      <c r="F90" s="1">
        <v>2</v>
      </c>
    </row>
    <row r="91" spans="2:13">
      <c r="E91" s="1" t="str">
        <f ca="1">Sprache!$E$288</f>
        <v>90 (senkrecht)</v>
      </c>
      <c r="F91" s="1">
        <v>3</v>
      </c>
    </row>
    <row r="94" spans="2:13">
      <c r="B94" s="1" t="s">
        <v>685</v>
      </c>
      <c r="E94" s="1" t="str">
        <f ca="1">Sprache!E62</f>
        <v>Bitte wählen …</v>
      </c>
      <c r="F94" s="1">
        <v>0</v>
      </c>
    </row>
    <row r="95" spans="2:13">
      <c r="E95" s="1" t="str">
        <f ca="1">Sprache!E279</f>
        <v>Standard</v>
      </c>
      <c r="F95" s="1">
        <v>1</v>
      </c>
    </row>
    <row r="101" spans="2:12">
      <c r="F101" s="1" t="s">
        <v>348</v>
      </c>
    </row>
    <row r="102" spans="2:12">
      <c r="B102" s="1" t="s">
        <v>822</v>
      </c>
      <c r="E102" s="1" t="str">
        <f ca="1">Sprache!E297</f>
        <v>Nutzung</v>
      </c>
      <c r="F102" s="1">
        <v>1</v>
      </c>
    </row>
    <row r="103" spans="2:12">
      <c r="E103" s="1" t="str">
        <f ca="1">Sprache!E298</f>
        <v>Personen</v>
      </c>
      <c r="F103" s="1">
        <v>2</v>
      </c>
      <c r="K103" s="7"/>
      <c r="L103" s="83"/>
    </row>
    <row r="104" spans="2:12">
      <c r="K104" s="7"/>
      <c r="L104" s="83"/>
    </row>
    <row r="105" spans="2:12">
      <c r="B105" s="1" t="s">
        <v>829</v>
      </c>
      <c r="E105" s="1" t="str">
        <f ca="1">Sprache!E62</f>
        <v>Bitte wählen …</v>
      </c>
      <c r="F105" s="1">
        <v>0</v>
      </c>
    </row>
    <row r="106" spans="2:12">
      <c r="E106" s="1" t="str">
        <f ca="1">Sprache!E307</f>
        <v>Warmwasser</v>
      </c>
      <c r="F106" s="1">
        <v>1</v>
      </c>
    </row>
    <row r="107" spans="2:12">
      <c r="E107" s="1" t="str">
        <f ca="1">Sprache!E308</f>
        <v>Heizung+Warmwasser</v>
      </c>
      <c r="F107" s="1">
        <v>2</v>
      </c>
    </row>
    <row r="109" spans="2:12">
      <c r="G109" s="7" t="s">
        <v>981</v>
      </c>
    </row>
    <row r="110" spans="2:12">
      <c r="B110" s="1" t="s">
        <v>1327</v>
      </c>
      <c r="E110" s="1" t="str">
        <f ca="1">Sprache!$E$62</f>
        <v>Bitte wählen …</v>
      </c>
      <c r="F110" s="1">
        <v>0</v>
      </c>
      <c r="G110" s="1">
        <f ca="1">IFERROR(VLOOKUP(Projektdaten!E18,Auswahllisten!E110:F113,2,FALSE),0)</f>
        <v>1</v>
      </c>
    </row>
    <row r="111" spans="2:12">
      <c r="E111" s="1" t="str">
        <f ca="1">Sprache!$E$48</f>
        <v>Wohnen MFH</v>
      </c>
      <c r="F111" s="1">
        <v>1</v>
      </c>
    </row>
    <row r="112" spans="2:12">
      <c r="E112" s="1" t="str">
        <f ca="1">Sprache!$E$49</f>
        <v>Wohnen EFH</v>
      </c>
      <c r="F112" s="1">
        <v>2</v>
      </c>
    </row>
    <row r="113" spans="2:7">
      <c r="E113" s="1" t="str">
        <f ca="1">Sprache!$E$50</f>
        <v>Verwaltung</v>
      </c>
      <c r="F113" s="1">
        <v>3</v>
      </c>
    </row>
    <row r="115" spans="2:7">
      <c r="G115" s="7" t="s">
        <v>981</v>
      </c>
    </row>
    <row r="116" spans="2:7">
      <c r="B116" s="1" t="s">
        <v>1328</v>
      </c>
      <c r="E116" s="1" t="str">
        <f ca="1">Sprache!$E$62</f>
        <v>Bitte wählen …</v>
      </c>
      <c r="F116" s="1">
        <v>0</v>
      </c>
      <c r="G116" s="1">
        <f ca="1">IFERROR(VLOOKUP(Projektdaten!E38,Auswahllisten!E116:F118,2,FALSE),0)</f>
        <v>2</v>
      </c>
    </row>
    <row r="117" spans="2:7">
      <c r="E117" s="1" t="str">
        <f ca="1">Sprache!$E$154</f>
        <v>Daten vorhanden (z.B. SIA 380/1, SIA 384/2)</v>
      </c>
      <c r="F117" s="1">
        <v>1</v>
      </c>
    </row>
    <row r="118" spans="2:7">
      <c r="E118" s="1" t="str">
        <f ca="1">Sprache!$E$155</f>
        <v>Verbrauchsdaten vorhanden</v>
      </c>
      <c r="F118" s="1">
        <v>2</v>
      </c>
    </row>
    <row r="121" spans="2:7">
      <c r="G121" s="7" t="s">
        <v>981</v>
      </c>
    </row>
    <row r="122" spans="2:7">
      <c r="B122" s="83" t="s">
        <v>1329</v>
      </c>
      <c r="E122" s="1" t="str">
        <f ca="1">Sprache!$E$62</f>
        <v>Bitte wählen …</v>
      </c>
      <c r="F122" s="1">
        <v>0</v>
      </c>
      <c r="G122" s="1">
        <f ca="1">IFERROR(VLOOKUP(Projektdaten!E39,Auswahllisten!E122:F124,2,FALSE),0)</f>
        <v>1</v>
      </c>
    </row>
    <row r="123" spans="2:7">
      <c r="E123" s="1" t="str">
        <f ca="1">Sprache!$E$204</f>
        <v>ja</v>
      </c>
      <c r="F123" s="1">
        <v>1</v>
      </c>
    </row>
    <row r="124" spans="2:7">
      <c r="E124" s="1" t="str">
        <f ca="1">Sprache!$E$205</f>
        <v>nein</v>
      </c>
      <c r="F124" s="1">
        <v>2</v>
      </c>
    </row>
    <row r="126" spans="2:7">
      <c r="G126" s="7" t="s">
        <v>981</v>
      </c>
    </row>
    <row r="127" spans="2:7">
      <c r="B127" s="1" t="s">
        <v>1332</v>
      </c>
      <c r="E127" s="1" t="str">
        <f ca="1">Sprache!$E$62</f>
        <v>Bitte wählen …</v>
      </c>
      <c r="F127" s="1">
        <v>0</v>
      </c>
      <c r="G127" s="1">
        <f ca="1">VLOOKUP(Projektdaten!E25,Auswahllisten!E127:F129,2,FALSE)</f>
        <v>0</v>
      </c>
    </row>
    <row r="128" spans="2:7">
      <c r="E128" s="1" t="str">
        <f ca="1">Sprache!$E$204</f>
        <v>ja</v>
      </c>
      <c r="F128" s="1">
        <v>1</v>
      </c>
    </row>
    <row r="129" spans="2:7">
      <c r="E129" s="1" t="str">
        <f ca="1">Sprache!$E$205</f>
        <v>nein</v>
      </c>
      <c r="F129" s="1">
        <v>2</v>
      </c>
    </row>
    <row r="131" spans="2:7">
      <c r="G131" s="7" t="s">
        <v>981</v>
      </c>
    </row>
    <row r="132" spans="2:7">
      <c r="B132" s="1" t="s">
        <v>1667</v>
      </c>
      <c r="F132" s="1">
        <v>0</v>
      </c>
      <c r="G132" s="1">
        <f ca="1">VLOOKUP(Standardwerte!G74,Auswahllisten!E132:F147,2,FALSE)</f>
        <v>7</v>
      </c>
    </row>
    <row r="133" spans="2:7">
      <c r="E133" s="1" t="s">
        <v>1629</v>
      </c>
      <c r="F133" s="1">
        <v>1</v>
      </c>
    </row>
    <row r="134" spans="2:7">
      <c r="E134" s="1" t="s">
        <v>1630</v>
      </c>
      <c r="F134" s="1">
        <v>2</v>
      </c>
    </row>
    <row r="135" spans="2:7">
      <c r="E135" s="1" t="s">
        <v>1631</v>
      </c>
      <c r="F135" s="1">
        <v>3</v>
      </c>
    </row>
    <row r="136" spans="2:7">
      <c r="E136" s="1" t="s">
        <v>1632</v>
      </c>
      <c r="F136" s="1">
        <v>4</v>
      </c>
    </row>
    <row r="137" spans="2:7">
      <c r="E137" s="1" t="s">
        <v>1633</v>
      </c>
      <c r="F137" s="1">
        <v>5</v>
      </c>
    </row>
    <row r="138" spans="2:7">
      <c r="E138" s="1" t="s">
        <v>1634</v>
      </c>
      <c r="F138" s="1">
        <v>6</v>
      </c>
    </row>
    <row r="139" spans="2:7">
      <c r="E139" s="1" t="s">
        <v>1635</v>
      </c>
      <c r="F139" s="1">
        <v>7</v>
      </c>
    </row>
    <row r="140" spans="2:7">
      <c r="E140" s="1" t="s">
        <v>1636</v>
      </c>
      <c r="F140" s="1">
        <v>8</v>
      </c>
    </row>
    <row r="141" spans="2:7">
      <c r="E141" s="1" t="s">
        <v>1637</v>
      </c>
      <c r="F141" s="1">
        <v>9</v>
      </c>
    </row>
    <row r="142" spans="2:7">
      <c r="E142" s="1" t="s">
        <v>1638</v>
      </c>
      <c r="F142" s="1">
        <v>10</v>
      </c>
    </row>
    <row r="143" spans="2:7">
      <c r="E143" s="1" t="s">
        <v>1639</v>
      </c>
      <c r="F143" s="1">
        <v>11</v>
      </c>
    </row>
    <row r="144" spans="2:7">
      <c r="E144" s="1" t="s">
        <v>1640</v>
      </c>
      <c r="F144" s="1">
        <v>12</v>
      </c>
    </row>
    <row r="145" spans="2:7">
      <c r="E145" s="1" t="s">
        <v>1641</v>
      </c>
      <c r="F145" s="1">
        <v>13</v>
      </c>
    </row>
    <row r="146" spans="2:7">
      <c r="E146" s="1" t="s">
        <v>1642</v>
      </c>
      <c r="F146" s="1">
        <v>14</v>
      </c>
    </row>
    <row r="147" spans="2:7">
      <c r="E147" s="1" t="s">
        <v>1643</v>
      </c>
      <c r="F147" s="1">
        <v>15</v>
      </c>
    </row>
    <row r="149" spans="2:7">
      <c r="G149" s="7" t="s">
        <v>981</v>
      </c>
    </row>
    <row r="150" spans="2:7" ht="14.25">
      <c r="B150" s="465" t="s">
        <v>1759</v>
      </c>
      <c r="E150" s="1" t="s">
        <v>1761</v>
      </c>
      <c r="F150" s="1">
        <v>1</v>
      </c>
      <c r="G150" s="7">
        <f>VLOOKUP(Energiepreise!H2,Auswahllisten!E150:F151,2,FALSE)</f>
        <v>0</v>
      </c>
    </row>
    <row r="151" spans="2:7">
      <c r="E151" s="1" t="s">
        <v>1760</v>
      </c>
      <c r="F151" s="1">
        <v>0</v>
      </c>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rgb="FFFF0000"/>
  </sheetPr>
  <dimension ref="B1:AL126"/>
  <sheetViews>
    <sheetView topLeftCell="A66" zoomScale="80" zoomScaleNormal="80" workbookViewId="0">
      <selection activeCell="U106" sqref="U106"/>
    </sheetView>
  </sheetViews>
  <sheetFormatPr baseColWidth="10" defaultColWidth="11.42578125" defaultRowHeight="12.75"/>
  <cols>
    <col min="1" max="1" width="4.140625" style="1" customWidth="1"/>
    <col min="2" max="2" width="28.5703125" style="1" customWidth="1"/>
    <col min="3" max="3" width="11.42578125" style="1" customWidth="1"/>
    <col min="4" max="4" width="11.85546875" style="1" customWidth="1"/>
    <col min="5" max="5" width="11.42578125" style="1" customWidth="1"/>
    <col min="6" max="6" width="15.140625" style="1" customWidth="1"/>
    <col min="7" max="7" width="14.85546875" style="1" customWidth="1"/>
    <col min="8" max="9" width="16.140625" style="1" customWidth="1"/>
    <col min="10" max="10" width="15.42578125" style="1" customWidth="1"/>
    <col min="11" max="11" width="16" style="1" customWidth="1"/>
    <col min="12" max="13" width="15" style="1" customWidth="1"/>
    <col min="14" max="15" width="11.42578125" style="1" customWidth="1"/>
    <col min="16" max="16" width="3.140625" style="1" customWidth="1"/>
    <col min="17" max="17" width="28.7109375" style="1" customWidth="1"/>
    <col min="18" max="19" width="11.42578125" style="1" customWidth="1"/>
    <col min="20" max="20" width="9.5703125" style="1" customWidth="1"/>
    <col min="21" max="30" width="11.42578125" style="1" customWidth="1"/>
    <col min="31" max="16384" width="11.42578125" style="1"/>
  </cols>
  <sheetData>
    <row r="1" spans="2:15" ht="15">
      <c r="B1"/>
      <c r="M1" s="50"/>
      <c r="N1" s="178" t="s">
        <v>1170</v>
      </c>
      <c r="O1" s="2"/>
    </row>
    <row r="2" spans="2:15" ht="12.75" customHeight="1">
      <c r="B2" s="6"/>
      <c r="C2" s="93" t="s">
        <v>7</v>
      </c>
      <c r="D2" s="18" t="s">
        <v>20</v>
      </c>
      <c r="E2" s="18" t="s">
        <v>21</v>
      </c>
      <c r="F2" s="618" t="s">
        <v>22</v>
      </c>
      <c r="G2" s="655"/>
      <c r="H2" s="13" t="s">
        <v>23</v>
      </c>
      <c r="I2" s="31" t="s">
        <v>1157</v>
      </c>
      <c r="J2" s="14"/>
      <c r="K2" s="31" t="s">
        <v>1158</v>
      </c>
      <c r="L2" s="14"/>
      <c r="M2" s="656" t="s">
        <v>22</v>
      </c>
      <c r="N2" s="657"/>
      <c r="O2" s="29" t="s">
        <v>23</v>
      </c>
    </row>
    <row r="3" spans="2:15" ht="14.25" customHeight="1">
      <c r="B3" s="3"/>
      <c r="C3" s="61"/>
      <c r="D3" s="30" t="s">
        <v>24</v>
      </c>
      <c r="E3" s="19" t="s">
        <v>25</v>
      </c>
      <c r="F3" s="29" t="s">
        <v>1168</v>
      </c>
      <c r="G3" s="18" t="s">
        <v>1167</v>
      </c>
      <c r="H3" s="18"/>
      <c r="I3" s="29" t="s">
        <v>167</v>
      </c>
      <c r="J3" s="29" t="s">
        <v>166</v>
      </c>
      <c r="K3" s="29" t="s">
        <v>167</v>
      </c>
      <c r="L3" s="29" t="s">
        <v>166</v>
      </c>
      <c r="M3" s="29" t="s">
        <v>1168</v>
      </c>
      <c r="N3" s="18" t="s">
        <v>1167</v>
      </c>
      <c r="O3" s="18"/>
    </row>
    <row r="4" spans="2:15" ht="14.25" customHeight="1">
      <c r="B4" s="51"/>
      <c r="C4" s="25"/>
      <c r="D4" s="18" t="s">
        <v>170</v>
      </c>
      <c r="E4" s="18" t="s">
        <v>26</v>
      </c>
      <c r="F4" s="18" t="s">
        <v>291</v>
      </c>
      <c r="G4" s="18" t="s">
        <v>291</v>
      </c>
      <c r="H4" s="18" t="s">
        <v>292</v>
      </c>
      <c r="I4" s="18" t="s">
        <v>169</v>
      </c>
      <c r="J4" s="18" t="s">
        <v>169</v>
      </c>
      <c r="K4" s="18" t="s">
        <v>169</v>
      </c>
      <c r="L4" s="18" t="s">
        <v>169</v>
      </c>
      <c r="M4" s="18" t="s">
        <v>291</v>
      </c>
      <c r="N4" s="18" t="s">
        <v>291</v>
      </c>
      <c r="O4" s="18" t="s">
        <v>292</v>
      </c>
    </row>
    <row r="5" spans="2:15" ht="14.25" customHeight="1">
      <c r="B5" s="51" t="s">
        <v>952</v>
      </c>
      <c r="C5" s="25">
        <v>0</v>
      </c>
      <c r="D5" s="18">
        <v>0</v>
      </c>
      <c r="E5" s="18">
        <v>0</v>
      </c>
      <c r="F5" s="18">
        <v>0</v>
      </c>
      <c r="G5" s="16">
        <v>0</v>
      </c>
      <c r="H5" s="18">
        <v>0</v>
      </c>
      <c r="I5" s="18">
        <v>0</v>
      </c>
      <c r="J5" s="18">
        <v>0</v>
      </c>
      <c r="K5" s="18">
        <v>0</v>
      </c>
      <c r="L5" s="18">
        <v>0</v>
      </c>
      <c r="M5" s="18">
        <v>0</v>
      </c>
      <c r="N5" s="16">
        <v>0</v>
      </c>
      <c r="O5" s="18">
        <v>0</v>
      </c>
    </row>
    <row r="6" spans="2:15" ht="14.25" customHeight="1">
      <c r="B6" s="50" t="s">
        <v>0</v>
      </c>
      <c r="C6" s="16">
        <v>1</v>
      </c>
      <c r="D6" s="16">
        <f>IF(Grundlagen!F7="",Grundlagen!G7,Grundlagen!F7)</f>
        <v>840</v>
      </c>
      <c r="E6" s="16">
        <f>IF(Grundlagen!H7="",Grundlagen!I7,Grundlagen!H7)</f>
        <v>12.5</v>
      </c>
      <c r="F6" s="16">
        <f>IF(Grundlagen!J7="",Grundlagen!K7,Grundlagen!J7)*1000</f>
        <v>265</v>
      </c>
      <c r="G6" s="16">
        <f>IF(Grundlagen!L7="",Grundlagen!M7,Grundlagen!L7)*1000</f>
        <v>324</v>
      </c>
      <c r="H6" s="16">
        <f>IF(Grundlagen!N7="",Grundlagen!O7,Grundlagen!N7)*1000</f>
        <v>409000</v>
      </c>
      <c r="I6" s="16">
        <f>IF(Grundlagen!V7="",Grundlagen!W7,Grundlagen!V7)</f>
        <v>0.78</v>
      </c>
      <c r="J6" s="16">
        <f>IF(Grundlagen!X7="",Grundlagen!Y7,Grundlagen!X7)</f>
        <v>0.91</v>
      </c>
      <c r="K6" s="16">
        <f>IF(Grundlagen!Z7="",Grundlagen!AA7,Grundlagen!Z7)</f>
        <v>0.78</v>
      </c>
      <c r="L6" s="16">
        <f>IF(Grundlagen!AB7="",Grundlagen!AC7,Grundlagen!AB7)</f>
        <v>0.88</v>
      </c>
      <c r="M6" s="179">
        <f>IF(Grundlagen!P7="",Grundlagen!Q7,Grundlagen!P7)*1000</f>
        <v>0</v>
      </c>
      <c r="N6" s="179">
        <f>IF(Grundlagen!R7="",Grundlagen!S7,Grundlagen!R7)*1000</f>
        <v>0</v>
      </c>
      <c r="O6" s="179">
        <f>IF(Grundlagen!T7="",Grundlagen!U7,Grundlagen!T7)*1000</f>
        <v>0</v>
      </c>
    </row>
    <row r="7" spans="2:15" ht="14.25" customHeight="1">
      <c r="B7" s="50" t="s">
        <v>14</v>
      </c>
      <c r="C7" s="16">
        <v>2</v>
      </c>
      <c r="D7" s="16">
        <f>IF(Grundlagen!F8="",Grundlagen!G8,Grundlagen!F8)</f>
        <v>0.8</v>
      </c>
      <c r="E7" s="16">
        <f>IF(Grundlagen!H8="",Grundlagen!I8,Grundlagen!H8)</f>
        <v>11.2</v>
      </c>
      <c r="F7" s="16">
        <f>IF(Grundlagen!J8="",Grundlagen!K8,Grundlagen!J8)*1000</f>
        <v>203</v>
      </c>
      <c r="G7" s="16">
        <f>IF(Grundlagen!L8="",Grundlagen!M8,Grundlagen!L8)*1000</f>
        <v>230</v>
      </c>
      <c r="H7" s="16">
        <f>IF(Grundlagen!N8="",Grundlagen!O8,Grundlagen!N8)*1000</f>
        <v>274000</v>
      </c>
      <c r="I7" s="16">
        <f>IF(Grundlagen!V8="",Grundlagen!W8,Grundlagen!V8)</f>
        <v>0.82</v>
      </c>
      <c r="J7" s="16">
        <f>IF(Grundlagen!X8="",Grundlagen!Y8,Grundlagen!X8)</f>
        <v>0.95</v>
      </c>
      <c r="K7" s="16">
        <f>IF(Grundlagen!Z8="",Grundlagen!AA8,Grundlagen!Z8)</f>
        <v>0.82</v>
      </c>
      <c r="L7" s="16">
        <f>IF(Grundlagen!AB8="",Grundlagen!AC8,Grundlagen!AB8)</f>
        <v>0.92</v>
      </c>
      <c r="M7" s="179">
        <f>IF(Grundlagen!P8="",Grundlagen!Q8,Grundlagen!P8)*1000</f>
        <v>0</v>
      </c>
      <c r="N7" s="179">
        <f>IF(Grundlagen!R8="",Grundlagen!S8,Grundlagen!R8)*1000</f>
        <v>124</v>
      </c>
      <c r="O7" s="179">
        <f>IF(Grundlagen!T8="",Grundlagen!U8,Grundlagen!T8)*1000</f>
        <v>155000</v>
      </c>
    </row>
    <row r="8" spans="2:15" ht="14.25" customHeight="1">
      <c r="B8" s="50" t="s">
        <v>1</v>
      </c>
      <c r="C8" s="16">
        <v>3</v>
      </c>
      <c r="D8" s="16">
        <f>IF(Grundlagen!F9="",Grundlagen!G9,Grundlagen!F9)</f>
        <v>660</v>
      </c>
      <c r="E8" s="16">
        <f>IF(Grundlagen!H9="",Grundlagen!I9,Grundlagen!H9)</f>
        <v>5.5</v>
      </c>
      <c r="F8" s="16">
        <f>IF(Grundlagen!J9="",Grundlagen!K9,Grundlagen!J9)*1000</f>
        <v>0</v>
      </c>
      <c r="G8" s="16">
        <f>IF(Grundlagen!L9="",Grundlagen!M9,Grundlagen!L9)*1000</f>
        <v>28</v>
      </c>
      <c r="H8" s="16">
        <f>IF(Grundlagen!N9="",Grundlagen!O9,Grundlagen!N9)*1000</f>
        <v>111000</v>
      </c>
      <c r="I8" s="16">
        <f>IF(Grundlagen!V9="",Grundlagen!W9,Grundlagen!V9)</f>
        <v>0.65</v>
      </c>
      <c r="J8" s="16">
        <f>IF(Grundlagen!X9="",Grundlagen!Y9,Grundlagen!X9)</f>
        <v>0.85</v>
      </c>
      <c r="K8" s="16">
        <f>IF(Grundlagen!Z9="",Grundlagen!AA9,Grundlagen!Z9)</f>
        <v>0.65</v>
      </c>
      <c r="L8" s="16">
        <f>IF(Grundlagen!AB9="",Grundlagen!AC9,Grundlagen!AB9)</f>
        <v>0.85</v>
      </c>
      <c r="M8" s="179">
        <f>IF(Grundlagen!P9="",Grundlagen!Q9,Grundlagen!P9)*1000</f>
        <v>0</v>
      </c>
      <c r="N8" s="179">
        <f>IF(Grundlagen!R9="",Grundlagen!S9,Grundlagen!R9)*1000</f>
        <v>0</v>
      </c>
      <c r="O8" s="179">
        <f>IF(Grundlagen!T9="",Grundlagen!U9,Grundlagen!T9)*1000</f>
        <v>0</v>
      </c>
    </row>
    <row r="9" spans="2:15" ht="14.25" customHeight="1">
      <c r="B9" s="50" t="s">
        <v>15</v>
      </c>
      <c r="C9" s="16">
        <v>4</v>
      </c>
      <c r="D9" s="16">
        <f>IF(Grundlagen!F10="",Grundlagen!G10,Grundlagen!F10)</f>
        <v>170</v>
      </c>
      <c r="E9" s="16">
        <f>IF(Grundlagen!H10="",Grundlagen!I10,Grundlagen!H10)</f>
        <v>5.5</v>
      </c>
      <c r="F9" s="16">
        <f>IF(Grundlagen!J10="",Grundlagen!K10,Grundlagen!J10)*1000</f>
        <v>0</v>
      </c>
      <c r="G9" s="16">
        <f>IF(Grundlagen!L10="",Grundlagen!M10,Grundlagen!L10)*1000</f>
        <v>11</v>
      </c>
      <c r="H9" s="16">
        <f>IF(Grundlagen!N10="",Grundlagen!O10,Grundlagen!N10)*1000</f>
        <v>115000</v>
      </c>
      <c r="I9" s="16">
        <f>IF(Grundlagen!V10="",Grundlagen!W10,Grundlagen!V10)</f>
        <v>0.55000000000000004</v>
      </c>
      <c r="J9" s="16">
        <f>IF(Grundlagen!X10="",Grundlagen!Y10,Grundlagen!X10)</f>
        <v>0.75</v>
      </c>
      <c r="K9" s="16">
        <f>IF(Grundlagen!Z10="",Grundlagen!AA10,Grundlagen!Z10)</f>
        <v>0.55000000000000004</v>
      </c>
      <c r="L9" s="16">
        <f>IF(Grundlagen!AB10="",Grundlagen!AC10,Grundlagen!AB10)</f>
        <v>0.75</v>
      </c>
      <c r="M9" s="179">
        <f>IF(Grundlagen!P10="",Grundlagen!Q10,Grundlagen!P10)*1000</f>
        <v>0</v>
      </c>
      <c r="N9" s="179">
        <f>IF(Grundlagen!R10="",Grundlagen!S10,Grundlagen!R10)*1000</f>
        <v>0</v>
      </c>
      <c r="O9" s="179">
        <f>IF(Grundlagen!T10="",Grundlagen!U10,Grundlagen!T10)*1000</f>
        <v>0</v>
      </c>
    </row>
    <row r="10" spans="2:15" ht="14.25" customHeight="1">
      <c r="B10" s="50" t="s">
        <v>141</v>
      </c>
      <c r="C10" s="16">
        <v>5</v>
      </c>
      <c r="D10" s="16">
        <f>IF(Grundlagen!F11="",Grundlagen!G11,Grundlagen!F11)</f>
        <v>0</v>
      </c>
      <c r="E10" s="16">
        <f>IF(Grundlagen!H11="",Grundlagen!I11,Grundlagen!H11)</f>
        <v>0</v>
      </c>
      <c r="F10" s="16">
        <f>IF(Grundlagen!J11="",Grundlagen!K11,Grundlagen!J11)*1000</f>
        <v>0</v>
      </c>
      <c r="G10" s="16">
        <f>IF(Grundlagen!L11="",Grundlagen!M11,Grundlagen!L11)*1000</f>
        <v>54</v>
      </c>
      <c r="H10" s="16">
        <f>IF(Grundlagen!N11="",Grundlagen!O11,Grundlagen!N11)*1000</f>
        <v>265000</v>
      </c>
      <c r="I10" s="16">
        <f>IF(Grundlagen!V11="",Grundlagen!W11,Grundlagen!V11)</f>
        <v>2.1</v>
      </c>
      <c r="J10" s="16">
        <f>IF(Grundlagen!X11="",Grundlagen!Y11,Grundlagen!X11)</f>
        <v>2.2999999999999998</v>
      </c>
      <c r="K10" s="16">
        <f>IF(Grundlagen!Z11="",Grundlagen!AA11,Grundlagen!Z11)</f>
        <v>2.1</v>
      </c>
      <c r="L10" s="16">
        <f>IF(Grundlagen!AB11="",Grundlagen!AC11,Grundlagen!AB11)</f>
        <v>2.2999999999999998</v>
      </c>
      <c r="M10" s="179">
        <f>IF(Grundlagen!P11="",Grundlagen!Q11,Grundlagen!P11)*1000</f>
        <v>0</v>
      </c>
      <c r="N10" s="179">
        <f>IF(Grundlagen!R11="",Grundlagen!S11,Grundlagen!R11)*1000</f>
        <v>0</v>
      </c>
      <c r="O10" s="179">
        <f>IF(Grundlagen!T11="",Grundlagen!U11,Grundlagen!T11)*1000</f>
        <v>0</v>
      </c>
    </row>
    <row r="11" spans="2:15" ht="14.25" customHeight="1">
      <c r="B11" s="50" t="s">
        <v>142</v>
      </c>
      <c r="C11" s="16">
        <v>6</v>
      </c>
      <c r="D11" s="16">
        <f>IF(Grundlagen!F12="",Grundlagen!G12,Grundlagen!F12)</f>
        <v>0</v>
      </c>
      <c r="E11" s="16">
        <f>IF(Grundlagen!H12="",Grundlagen!I12,Grundlagen!H12)</f>
        <v>0</v>
      </c>
      <c r="F11" s="16">
        <f>IF(Grundlagen!J12="",Grundlagen!K12,Grundlagen!J12)*1000</f>
        <v>0</v>
      </c>
      <c r="G11" s="16">
        <f>IF(Grundlagen!L12="",Grundlagen!M12,Grundlagen!L12)*1000</f>
        <v>54</v>
      </c>
      <c r="H11" s="16">
        <f>IF(Grundlagen!N12="",Grundlagen!O12,Grundlagen!N12)*1000</f>
        <v>265000</v>
      </c>
      <c r="I11" s="16">
        <f>IF(Grundlagen!V12="",Grundlagen!W12,Grundlagen!V12)</f>
        <v>2.9</v>
      </c>
      <c r="J11" s="16">
        <f>IF(Grundlagen!X12="",Grundlagen!Y12,Grundlagen!X12)</f>
        <v>3.1</v>
      </c>
      <c r="K11" s="16">
        <f>IF(Grundlagen!Z12="",Grundlagen!AA12,Grundlagen!Z12)</f>
        <v>2.5</v>
      </c>
      <c r="L11" s="16">
        <f>IF(Grundlagen!AB12="",Grundlagen!AC12,Grundlagen!AB12)</f>
        <v>2.7</v>
      </c>
      <c r="M11" s="179">
        <f>IF(Grundlagen!P12="",Grundlagen!Q12,Grundlagen!P12)*1000</f>
        <v>0</v>
      </c>
      <c r="N11" s="179">
        <f>IF(Grundlagen!R12="",Grundlagen!S12,Grundlagen!R12)*1000</f>
        <v>0</v>
      </c>
      <c r="O11" s="179">
        <f>IF(Grundlagen!T12="",Grundlagen!U12,Grundlagen!T12)*1000</f>
        <v>0</v>
      </c>
    </row>
    <row r="12" spans="2:15" ht="14.25" customHeight="1">
      <c r="B12" s="50" t="s">
        <v>143</v>
      </c>
      <c r="C12" s="16">
        <v>7</v>
      </c>
      <c r="D12" s="16">
        <f>IF(Grundlagen!F13="",Grundlagen!G13,Grundlagen!F13)</f>
        <v>0</v>
      </c>
      <c r="E12" s="16">
        <f>IF(Grundlagen!H13="",Grundlagen!I13,Grundlagen!H13)</f>
        <v>0</v>
      </c>
      <c r="F12" s="16">
        <f>IF(Grundlagen!J13="",Grundlagen!K13,Grundlagen!J13)*1000</f>
        <v>0</v>
      </c>
      <c r="G12" s="16">
        <f>IF(Grundlagen!L13="",Grundlagen!M13,Grundlagen!L13)*1000</f>
        <v>54</v>
      </c>
      <c r="H12" s="16">
        <f>IF(Grundlagen!N13="",Grundlagen!O13,Grundlagen!N13)*1000</f>
        <v>265000</v>
      </c>
      <c r="I12" s="16">
        <f>IF(Grundlagen!V13="",Grundlagen!W13,Grundlagen!V13)</f>
        <v>2.7</v>
      </c>
      <c r="J12" s="16">
        <f>IF(Grundlagen!X13="",Grundlagen!Y13,Grundlagen!X13)</f>
        <v>2.9</v>
      </c>
      <c r="K12" s="16">
        <f>IF(Grundlagen!Z13="",Grundlagen!AA13,Grundlagen!Z13)</f>
        <v>2.5</v>
      </c>
      <c r="L12" s="16">
        <f>IF(Grundlagen!AB13="",Grundlagen!AC13,Grundlagen!AB13)</f>
        <v>2.7</v>
      </c>
      <c r="M12" s="179">
        <f>IF(Grundlagen!P13="",Grundlagen!Q13,Grundlagen!P13)*1000</f>
        <v>0</v>
      </c>
      <c r="N12" s="179">
        <f>IF(Grundlagen!R13="",Grundlagen!S13,Grundlagen!R13)*1000</f>
        <v>0</v>
      </c>
      <c r="O12" s="179">
        <f>IF(Grundlagen!T13="",Grundlagen!U13,Grundlagen!T13)*1000</f>
        <v>0</v>
      </c>
    </row>
    <row r="13" spans="2:15" ht="14.25" customHeight="1">
      <c r="B13" s="50" t="s">
        <v>298</v>
      </c>
      <c r="C13" s="16">
        <v>10</v>
      </c>
      <c r="D13" s="16">
        <f>IF(Grundlagen!F15="",Grundlagen!G15,Grundlagen!F15)</f>
        <v>0</v>
      </c>
      <c r="E13" s="16">
        <f>IF(Grundlagen!H15="",Grundlagen!I15,Grundlagen!H15)</f>
        <v>0</v>
      </c>
      <c r="F13" s="16">
        <f>IF(Grundlagen!J15="",Grundlagen!K15,Grundlagen!J15)*1000</f>
        <v>0</v>
      </c>
      <c r="G13" s="16">
        <f>IF(Grundlagen!L15="",Grundlagen!M15,Grundlagen!L15)*1000</f>
        <v>3</v>
      </c>
      <c r="H13" s="16">
        <f>IF(Grundlagen!N15="",Grundlagen!O15,Grundlagen!N15)*1000</f>
        <v>11400</v>
      </c>
      <c r="I13" s="16">
        <f>IF(Grundlagen!V15="",Grundlagen!W15,Grundlagen!V15)</f>
        <v>0.98</v>
      </c>
      <c r="J13" s="16">
        <f>IF(Grundlagen!X15="",Grundlagen!Y15,Grundlagen!X15)</f>
        <v>0.99</v>
      </c>
      <c r="K13" s="16">
        <f>IF(Grundlagen!Z15="",Grundlagen!AA15,Grundlagen!Z15)</f>
        <v>0.98</v>
      </c>
      <c r="L13" s="16">
        <f>IF(Grundlagen!AB15="",Grundlagen!AC15,Grundlagen!AB15)</f>
        <v>0.99</v>
      </c>
      <c r="M13" s="179">
        <f>IF(Grundlagen!P15="",Grundlagen!Q15,Grundlagen!P15)*1000</f>
        <v>0</v>
      </c>
      <c r="N13" s="179">
        <f>IF(Grundlagen!R15="",Grundlagen!S15,Grundlagen!R15)*1000</f>
        <v>0</v>
      </c>
      <c r="O13" s="179">
        <f>IF(Grundlagen!T15="",Grundlagen!U15,Grundlagen!T15)*1000</f>
        <v>0</v>
      </c>
    </row>
    <row r="14" spans="2:15">
      <c r="B14" s="50" t="s">
        <v>299</v>
      </c>
      <c r="C14" s="16">
        <v>11</v>
      </c>
      <c r="D14" s="16">
        <f>IF(Grundlagen!F16="",Grundlagen!G16,Grundlagen!F16)</f>
        <v>0</v>
      </c>
      <c r="E14" s="16">
        <f>IF(Grundlagen!H16="",Grundlagen!I16,Grundlagen!H16)</f>
        <v>0</v>
      </c>
      <c r="F14" s="16">
        <f>IF(Grundlagen!J16="",Grundlagen!K16,Grundlagen!J16)*1000</f>
        <v>0</v>
      </c>
      <c r="G14" s="16">
        <f>IF(Grundlagen!L16="",Grundlagen!M16,Grundlagen!L16)*1000</f>
        <v>106</v>
      </c>
      <c r="H14" s="16">
        <f>IF(Grundlagen!N16="",Grundlagen!O16,Grundlagen!N16)*1000</f>
        <v>134000</v>
      </c>
      <c r="I14" s="16">
        <f>IF(Grundlagen!V16="",Grundlagen!W16,Grundlagen!V16)</f>
        <v>0.98</v>
      </c>
      <c r="J14" s="16">
        <f>IF(Grundlagen!X16="",Grundlagen!Y16,Grundlagen!X16)</f>
        <v>0.99</v>
      </c>
      <c r="K14" s="16">
        <f>IF(Grundlagen!Z16="",Grundlagen!AA16,Grundlagen!Z16)</f>
        <v>0.98</v>
      </c>
      <c r="L14" s="16">
        <f>IF(Grundlagen!AB16="",Grundlagen!AC16,Grundlagen!AB16)</f>
        <v>0.99</v>
      </c>
      <c r="M14" s="179">
        <f>IF(Grundlagen!P16="",Grundlagen!Q16,Grundlagen!P16)*1000</f>
        <v>0</v>
      </c>
      <c r="N14" s="179">
        <f>IF(Grundlagen!R16="",Grundlagen!S16,Grundlagen!R16)*1000</f>
        <v>0</v>
      </c>
      <c r="O14" s="179">
        <f>IF(Grundlagen!T16="",Grundlagen!U16,Grundlagen!T16)*1000</f>
        <v>0</v>
      </c>
    </row>
    <row r="15" spans="2:15">
      <c r="B15" s="50" t="s">
        <v>300</v>
      </c>
      <c r="C15" s="16">
        <v>12</v>
      </c>
      <c r="D15" s="16">
        <f>IF(Grundlagen!F17="",Grundlagen!G17,Grundlagen!F17)</f>
        <v>0</v>
      </c>
      <c r="E15" s="16">
        <f>IF(Grundlagen!H17="",Grundlagen!I17,Grundlagen!H17)</f>
        <v>0</v>
      </c>
      <c r="F15" s="16">
        <f>IF(Grundlagen!J17="",Grundlagen!K17,Grundlagen!J17)*1000</f>
        <v>0</v>
      </c>
      <c r="G15" s="16">
        <f>IF(Grundlagen!L17="",Grundlagen!M17,Grundlagen!L17)*1000</f>
        <v>56</v>
      </c>
      <c r="H15" s="16">
        <f>IF(Grundlagen!N17="",Grundlagen!O17,Grundlagen!N17)*1000</f>
        <v>208000</v>
      </c>
      <c r="I15" s="16">
        <f>IF(Grundlagen!V17="",Grundlagen!W17,Grundlagen!V17)</f>
        <v>0.98</v>
      </c>
      <c r="J15" s="16">
        <f>IF(Grundlagen!X17="",Grundlagen!Y17,Grundlagen!X17)</f>
        <v>0.99</v>
      </c>
      <c r="K15" s="16">
        <f>IF(Grundlagen!Z17="",Grundlagen!AA17,Grundlagen!Z17)</f>
        <v>0.98</v>
      </c>
      <c r="L15" s="16">
        <f>IF(Grundlagen!AB17="",Grundlagen!AC17,Grundlagen!AB17)</f>
        <v>0.99</v>
      </c>
      <c r="M15" s="179">
        <f>IF(Grundlagen!P17="",Grundlagen!Q17,Grundlagen!P17)*1000</f>
        <v>0</v>
      </c>
      <c r="N15" s="179">
        <f>IF(Grundlagen!R17="",Grundlagen!S17,Grundlagen!R17)*1000</f>
        <v>0</v>
      </c>
      <c r="O15" s="179">
        <f>IF(Grundlagen!T17="",Grundlagen!U17,Grundlagen!T17)*1000</f>
        <v>0</v>
      </c>
    </row>
    <row r="16" spans="2:15">
      <c r="B16" s="50" t="s">
        <v>301</v>
      </c>
      <c r="C16" s="16">
        <v>13</v>
      </c>
      <c r="D16" s="16">
        <f>IF(Grundlagen!F18="",Grundlagen!G18,Grundlagen!F18)</f>
        <v>0</v>
      </c>
      <c r="E16" s="16">
        <f>IF(Grundlagen!H18="",Grundlagen!I18,Grundlagen!H18)</f>
        <v>0</v>
      </c>
      <c r="F16" s="16">
        <f>IF(Grundlagen!J18="",Grundlagen!K18,Grundlagen!J18)*1000</f>
        <v>0</v>
      </c>
      <c r="G16" s="16">
        <f>IF(Grundlagen!L18="",Grundlagen!M18,Grundlagen!L18)*1000</f>
        <v>25</v>
      </c>
      <c r="H16" s="16">
        <f>IF(Grundlagen!N18="",Grundlagen!O18,Grundlagen!N18)*1000</f>
        <v>165000</v>
      </c>
      <c r="I16" s="16">
        <f>IF(Grundlagen!V18="",Grundlagen!W18,Grundlagen!V18)</f>
        <v>0.98</v>
      </c>
      <c r="J16" s="16">
        <f>IF(Grundlagen!X18="",Grundlagen!Y18,Grundlagen!X18)</f>
        <v>0.99</v>
      </c>
      <c r="K16" s="16">
        <f>IF(Grundlagen!Z18="",Grundlagen!AA18,Grundlagen!Z18)</f>
        <v>0.98</v>
      </c>
      <c r="L16" s="16">
        <f>IF(Grundlagen!AB18="",Grundlagen!AC18,Grundlagen!AB18)</f>
        <v>0.99</v>
      </c>
      <c r="M16" s="179">
        <f>IF(Grundlagen!P18="",Grundlagen!Q18,Grundlagen!P18)*1000</f>
        <v>0</v>
      </c>
      <c r="N16" s="179">
        <f>IF(Grundlagen!R18="",Grundlagen!S18,Grundlagen!R18)*1000</f>
        <v>0</v>
      </c>
      <c r="O16" s="179">
        <f>IF(Grundlagen!T18="",Grundlagen!U18,Grundlagen!T18)*1000</f>
        <v>0</v>
      </c>
    </row>
    <row r="17" spans="2:18">
      <c r="B17" s="50" t="s">
        <v>1082</v>
      </c>
      <c r="C17" s="16">
        <v>8</v>
      </c>
      <c r="D17" s="16">
        <f>IF(Grundlagen!F19="",Grundlagen!G19,Grundlagen!F19)</f>
        <v>0.8</v>
      </c>
      <c r="E17" s="16">
        <f>IF(Grundlagen!H19="",Grundlagen!I19,Grundlagen!H19)</f>
        <v>11.2</v>
      </c>
      <c r="F17" s="16">
        <f>IF(Grundlagen!J19="",Grundlagen!K19,Grundlagen!J19)*1000</f>
        <v>203</v>
      </c>
      <c r="G17" s="16">
        <f>IF(Grundlagen!L19="",Grundlagen!M19,Grundlagen!L19)*1000</f>
        <v>230</v>
      </c>
      <c r="H17" s="16">
        <f>IF(Grundlagen!N19="",Grundlagen!O19,Grundlagen!N19)*1000</f>
        <v>274000</v>
      </c>
      <c r="I17" s="16">
        <f>IF(Grundlagen!V19="",Grundlagen!W19,Grundlagen!V19)</f>
        <v>0.8</v>
      </c>
      <c r="J17" s="16">
        <f>IF(Grundlagen!X19="",Grundlagen!Y19,Grundlagen!X19)</f>
        <v>0.85</v>
      </c>
      <c r="K17" s="16">
        <f>IF(Grundlagen!Z19="",Grundlagen!AA19,Grundlagen!Z19)</f>
        <v>0.8</v>
      </c>
      <c r="L17" s="16">
        <f>IF(Grundlagen!AB19="",Grundlagen!AC19,Grundlagen!AB19)</f>
        <v>0.85</v>
      </c>
      <c r="M17" s="179">
        <f>IF(Grundlagen!P19="",Grundlagen!Q19,Grundlagen!P19)*1000</f>
        <v>0</v>
      </c>
      <c r="N17" s="179">
        <f>IF(Grundlagen!R19="",Grundlagen!S19,Grundlagen!R19)*1000</f>
        <v>124</v>
      </c>
      <c r="O17" s="179">
        <f>IF(Grundlagen!T19="",Grundlagen!U19,Grundlagen!T19)*1000</f>
        <v>155000</v>
      </c>
    </row>
    <row r="18" spans="2:18">
      <c r="B18" s="50" t="s">
        <v>1805</v>
      </c>
      <c r="C18" s="16">
        <v>14</v>
      </c>
      <c r="D18" s="16">
        <f>IF(Grundlagen!F14="",Grundlagen!G14,Grundlagen!F14)</f>
        <v>0</v>
      </c>
      <c r="E18" s="16">
        <f>IF(Grundlagen!H14="",Grundlagen!I14,Grundlagen!H14)</f>
        <v>0</v>
      </c>
      <c r="F18" s="16">
        <f>IF(Grundlagen!J14="",Grundlagen!K14,Grundlagen!J14)*1000</f>
        <v>0</v>
      </c>
      <c r="G18" s="16">
        <f>IF(Grundlagen!L14="",Grundlagen!M14,Grundlagen!L14)*1000</f>
        <v>54</v>
      </c>
      <c r="H18" s="16">
        <f>IF(Grundlagen!N14="",Grundlagen!O14,Grundlagen!N14)*1000</f>
        <v>265000</v>
      </c>
      <c r="I18" s="16">
        <f>IF(Grundlagen!V14="",Grundlagen!W14,Grundlagen!V14)</f>
        <v>2.7</v>
      </c>
      <c r="J18" s="16">
        <f>IF(Grundlagen!X14="",Grundlagen!Y14,Grundlagen!X14)</f>
        <v>2.9</v>
      </c>
      <c r="K18" s="16">
        <f>IF(Grundlagen!Z14="",Grundlagen!AA14,Grundlagen!Z14)</f>
        <v>2.5</v>
      </c>
      <c r="L18" s="16">
        <f>IF(Grundlagen!AB14="",Grundlagen!AC14,Grundlagen!AB14)</f>
        <v>2.7</v>
      </c>
      <c r="M18" s="179">
        <f>IF(Grundlagen!P14="",Grundlagen!Q14,Grundlagen!P14)*1000</f>
        <v>0</v>
      </c>
      <c r="N18" s="179">
        <f>IF(Grundlagen!R14="",Grundlagen!S14,Grundlagen!R14)*1000</f>
        <v>0</v>
      </c>
      <c r="O18" s="179">
        <f>IF(Grundlagen!T14="",Grundlagen!U14,Grundlagen!T14)*1000</f>
        <v>0</v>
      </c>
    </row>
    <row r="19" spans="2:18">
      <c r="B19" s="16"/>
      <c r="C19" s="16"/>
      <c r="D19" s="16"/>
      <c r="E19" s="16"/>
      <c r="F19" s="16"/>
      <c r="G19" s="16"/>
      <c r="H19" s="16"/>
      <c r="I19" s="16"/>
      <c r="J19" s="16"/>
      <c r="K19" s="16"/>
      <c r="L19" s="16"/>
      <c r="M19" s="179"/>
      <c r="N19" s="179"/>
      <c r="O19" s="179"/>
    </row>
    <row r="20" spans="2:18" ht="15">
      <c r="B20"/>
      <c r="C20" s="1">
        <v>1</v>
      </c>
      <c r="D20" s="1">
        <v>2</v>
      </c>
      <c r="E20" s="1">
        <v>3</v>
      </c>
      <c r="F20" s="1">
        <v>4</v>
      </c>
      <c r="G20" s="1">
        <f>F20+1</f>
        <v>5</v>
      </c>
      <c r="H20" s="1">
        <f t="shared" ref="H20:O20" si="0">G20+1</f>
        <v>6</v>
      </c>
      <c r="I20" s="1">
        <f t="shared" si="0"/>
        <v>7</v>
      </c>
      <c r="J20" s="1">
        <f t="shared" si="0"/>
        <v>8</v>
      </c>
      <c r="K20" s="1">
        <f t="shared" si="0"/>
        <v>9</v>
      </c>
      <c r="L20" s="1">
        <f t="shared" si="0"/>
        <v>10</v>
      </c>
      <c r="M20" s="1">
        <f t="shared" si="0"/>
        <v>11</v>
      </c>
      <c r="N20" s="1">
        <f t="shared" si="0"/>
        <v>12</v>
      </c>
      <c r="O20" s="1">
        <f t="shared" si="0"/>
        <v>13</v>
      </c>
    </row>
    <row r="21" spans="2:18" ht="15">
      <c r="B21"/>
    </row>
    <row r="22" spans="2:18" ht="15.75">
      <c r="B22" s="6"/>
      <c r="C22" s="18" t="s">
        <v>135</v>
      </c>
      <c r="D22" s="20" t="s">
        <v>134</v>
      </c>
      <c r="E22" s="18" t="s">
        <v>1334</v>
      </c>
      <c r="F22" s="6"/>
      <c r="G22" s="13" t="s">
        <v>159</v>
      </c>
      <c r="H22" s="20" t="s">
        <v>158</v>
      </c>
      <c r="K22" s="619" t="s">
        <v>868</v>
      </c>
      <c r="L22" s="654"/>
    </row>
    <row r="23" spans="2:18" ht="18.75" customHeight="1">
      <c r="B23" s="3"/>
      <c r="C23" s="18" t="s">
        <v>149</v>
      </c>
      <c r="D23" s="18" t="s">
        <v>150</v>
      </c>
      <c r="E23" s="18" t="s">
        <v>835</v>
      </c>
      <c r="F23" s="3"/>
      <c r="G23" s="24" t="s">
        <v>28</v>
      </c>
      <c r="H23" s="23" t="s">
        <v>28</v>
      </c>
      <c r="K23" s="19" t="s">
        <v>869</v>
      </c>
      <c r="L23" s="19" t="s">
        <v>203</v>
      </c>
    </row>
    <row r="24" spans="2:18" ht="15">
      <c r="B24" s="16" t="str">
        <f ca="1">Auswahllisten!E40</f>
        <v>Bitte wählen …</v>
      </c>
      <c r="C24" s="18">
        <v>0</v>
      </c>
      <c r="D24" s="18">
        <v>0</v>
      </c>
      <c r="E24" s="18">
        <v>0</v>
      </c>
      <c r="F24" s="16" t="str">
        <f ca="1">Auswahllisten!E35</f>
        <v>Bitte wählen …</v>
      </c>
      <c r="G24" s="16">
        <v>0</v>
      </c>
      <c r="H24" s="16">
        <v>0</v>
      </c>
      <c r="K24" s="114" t="s">
        <v>28</v>
      </c>
      <c r="L24" s="114" t="s">
        <v>28</v>
      </c>
    </row>
    <row r="25" spans="2:18">
      <c r="B25" s="16" t="str">
        <f ca="1">Auswahllisten!E41</f>
        <v>Wohnen MFH</v>
      </c>
      <c r="C25" s="18">
        <f>IF(Grundlagen!E29="",Grundlagen!F29,Grundlagen!E29)</f>
        <v>23</v>
      </c>
      <c r="D25" s="18">
        <f>IF(Grundlagen!G29="",Grundlagen!H29,Grundlagen!G29)</f>
        <v>32</v>
      </c>
      <c r="E25" s="18">
        <v>21</v>
      </c>
      <c r="F25" s="16" t="str">
        <f ca="1">Auswahllisten!E36</f>
        <v>Grenzwert SIA 380/1</v>
      </c>
      <c r="G25" s="16">
        <f>IF(Grundlagen!M29="",Grundlagen!N29,Grundlagen!M29)</f>
        <v>1</v>
      </c>
      <c r="H25" s="16">
        <f>IF(Grundlagen!O29="",Grundlagen!P29,Grundlagen!O29)</f>
        <v>1</v>
      </c>
      <c r="K25" s="18"/>
      <c r="L25" s="18"/>
    </row>
    <row r="26" spans="2:18">
      <c r="B26" s="16" t="str">
        <f ca="1">Auswahllisten!E42</f>
        <v>Wohnen EFH</v>
      </c>
      <c r="C26" s="18">
        <f>IF(Grundlagen!E30="",Grundlagen!F30,Grundlagen!E30)</f>
        <v>24</v>
      </c>
      <c r="D26" s="18">
        <f>IF(Grundlagen!G30="",Grundlagen!H30,Grundlagen!G30)</f>
        <v>38</v>
      </c>
      <c r="E26" s="18">
        <v>14</v>
      </c>
      <c r="F26" s="16" t="str">
        <f ca="1">Auswahllisten!E37</f>
        <v>Minergie</v>
      </c>
      <c r="G26" s="16">
        <f>IF(Grundlagen!M30="",Grundlagen!N30,Grundlagen!M30)</f>
        <v>0.9</v>
      </c>
      <c r="H26" s="16">
        <f>IF(Grundlagen!O30="",Grundlagen!P30,Grundlagen!O30)</f>
        <v>0.95</v>
      </c>
      <c r="K26" s="76">
        <f>IF(Grundlagen!K39="",Grundlagen!L39,Grundlagen!K39)</f>
        <v>1</v>
      </c>
      <c r="L26" s="76">
        <f>IF(Grundlagen!M39="",Grundlagen!N39,Grundlagen!M39)</f>
        <v>1</v>
      </c>
    </row>
    <row r="27" spans="2:18">
      <c r="B27" s="16" t="str">
        <f ca="1">Auswahllisten!E43</f>
        <v>Verwaltung</v>
      </c>
      <c r="C27" s="18">
        <f>IF(Grundlagen!E31="",Grundlagen!F31,Grundlagen!E31)</f>
        <v>20</v>
      </c>
      <c r="D27" s="18">
        <f>IF(Grundlagen!G31="",Grundlagen!H31,Grundlagen!G31)</f>
        <v>13</v>
      </c>
      <c r="E27" s="18">
        <v>7</v>
      </c>
      <c r="F27" s="16" t="str">
        <f ca="1">Auswahllisten!E38</f>
        <v>Minergie-P</v>
      </c>
      <c r="G27" s="16">
        <f>IF(Grundlagen!M31="",Grundlagen!N31,Grundlagen!M31)</f>
        <v>0.6</v>
      </c>
      <c r="H27" s="16">
        <f>IF(Grundlagen!O31="",Grundlagen!P31,Grundlagen!O31)</f>
        <v>0.8</v>
      </c>
    </row>
    <row r="28" spans="2:18" ht="15">
      <c r="B28"/>
    </row>
    <row r="29" spans="2:18" ht="15">
      <c r="B29"/>
    </row>
    <row r="30" spans="2:18" ht="15">
      <c r="B30"/>
    </row>
    <row r="31" spans="2:18" ht="15">
      <c r="B31"/>
      <c r="K31" s="35"/>
    </row>
    <row r="32" spans="2:18" ht="15">
      <c r="B32" s="6" t="s">
        <v>121</v>
      </c>
      <c r="C32" s="93" t="s">
        <v>7</v>
      </c>
      <c r="D32" s="14"/>
      <c r="E32" s="50" t="s">
        <v>1083</v>
      </c>
      <c r="F32" s="34"/>
      <c r="G32" s="34"/>
      <c r="H32" s="2"/>
      <c r="I32" s="16"/>
      <c r="J32" s="16" t="s">
        <v>316</v>
      </c>
      <c r="K32" s="18"/>
      <c r="L32" s="50" t="s">
        <v>1083</v>
      </c>
      <c r="M32" s="2"/>
      <c r="P32"/>
      <c r="R32"/>
    </row>
    <row r="33" spans="2:18" ht="15">
      <c r="B33" s="3"/>
      <c r="C33" s="61"/>
      <c r="D33" s="14"/>
      <c r="E33" s="13" t="s">
        <v>185</v>
      </c>
      <c r="F33" s="13" t="s">
        <v>186</v>
      </c>
      <c r="G33" s="13" t="s">
        <v>1191</v>
      </c>
      <c r="H33" s="13" t="s">
        <v>1806</v>
      </c>
      <c r="I33" s="18"/>
      <c r="J33" s="19"/>
      <c r="K33" s="19"/>
      <c r="L33" s="52" t="s">
        <v>1012</v>
      </c>
      <c r="M33" s="52" t="s">
        <v>948</v>
      </c>
      <c r="N33" s="21"/>
      <c r="O33" s="21"/>
      <c r="P33" s="21"/>
      <c r="R33" s="21"/>
    </row>
    <row r="34" spans="2:18" ht="15">
      <c r="B34" s="3"/>
      <c r="C34" s="61"/>
      <c r="D34" s="18"/>
      <c r="E34" s="13" t="s">
        <v>192</v>
      </c>
      <c r="F34" s="13" t="s">
        <v>192</v>
      </c>
      <c r="G34" s="13" t="s">
        <v>192</v>
      </c>
      <c r="H34" s="13" t="s">
        <v>192</v>
      </c>
      <c r="I34" s="18"/>
      <c r="J34" s="19" t="s">
        <v>317</v>
      </c>
      <c r="K34" s="18"/>
      <c r="L34" s="114" t="s">
        <v>192</v>
      </c>
      <c r="M34" s="19" t="s">
        <v>192</v>
      </c>
      <c r="N34" s="21"/>
      <c r="O34" s="21"/>
      <c r="P34" s="21"/>
      <c r="R34" s="21"/>
    </row>
    <row r="35" spans="2:18">
      <c r="B35" s="16" t="s">
        <v>952</v>
      </c>
      <c r="C35" s="16">
        <v>0</v>
      </c>
      <c r="D35" s="2"/>
      <c r="E35" s="432">
        <v>0</v>
      </c>
      <c r="F35" s="432">
        <v>0</v>
      </c>
      <c r="G35" s="432">
        <v>0</v>
      </c>
      <c r="H35" s="432">
        <v>0</v>
      </c>
      <c r="I35" s="2"/>
      <c r="J35" s="171">
        <v>0</v>
      </c>
      <c r="K35" s="2"/>
      <c r="L35" s="171">
        <v>0</v>
      </c>
      <c r="M35" s="171">
        <v>0</v>
      </c>
      <c r="N35" s="35"/>
      <c r="O35" s="35"/>
      <c r="P35" s="35"/>
      <c r="R35" s="35"/>
    </row>
    <row r="36" spans="2:18">
      <c r="B36" s="50" t="s">
        <v>0</v>
      </c>
      <c r="C36" s="16">
        <v>1</v>
      </c>
      <c r="D36" s="2"/>
      <c r="E36" s="16">
        <f>IF(Grundlagen!H49="",Grundlagen!I49,Grundlagen!H49)</f>
        <v>20</v>
      </c>
      <c r="F36" s="16">
        <f>IF(Grundlagen!J49="",Grundlagen!K49,Grundlagen!J49)</f>
        <v>50</v>
      </c>
      <c r="G36" s="16">
        <f>IF(Grundlagen!L49="",Grundlagen!M49,Grundlagen!L49)</f>
        <v>25</v>
      </c>
      <c r="H36" s="16">
        <f>IF(Grundlagen!N49="",Grundlagen!O49,Grundlagen!N49)</f>
        <v>0</v>
      </c>
      <c r="I36" s="2"/>
      <c r="J36" s="16">
        <f>IF(Grundlagen!F49="",Grundlagen!G49,Grundlagen!F49)</f>
        <v>120</v>
      </c>
      <c r="K36" s="2"/>
      <c r="L36" s="16">
        <f>IF(Grundlagen!P49="",Grundlagen!Q49,Grundlagen!P49)</f>
        <v>30</v>
      </c>
      <c r="M36" s="16">
        <f>IF(Grundlagen!R49="",Grundlagen!S49,Grundlagen!R49)</f>
        <v>50</v>
      </c>
    </row>
    <row r="37" spans="2:18">
      <c r="B37" s="50" t="s">
        <v>14</v>
      </c>
      <c r="C37" s="16">
        <v>2</v>
      </c>
      <c r="D37" s="2"/>
      <c r="E37" s="16">
        <f>IF(Grundlagen!H50="",Grundlagen!I50,Grundlagen!H50)</f>
        <v>20</v>
      </c>
      <c r="F37" s="16">
        <f>IF(Grundlagen!J50="",Grundlagen!K50,Grundlagen!J50)</f>
        <v>50</v>
      </c>
      <c r="G37" s="16">
        <f>IF(Grundlagen!L50="",Grundlagen!M50,Grundlagen!L50)</f>
        <v>0</v>
      </c>
      <c r="H37" s="16">
        <f>IF(Grundlagen!N50="",Grundlagen!O50,Grundlagen!N50)</f>
        <v>0</v>
      </c>
      <c r="I37" s="2"/>
      <c r="J37" s="16">
        <f>IF(Grundlagen!F50="",Grundlagen!G50,Grundlagen!F50)</f>
        <v>120</v>
      </c>
      <c r="K37" s="2"/>
      <c r="L37" s="16">
        <f>IF(Grundlagen!P50="",Grundlagen!Q50,Grundlagen!P50)</f>
        <v>30</v>
      </c>
      <c r="M37" s="16">
        <f>IF(Grundlagen!R50="",Grundlagen!S50,Grundlagen!R50)</f>
        <v>50</v>
      </c>
    </row>
    <row r="38" spans="2:18">
      <c r="B38" s="50" t="s">
        <v>1</v>
      </c>
      <c r="C38" s="16">
        <v>3</v>
      </c>
      <c r="D38" s="2"/>
      <c r="E38" s="16">
        <f>IF(Grundlagen!H51="",Grundlagen!I51,Grundlagen!H51)</f>
        <v>20</v>
      </c>
      <c r="F38" s="16">
        <f>IF(Grundlagen!J51="",Grundlagen!K51,Grundlagen!J51)</f>
        <v>50</v>
      </c>
      <c r="G38" s="16">
        <f>IF(Grundlagen!L51="",Grundlagen!M51,Grundlagen!L51)</f>
        <v>20</v>
      </c>
      <c r="H38" s="16">
        <f>IF(Grundlagen!N51="",Grundlagen!O51,Grundlagen!N51)</f>
        <v>0</v>
      </c>
      <c r="I38" s="2"/>
      <c r="J38" s="16">
        <f>IF(Grundlagen!F51="",Grundlagen!G51,Grundlagen!F51)</f>
        <v>0</v>
      </c>
      <c r="K38" s="2"/>
      <c r="L38" s="16">
        <f>IF(Grundlagen!P51="",Grundlagen!Q51,Grundlagen!P51)</f>
        <v>30</v>
      </c>
      <c r="M38" s="16">
        <f>IF(Grundlagen!R51="",Grundlagen!S51,Grundlagen!R51)</f>
        <v>50</v>
      </c>
    </row>
    <row r="39" spans="2:18">
      <c r="B39" s="50" t="s">
        <v>15</v>
      </c>
      <c r="C39" s="16">
        <v>4</v>
      </c>
      <c r="D39" s="2"/>
      <c r="E39" s="16">
        <f>IF(Grundlagen!H52="",Grundlagen!I52,Grundlagen!H52)</f>
        <v>15</v>
      </c>
      <c r="F39" s="16">
        <f>IF(Grundlagen!J52="",Grundlagen!K52,Grundlagen!J52)</f>
        <v>50</v>
      </c>
      <c r="G39" s="16">
        <f>IF(Grundlagen!L52="",Grundlagen!M52,Grundlagen!L52)</f>
        <v>20</v>
      </c>
      <c r="H39" s="16">
        <f>IF(Grundlagen!N52="",Grundlagen!O52,Grundlagen!N52)</f>
        <v>0</v>
      </c>
      <c r="I39" s="2"/>
      <c r="J39" s="16">
        <f>IF(Grundlagen!F52="",Grundlagen!G52,Grundlagen!F52)</f>
        <v>0</v>
      </c>
      <c r="K39" s="2"/>
      <c r="L39" s="16">
        <f>IF(Grundlagen!P52="",Grundlagen!Q52,Grundlagen!P52)</f>
        <v>30</v>
      </c>
      <c r="M39" s="16">
        <f>IF(Grundlagen!R52="",Grundlagen!S52,Grundlagen!R52)</f>
        <v>50</v>
      </c>
    </row>
    <row r="40" spans="2:18">
      <c r="B40" s="50" t="s">
        <v>141</v>
      </c>
      <c r="C40" s="16">
        <v>5</v>
      </c>
      <c r="D40" s="2"/>
      <c r="E40" s="16">
        <f>IF(Grundlagen!H53="",Grundlagen!I53,Grundlagen!H53)</f>
        <v>18</v>
      </c>
      <c r="F40" s="16">
        <f>IF(Grundlagen!J53="",Grundlagen!K53,Grundlagen!J53)</f>
        <v>0</v>
      </c>
      <c r="G40" s="16">
        <f>IF(Grundlagen!L53="",Grundlagen!M53,Grundlagen!L53)</f>
        <v>0</v>
      </c>
      <c r="H40" s="16">
        <f>IF(Grundlagen!N53="",Grundlagen!O53,Grundlagen!N53)</f>
        <v>0</v>
      </c>
      <c r="I40" s="2"/>
      <c r="J40" s="16">
        <f>IF(Grundlagen!F53="",Grundlagen!G53,Grundlagen!F53)</f>
        <v>0</v>
      </c>
      <c r="K40" s="2"/>
      <c r="L40" s="16">
        <f>IF(Grundlagen!P53="",Grundlagen!Q53,Grundlagen!P53)</f>
        <v>30</v>
      </c>
      <c r="M40" s="16">
        <f>IF(Grundlagen!R53="",Grundlagen!S53,Grundlagen!R53)</f>
        <v>50</v>
      </c>
    </row>
    <row r="41" spans="2:18">
      <c r="B41" s="50" t="s">
        <v>142</v>
      </c>
      <c r="C41" s="16">
        <v>6</v>
      </c>
      <c r="D41" s="2"/>
      <c r="E41" s="16">
        <f>IF(Grundlagen!H54="",Grundlagen!I54,Grundlagen!H54)</f>
        <v>20</v>
      </c>
      <c r="F41" s="16">
        <f>IF(Grundlagen!J54="",Grundlagen!K54,Grundlagen!J54)</f>
        <v>0</v>
      </c>
      <c r="G41" s="223">
        <f>H41</f>
        <v>30</v>
      </c>
      <c r="H41" s="16">
        <f>IF(Grundlagen!N54="",Grundlagen!O54,Grundlagen!N54)</f>
        <v>30</v>
      </c>
      <c r="I41" s="2"/>
      <c r="J41" s="16">
        <f>IF(Grundlagen!F54="",Grundlagen!G54,Grundlagen!F54)</f>
        <v>0</v>
      </c>
      <c r="K41" s="2"/>
      <c r="L41" s="16">
        <f>IF(Grundlagen!P54="",Grundlagen!Q54,Grundlagen!P54)</f>
        <v>30</v>
      </c>
      <c r="M41" s="16">
        <f>IF(Grundlagen!R54="",Grundlagen!S54,Grundlagen!R54)</f>
        <v>50</v>
      </c>
    </row>
    <row r="42" spans="2:18">
      <c r="B42" s="50" t="s">
        <v>143</v>
      </c>
      <c r="C42" s="16">
        <v>7</v>
      </c>
      <c r="D42" s="2"/>
      <c r="E42" s="16">
        <f>IF(Grundlagen!H55="",Grundlagen!I55,Grundlagen!H55)</f>
        <v>20</v>
      </c>
      <c r="F42" s="16">
        <f>IF(Grundlagen!J55="",Grundlagen!K55,Grundlagen!J55)</f>
        <v>0</v>
      </c>
      <c r="G42" s="223">
        <f>H42</f>
        <v>30</v>
      </c>
      <c r="H42" s="16">
        <f>IF(Grundlagen!N55="",Grundlagen!O55,Grundlagen!N55)</f>
        <v>30</v>
      </c>
      <c r="I42" s="2"/>
      <c r="J42" s="16">
        <f>IF(Grundlagen!F55="",Grundlagen!G55,Grundlagen!F55)</f>
        <v>0</v>
      </c>
      <c r="K42" s="2"/>
      <c r="L42" s="16">
        <f>IF(Grundlagen!P55="",Grundlagen!Q55,Grundlagen!P55)</f>
        <v>30</v>
      </c>
      <c r="M42" s="16">
        <f>IF(Grundlagen!R55="",Grundlagen!S55,Grundlagen!R55)</f>
        <v>50</v>
      </c>
    </row>
    <row r="43" spans="2:18">
      <c r="B43" s="50" t="s">
        <v>298</v>
      </c>
      <c r="C43" s="16">
        <v>10</v>
      </c>
      <c r="D43" s="2"/>
      <c r="E43" s="16">
        <f>IF(Grundlagen!H57="",Grundlagen!I57,Grundlagen!H57)</f>
        <v>20</v>
      </c>
      <c r="F43" s="16">
        <f>IF(Grundlagen!J57="",Grundlagen!K57,Grundlagen!J57)</f>
        <v>0</v>
      </c>
      <c r="G43" s="16">
        <f>IF(Grundlagen!L57="",Grundlagen!M57,Grundlagen!L57)</f>
        <v>0</v>
      </c>
      <c r="H43" s="16">
        <f>IF(Grundlagen!N57="",Grundlagen!O57,Grundlagen!N57)</f>
        <v>0</v>
      </c>
      <c r="I43" s="2"/>
      <c r="J43" s="16">
        <f>IF(Grundlagen!F57="",Grundlagen!G57,Grundlagen!F57)</f>
        <v>0</v>
      </c>
      <c r="K43" s="2"/>
      <c r="L43" s="16">
        <f>IF(Grundlagen!P57="",Grundlagen!Q57,Grundlagen!P57)</f>
        <v>30</v>
      </c>
      <c r="M43" s="16">
        <f>IF(Grundlagen!R57="",Grundlagen!S57,Grundlagen!R57)</f>
        <v>50</v>
      </c>
    </row>
    <row r="44" spans="2:18">
      <c r="B44" s="50" t="s">
        <v>299</v>
      </c>
      <c r="C44" s="16">
        <v>11</v>
      </c>
      <c r="D44" s="2"/>
      <c r="E44" s="16">
        <f>IF(Grundlagen!H58="",Grundlagen!I58,Grundlagen!H58)</f>
        <v>20</v>
      </c>
      <c r="F44" s="16">
        <f>IF(Grundlagen!J58="",Grundlagen!K58,Grundlagen!J58)</f>
        <v>0</v>
      </c>
      <c r="G44" s="16">
        <f>IF(Grundlagen!L58="",Grundlagen!M58,Grundlagen!L58)</f>
        <v>0</v>
      </c>
      <c r="H44" s="16">
        <f>IF(Grundlagen!N58="",Grundlagen!O58,Grundlagen!N58)</f>
        <v>0</v>
      </c>
      <c r="I44" s="2"/>
      <c r="J44" s="16">
        <f>IF(Grundlagen!F58="",Grundlagen!G58,Grundlagen!F58)</f>
        <v>0</v>
      </c>
      <c r="K44" s="2"/>
      <c r="L44" s="16">
        <f>IF(Grundlagen!P58="",Grundlagen!Q58,Grundlagen!P58)</f>
        <v>30</v>
      </c>
      <c r="M44" s="16">
        <f>IF(Grundlagen!R58="",Grundlagen!S58,Grundlagen!R58)</f>
        <v>50</v>
      </c>
    </row>
    <row r="45" spans="2:18">
      <c r="B45" s="50" t="s">
        <v>300</v>
      </c>
      <c r="C45" s="16">
        <v>12</v>
      </c>
      <c r="D45" s="2"/>
      <c r="E45" s="16">
        <f>IF(Grundlagen!H59="",Grundlagen!I59,Grundlagen!H59)</f>
        <v>20</v>
      </c>
      <c r="F45" s="16">
        <f>IF(Grundlagen!J59="",Grundlagen!K59,Grundlagen!J59)</f>
        <v>0</v>
      </c>
      <c r="G45" s="16">
        <f>IF(Grundlagen!L59="",Grundlagen!M59,Grundlagen!L59)</f>
        <v>0</v>
      </c>
      <c r="H45" s="16">
        <f>IF(Grundlagen!N59="",Grundlagen!O59,Grundlagen!N59)</f>
        <v>0</v>
      </c>
      <c r="I45" s="2"/>
      <c r="J45" s="16">
        <f>IF(Grundlagen!F59="",Grundlagen!G59,Grundlagen!F59)</f>
        <v>0</v>
      </c>
      <c r="K45" s="2"/>
      <c r="L45" s="16">
        <f>IF(Grundlagen!P59="",Grundlagen!Q59,Grundlagen!P59)</f>
        <v>30</v>
      </c>
      <c r="M45" s="16">
        <f>IF(Grundlagen!R59="",Grundlagen!S59,Grundlagen!R59)</f>
        <v>50</v>
      </c>
    </row>
    <row r="46" spans="2:18">
      <c r="B46" s="50" t="s">
        <v>301</v>
      </c>
      <c r="C46" s="16">
        <v>13</v>
      </c>
      <c r="D46" s="2"/>
      <c r="E46" s="16">
        <f>IF(Grundlagen!H60="",Grundlagen!I60,Grundlagen!H60)</f>
        <v>20</v>
      </c>
      <c r="F46" s="16">
        <f>IF(Grundlagen!J60="",Grundlagen!K60,Grundlagen!J60)</f>
        <v>0</v>
      </c>
      <c r="G46" s="16">
        <f>IF(Grundlagen!L60="",Grundlagen!M60,Grundlagen!L60)</f>
        <v>0</v>
      </c>
      <c r="H46" s="16">
        <f>IF(Grundlagen!N60="",Grundlagen!O60,Grundlagen!N60)</f>
        <v>0</v>
      </c>
      <c r="I46" s="2"/>
      <c r="J46" s="16">
        <f>IF(Grundlagen!F60="",Grundlagen!G60,Grundlagen!F60)</f>
        <v>0</v>
      </c>
      <c r="K46" s="2"/>
      <c r="L46" s="16">
        <f>IF(Grundlagen!P60="",Grundlagen!Q60,Grundlagen!P60)</f>
        <v>30</v>
      </c>
      <c r="M46" s="16">
        <f>IF(Grundlagen!R60="",Grundlagen!S60,Grundlagen!R60)</f>
        <v>50</v>
      </c>
    </row>
    <row r="47" spans="2:18">
      <c r="B47" s="50" t="s">
        <v>1082</v>
      </c>
      <c r="C47" s="16">
        <v>8</v>
      </c>
      <c r="D47" s="2"/>
      <c r="E47" s="16">
        <f>IF(Grundlagen!H61="",Grundlagen!I61,Grundlagen!H61)</f>
        <v>20</v>
      </c>
      <c r="F47" s="16">
        <f>IF(Grundlagen!J61="",Grundlagen!K61,Grundlagen!J61)</f>
        <v>50</v>
      </c>
      <c r="G47" s="16">
        <f>IF(Grundlagen!L61="",Grundlagen!M61,Grundlagen!L61)</f>
        <v>0</v>
      </c>
      <c r="H47" s="16">
        <f>IF(Grundlagen!N61="",Grundlagen!O61,Grundlagen!N61)</f>
        <v>0</v>
      </c>
      <c r="I47" s="2"/>
      <c r="J47" s="16">
        <f>IF(Grundlagen!F61="",Grundlagen!G61,Grundlagen!F61)</f>
        <v>120</v>
      </c>
      <c r="K47" s="2"/>
      <c r="L47" s="16">
        <f>IF(Grundlagen!P61="",Grundlagen!Q61,Grundlagen!P61)</f>
        <v>30</v>
      </c>
      <c r="M47" s="16">
        <f>IF(Grundlagen!R61="",Grundlagen!S61,Grundlagen!R61)</f>
        <v>50</v>
      </c>
    </row>
    <row r="48" spans="2:18">
      <c r="B48" s="50" t="s">
        <v>1810</v>
      </c>
      <c r="C48" s="16">
        <v>14</v>
      </c>
      <c r="D48" s="16"/>
      <c r="E48" s="16">
        <f>IF(Grundlagen!H56="",Grundlagen!I56,Grundlagen!H56)</f>
        <v>20</v>
      </c>
      <c r="F48" s="16">
        <f>IF(Grundlagen!J56="",Grundlagen!K56,Grundlagen!J52)</f>
        <v>0</v>
      </c>
      <c r="G48" s="547">
        <f>H48</f>
        <v>30</v>
      </c>
      <c r="H48" s="16">
        <f>IF(Grundlagen!N56="",Grundlagen!O56,Grundlagen!N56)</f>
        <v>30</v>
      </c>
      <c r="I48" s="16"/>
      <c r="J48" s="16">
        <f>IF(Grundlagen!F56="",Grundlagen!G56,Grundlagen!F56)</f>
        <v>0</v>
      </c>
      <c r="K48" s="179"/>
      <c r="L48" s="16">
        <f>IF(Grundlagen!P56="",Grundlagen!Q56,Grundlagen!P56)</f>
        <v>30</v>
      </c>
      <c r="M48" s="16">
        <f>IF(Grundlagen!R56="",Grundlagen!S52,Grundlagen!R52)</f>
        <v>50</v>
      </c>
    </row>
    <row r="49" spans="2:15">
      <c r="B49" s="16"/>
      <c r="C49" s="16"/>
      <c r="D49" s="16"/>
      <c r="E49" s="16"/>
      <c r="F49" s="16"/>
      <c r="G49" s="16"/>
      <c r="H49" s="16"/>
      <c r="I49" s="16"/>
      <c r="J49" s="16"/>
      <c r="K49" s="179"/>
      <c r="L49" s="16"/>
      <c r="M49" s="16"/>
    </row>
    <row r="50" spans="2:15">
      <c r="C50" s="1">
        <v>1</v>
      </c>
      <c r="D50" s="1">
        <v>2</v>
      </c>
      <c r="E50" s="1">
        <v>3</v>
      </c>
      <c r="F50" s="1">
        <v>4</v>
      </c>
      <c r="G50" s="1">
        <v>5</v>
      </c>
      <c r="H50" s="1">
        <v>6</v>
      </c>
      <c r="I50" s="1">
        <v>7</v>
      </c>
      <c r="J50" s="1">
        <v>8</v>
      </c>
      <c r="K50" s="1">
        <v>9</v>
      </c>
      <c r="L50" s="1">
        <v>10</v>
      </c>
      <c r="M50" s="1">
        <v>11</v>
      </c>
    </row>
    <row r="51" spans="2:15" ht="15">
      <c r="B51"/>
      <c r="E51" s="8" t="s">
        <v>337</v>
      </c>
      <c r="K51" s="8" t="s">
        <v>677</v>
      </c>
    </row>
    <row r="53" spans="2:15">
      <c r="D53" s="35"/>
      <c r="F53" s="50"/>
      <c r="G53" s="71"/>
      <c r="H53" s="2"/>
      <c r="I53" s="18" t="s">
        <v>30</v>
      </c>
      <c r="L53" s="50"/>
      <c r="M53" s="91"/>
      <c r="N53" s="90"/>
      <c r="O53" s="18" t="s">
        <v>30</v>
      </c>
    </row>
    <row r="54" spans="2:15">
      <c r="D54" s="35"/>
      <c r="F54" s="50" t="s">
        <v>338</v>
      </c>
      <c r="G54" s="71"/>
      <c r="H54" s="2"/>
      <c r="I54" s="16">
        <f>IF(Grundlagen!F74="",Grundlagen!G74,Grundlagen!F74)</f>
        <v>20</v>
      </c>
      <c r="L54" s="50" t="s">
        <v>338</v>
      </c>
      <c r="M54" s="91"/>
      <c r="N54" s="90"/>
      <c r="O54" s="16">
        <f>IF(Grundlagen!F81="",Grundlagen!G81,Grundlagen!F81)</f>
        <v>20</v>
      </c>
    </row>
    <row r="55" spans="2:15">
      <c r="F55" s="50" t="s">
        <v>833</v>
      </c>
      <c r="G55" s="91"/>
      <c r="H55" s="90"/>
      <c r="I55" s="16">
        <f>IF(Grundlagen!F75="",Grundlagen!G75,Grundlagen!F75)</f>
        <v>0</v>
      </c>
      <c r="L55" s="50" t="s">
        <v>697</v>
      </c>
      <c r="M55" s="91"/>
      <c r="N55" s="90"/>
      <c r="O55" s="16">
        <f>IF(Grundlagen!F82="",Grundlagen!G82,Grundlagen!F82)</f>
        <v>980</v>
      </c>
    </row>
    <row r="56" spans="2:15">
      <c r="F56" s="50" t="s">
        <v>834</v>
      </c>
      <c r="G56" s="91"/>
      <c r="H56" s="90"/>
      <c r="I56" s="16">
        <f>IF(Grundlagen!F76="",Grundlagen!G76,Grundlagen!F76)</f>
        <v>0</v>
      </c>
      <c r="L56" s="50" t="s">
        <v>698</v>
      </c>
      <c r="M56" s="91"/>
      <c r="N56" s="90"/>
      <c r="O56" s="16">
        <f>IF(Grundlagen!F83="",Grundlagen!G83,Grundlagen!F83)</f>
        <v>0</v>
      </c>
    </row>
    <row r="57" spans="2:15" ht="15">
      <c r="B57"/>
      <c r="F57" s="31" t="s">
        <v>855</v>
      </c>
      <c r="G57" s="91"/>
      <c r="H57" s="90"/>
      <c r="I57" s="16">
        <f>IF(Unterhaltskosten!F55="",Unterhaltskosten!G55,Unterhaltskosten!F55)</f>
        <v>0</v>
      </c>
      <c r="L57" s="50" t="s">
        <v>743</v>
      </c>
      <c r="M57" s="91"/>
      <c r="N57" s="90"/>
      <c r="O57" s="16">
        <f>IF(Investitionskosten!F131="",Investitionskosten!G131,Investitionskosten!F131)</f>
        <v>3000</v>
      </c>
    </row>
    <row r="58" spans="2:15" ht="15">
      <c r="B58"/>
      <c r="F58" s="31" t="s">
        <v>856</v>
      </c>
      <c r="G58" s="110"/>
      <c r="H58" s="90"/>
      <c r="I58" s="16">
        <f>IF(Unterhaltskosten!F56="",Unterhaltskosten!G56,Unterhaltskosten!F56)</f>
        <v>0</v>
      </c>
      <c r="L58" s="92" t="s">
        <v>745</v>
      </c>
      <c r="O58" s="16">
        <f>IF(Investitionskosten!F132="",Investitionskosten!G132,Investitionskosten!F132)</f>
        <v>2200</v>
      </c>
    </row>
    <row r="59" spans="2:15">
      <c r="F59" s="31" t="s">
        <v>857</v>
      </c>
      <c r="G59" s="91"/>
      <c r="H59" s="90"/>
      <c r="I59" s="16">
        <f>IF(Unterhaltskosten!F57="",Unterhaltskosten!G57,Unterhaltskosten!F57)</f>
        <v>0</v>
      </c>
      <c r="L59" s="50" t="s">
        <v>744</v>
      </c>
      <c r="M59" s="91"/>
      <c r="N59" s="90"/>
      <c r="O59" s="16">
        <f>IF(Investitionskosten!F133="",Investitionskosten!G133,Investitionskosten!F133)</f>
        <v>1600</v>
      </c>
    </row>
    <row r="60" spans="2:15" ht="15">
      <c r="B60"/>
      <c r="E60" s="21"/>
      <c r="F60" s="31" t="s">
        <v>1095</v>
      </c>
      <c r="G60" s="91"/>
      <c r="H60" s="90"/>
      <c r="I60" s="67">
        <f>IF(Investitionskosten!F126="",Investitionskosten!G126,Investitionskosten!F126)</f>
        <v>1950</v>
      </c>
      <c r="L60" s="51" t="s">
        <v>746</v>
      </c>
      <c r="O60" s="16">
        <f>IF(Investitionskosten!F134="",Investitionskosten!G134,Investitionskosten!F134)</f>
        <v>1300</v>
      </c>
    </row>
    <row r="61" spans="2:15">
      <c r="F61" s="31" t="s">
        <v>1097</v>
      </c>
      <c r="G61" s="91"/>
      <c r="H61" s="90"/>
      <c r="I61" s="67">
        <f>IF(Investitionskosten!F127="",Investitionskosten!G127,Investitionskosten!F127)</f>
        <v>1812</v>
      </c>
      <c r="L61" s="50" t="s">
        <v>747</v>
      </c>
      <c r="M61" s="91"/>
      <c r="N61" s="90"/>
      <c r="O61" s="16">
        <f>IF(Investitionskosten!J131="",Investitionskosten!K131,Investitionskosten!J131)</f>
        <v>40</v>
      </c>
    </row>
    <row r="62" spans="2:15">
      <c r="F62" s="31" t="s">
        <v>1096</v>
      </c>
      <c r="G62" s="91"/>
      <c r="H62" s="90"/>
      <c r="I62" s="67">
        <f>IF(Investitionskosten!F128="",Investitionskosten!G128,Investitionskosten!F128)</f>
        <v>1700</v>
      </c>
      <c r="L62" s="50" t="s">
        <v>748</v>
      </c>
      <c r="M62" s="91"/>
      <c r="N62" s="90"/>
      <c r="O62" s="16">
        <f>IF(Investitionskosten!J132="",Investitionskosten!K132,Investitionskosten!J132)</f>
        <v>80</v>
      </c>
    </row>
    <row r="63" spans="2:15">
      <c r="L63" s="50" t="s">
        <v>749</v>
      </c>
      <c r="M63" s="91"/>
      <c r="N63" s="90"/>
      <c r="O63" s="16">
        <f>IF(Investitionskosten!J133="",Investitionskosten!K133,Investitionskosten!J133)</f>
        <v>120</v>
      </c>
    </row>
    <row r="64" spans="2:15">
      <c r="L64" s="50" t="s">
        <v>750</v>
      </c>
      <c r="M64" s="91"/>
      <c r="N64" s="90"/>
      <c r="O64" s="16">
        <f>IF(Investitionskosten!J134="",Investitionskosten!K134,Investitionskosten!J134)</f>
        <v>1250</v>
      </c>
    </row>
    <row r="65" spans="2:38">
      <c r="L65" s="50"/>
      <c r="M65" s="91"/>
      <c r="N65" s="90"/>
      <c r="O65" s="16"/>
    </row>
    <row r="66" spans="2:38" ht="15">
      <c r="B66" s="6"/>
      <c r="C66" s="16" t="s">
        <v>190</v>
      </c>
      <c r="D66" s="18" t="s">
        <v>190</v>
      </c>
      <c r="E66" s="21"/>
      <c r="F66" s="52" t="s">
        <v>320</v>
      </c>
      <c r="G66" s="53"/>
      <c r="I66" s="8"/>
      <c r="L66" s="50" t="s">
        <v>741</v>
      </c>
      <c r="M66" s="91"/>
      <c r="N66" s="90"/>
      <c r="O66" s="16">
        <f>IF(Unterhaltskosten!F61="",Unterhaltskosten!G61,Unterhaltskosten!F61)</f>
        <v>0.03</v>
      </c>
    </row>
    <row r="67" spans="2:38">
      <c r="B67" s="3"/>
      <c r="C67" s="16" t="s">
        <v>269</v>
      </c>
      <c r="D67" s="18" t="s">
        <v>270</v>
      </c>
      <c r="F67" s="25"/>
      <c r="G67" s="16"/>
      <c r="L67" s="50" t="s">
        <v>742</v>
      </c>
      <c r="M67" s="91"/>
      <c r="N67" s="90"/>
      <c r="O67" s="16">
        <f>IF(Unterhaltskosten!F62="",Unterhaltskosten!G62,Unterhaltskosten!F62)</f>
        <v>0.03</v>
      </c>
    </row>
    <row r="68" spans="2:38">
      <c r="B68" s="50" t="str">
        <f ca="1">Auswahllisten!E41</f>
        <v>Wohnen MFH</v>
      </c>
      <c r="C68" s="16">
        <f>IF(Grundlagen!E39="",Grundlagen!F39,Grundlagen!E39)</f>
        <v>2300</v>
      </c>
      <c r="D68" s="16">
        <f>IF(Grundlagen!G39="",Grundlagen!H39,Grundlagen!G39)</f>
        <v>2700</v>
      </c>
      <c r="F68" s="16">
        <f ca="1">IF(Auswahllisten!G$52=1,IF(Auswahllisten!$G$122=0,0,IF(Auswahllisten!$G$122=1,Standardwerte!D68,Standardwerte!C68)),C68)</f>
        <v>2300</v>
      </c>
      <c r="G68" s="16"/>
      <c r="L68" s="50" t="s">
        <v>707</v>
      </c>
      <c r="M68" s="91"/>
      <c r="N68" s="90"/>
      <c r="O68" s="16">
        <f>IF(Unterhaltskosten!F63="",Unterhaltskosten!G63,Unterhaltskosten!F63)</f>
        <v>2.5000000000000001E-2</v>
      </c>
    </row>
    <row r="69" spans="2:38">
      <c r="B69" s="50" t="str">
        <f ca="1">Auswahllisten!E42</f>
        <v>Wohnen EFH</v>
      </c>
      <c r="C69" s="16">
        <f>IF(Grundlagen!E40="",Grundlagen!F40,Grundlagen!E40)</f>
        <v>2300</v>
      </c>
      <c r="D69" s="16">
        <f>IF(Grundlagen!G40="",Grundlagen!H40,Grundlagen!G40)</f>
        <v>2700</v>
      </c>
      <c r="F69" s="16">
        <f ca="1">IF(Auswahllisten!G$52=1,IF(Auswahllisten!$G$122=0,0,IF(Auswahllisten!$G$122=1,Standardwerte!D69,Standardwerte!C69)),C69)</f>
        <v>2300</v>
      </c>
      <c r="G69" s="16">
        <f ca="1">IF(Auswahllisten!G110=0,0,IF(Auswahllisten!G110=1,F68,IF(Auswahllisten!G110=2,F69,F70)))</f>
        <v>2300</v>
      </c>
      <c r="L69" s="50" t="s">
        <v>706</v>
      </c>
      <c r="M69" s="91"/>
      <c r="N69" s="90"/>
      <c r="O69" s="16">
        <f>IF(Unterhaltskosten!F64="",Unterhaltskosten!G64,Unterhaltskosten!F64)</f>
        <v>0.02</v>
      </c>
    </row>
    <row r="70" spans="2:38">
      <c r="B70" s="50" t="str">
        <f ca="1">Auswahllisten!E43</f>
        <v>Verwaltung</v>
      </c>
      <c r="C70" s="16">
        <f>IF(Grundlagen!E41="",Grundlagen!F41,Grundlagen!E41)</f>
        <v>1900</v>
      </c>
      <c r="D70" s="16">
        <f>IF(Grundlagen!G41="",Grundlagen!H41,Grundlagen!G41)</f>
        <v>1900</v>
      </c>
      <c r="F70" s="16">
        <f ca="1">IF(Auswahllisten!G$52=1,IF(Auswahllisten!$G$122=0,0,IF(Auswahllisten!$G$122=1,Standardwerte!D70,Standardwerte!C70)),C70)</f>
        <v>1900</v>
      </c>
      <c r="G70" s="16"/>
      <c r="L70" s="50" t="s">
        <v>811</v>
      </c>
      <c r="M70" s="91"/>
      <c r="N70" s="90"/>
      <c r="O70" s="16">
        <f>IF(Investitionskosten!F136="",Investitionskosten!G136,Investitionskosten!F136)</f>
        <v>0</v>
      </c>
    </row>
    <row r="72" spans="2:38">
      <c r="B72" s="125" t="s">
        <v>1236</v>
      </c>
      <c r="F72" s="1" t="s">
        <v>1664</v>
      </c>
    </row>
    <row r="74" spans="2:38">
      <c r="B74" s="50"/>
      <c r="C74" s="71"/>
      <c r="D74" s="18" t="s">
        <v>194</v>
      </c>
      <c r="F74" s="457" t="s">
        <v>981</v>
      </c>
      <c r="G74" s="16" t="str">
        <f ca="1">IF(Projektdaten!F20="",Projektdaten!E20,Projektdaten!F20)</f>
        <v>H7</v>
      </c>
    </row>
    <row r="75" spans="2:38">
      <c r="B75" s="50"/>
      <c r="C75" s="71"/>
      <c r="D75" s="16"/>
      <c r="F75" s="35"/>
    </row>
    <row r="76" spans="2:38">
      <c r="B76" s="50" t="str">
        <f ca="1">Sprache!E293&amp;"*"</f>
        <v>Verstärkung Netzanschluss*</v>
      </c>
      <c r="C76" s="71"/>
      <c r="D76" s="16">
        <f>IF(Grundlagen!F68="",Grundlagen!G68,Grundlagen!F68)</f>
        <v>0.08</v>
      </c>
    </row>
    <row r="79" spans="2:38" ht="15.75">
      <c r="B79" s="57" t="s">
        <v>1649</v>
      </c>
    </row>
    <row r="80" spans="2:38" ht="14.25">
      <c r="D80" s="1" t="s">
        <v>1616</v>
      </c>
      <c r="E80" s="1" t="s">
        <v>1651</v>
      </c>
      <c r="F80" s="1" t="s">
        <v>1616</v>
      </c>
      <c r="G80" s="1" t="s">
        <v>1651</v>
      </c>
      <c r="H80" s="1" t="s">
        <v>310</v>
      </c>
      <c r="I80" s="1" t="s">
        <v>1651</v>
      </c>
      <c r="Q80" s="465" t="s">
        <v>1717</v>
      </c>
      <c r="R80" s="465"/>
      <c r="S80" s="465"/>
      <c r="T80" s="465"/>
      <c r="U80" s="465"/>
      <c r="V80" s="465"/>
      <c r="W80" s="465"/>
      <c r="X80" s="465"/>
      <c r="Y80" s="465"/>
      <c r="Z80" s="465"/>
      <c r="AA80" s="465"/>
      <c r="AB80" s="465"/>
      <c r="AC80" s="465"/>
      <c r="AD80" s="465"/>
      <c r="AE80" s="465"/>
      <c r="AF80" s="465"/>
      <c r="AG80" s="465"/>
      <c r="AH80" s="465"/>
      <c r="AI80" s="465"/>
      <c r="AJ80" s="465"/>
      <c r="AK80" s="465"/>
      <c r="AL80" s="465"/>
    </row>
    <row r="81" spans="2:38" ht="14.25">
      <c r="D81" s="35" t="s">
        <v>1648</v>
      </c>
      <c r="F81" s="35" t="s">
        <v>1650</v>
      </c>
      <c r="Q81" s="465"/>
      <c r="R81" s="465"/>
      <c r="S81" s="465"/>
      <c r="T81" s="465"/>
      <c r="U81" s="465"/>
      <c r="V81" s="465"/>
      <c r="W81" s="465"/>
      <c r="X81" s="465"/>
      <c r="Y81" s="465"/>
      <c r="Z81" s="465"/>
      <c r="AA81" s="465"/>
      <c r="AB81" s="465"/>
      <c r="AC81" s="465"/>
      <c r="AD81" s="465"/>
      <c r="AE81" s="465"/>
      <c r="AF81" s="465"/>
      <c r="AG81" s="465"/>
      <c r="AH81" s="465"/>
      <c r="AI81" s="465"/>
      <c r="AJ81" s="465"/>
      <c r="AK81" s="465"/>
      <c r="AL81" s="465"/>
    </row>
    <row r="82" spans="2:38" ht="14.25">
      <c r="Q82" s="465" t="str">
        <f ca="1">Sprache!E476</f>
        <v>Jahr</v>
      </c>
      <c r="R82" s="465">
        <v>0</v>
      </c>
      <c r="S82" s="465">
        <v>5</v>
      </c>
      <c r="T82" s="465">
        <v>10</v>
      </c>
      <c r="U82" s="465">
        <v>15</v>
      </c>
      <c r="V82" s="465">
        <v>20</v>
      </c>
      <c r="W82" s="465">
        <v>25</v>
      </c>
      <c r="X82" s="465">
        <v>30</v>
      </c>
      <c r="Y82" s="465">
        <v>35</v>
      </c>
      <c r="Z82" s="465">
        <v>40</v>
      </c>
      <c r="AA82" s="465">
        <v>45</v>
      </c>
      <c r="AB82" s="465">
        <v>50</v>
      </c>
      <c r="AC82" s="465">
        <v>55</v>
      </c>
      <c r="AD82" s="465">
        <v>60</v>
      </c>
      <c r="AE82" s="465">
        <v>65</v>
      </c>
      <c r="AF82" s="465">
        <v>70</v>
      </c>
      <c r="AG82" s="465">
        <v>75</v>
      </c>
      <c r="AH82" s="465">
        <v>80</v>
      </c>
      <c r="AI82" s="465">
        <v>85</v>
      </c>
      <c r="AJ82" s="465">
        <v>90</v>
      </c>
      <c r="AK82" s="465">
        <v>95</v>
      </c>
      <c r="AL82" s="465">
        <v>100</v>
      </c>
    </row>
    <row r="83" spans="2:38" ht="14.25">
      <c r="C83" s="35" t="s">
        <v>1656</v>
      </c>
      <c r="D83" s="35" t="s">
        <v>194</v>
      </c>
      <c r="F83" s="35" t="s">
        <v>194</v>
      </c>
      <c r="H83" s="35" t="s">
        <v>195</v>
      </c>
      <c r="I83" s="35" t="s">
        <v>201</v>
      </c>
      <c r="Q83" s="465"/>
      <c r="R83" s="465"/>
      <c r="S83" s="465"/>
      <c r="T83" s="465"/>
      <c r="U83" s="465"/>
      <c r="V83" s="465"/>
      <c r="W83" s="465"/>
      <c r="X83" s="465"/>
      <c r="Y83" s="465"/>
      <c r="Z83" s="465"/>
      <c r="AA83" s="465"/>
      <c r="AB83" s="465"/>
      <c r="AC83" s="465"/>
      <c r="AD83" s="465"/>
      <c r="AE83" s="465"/>
      <c r="AF83" s="465"/>
      <c r="AG83" s="465"/>
      <c r="AH83" s="465"/>
      <c r="AI83" s="465"/>
      <c r="AJ83" s="465"/>
      <c r="AK83" s="465"/>
      <c r="AL83" s="465"/>
    </row>
    <row r="84" spans="2:38" ht="14.25">
      <c r="B84" s="50" t="s">
        <v>0</v>
      </c>
      <c r="C84" s="71"/>
      <c r="D84" s="71"/>
      <c r="E84" s="71"/>
      <c r="F84" s="71"/>
      <c r="G84" s="71"/>
      <c r="H84" s="71"/>
      <c r="I84" s="2"/>
      <c r="Q84" s="465" t="str">
        <f ca="1">Energiepreise!B8 &amp;" (" &amp; Sprache!$E$235 &amp;")"</f>
        <v>Öl (Energiepreise)</v>
      </c>
      <c r="R84" s="465"/>
      <c r="S84" s="465"/>
      <c r="T84" s="465"/>
      <c r="U84" s="465"/>
      <c r="V84" s="465"/>
      <c r="W84" s="465"/>
      <c r="X84" s="465"/>
      <c r="Y84" s="465"/>
      <c r="Z84" s="465"/>
      <c r="AA84" s="465"/>
      <c r="AB84" s="465"/>
      <c r="AC84" s="465"/>
      <c r="AD84" s="465"/>
      <c r="AE84" s="465"/>
      <c r="AF84" s="465"/>
      <c r="AG84" s="465"/>
      <c r="AH84" s="465"/>
      <c r="AI84" s="465"/>
      <c r="AJ84" s="465"/>
      <c r="AK84" s="465"/>
      <c r="AL84" s="465"/>
    </row>
    <row r="85" spans="2:38" ht="14.25">
      <c r="B85" s="16" t="s">
        <v>1617</v>
      </c>
      <c r="C85" s="451">
        <v>15.75</v>
      </c>
      <c r="D85" s="451">
        <f>IF(Energiepreise!D9="",Energiepreise!E9,Energiepreise!D9)</f>
        <v>0.106</v>
      </c>
      <c r="E85" s="451">
        <f>IF(Energiepreise!F9="",Energiepreise!G9,Energiepreise!F9)</f>
        <v>0</v>
      </c>
      <c r="F85" s="451">
        <f>IF(Energiepreise!H9="",Energiepreise!I9,Energiepreise!H9)</f>
        <v>0</v>
      </c>
      <c r="G85" s="451">
        <f>IF(Energiepreise!J9="",Energiepreise!K9,Energiepreise!J9)</f>
        <v>0</v>
      </c>
      <c r="H85" s="451">
        <f>IF(Energiepreise!L9="",Energiepreise!M9,Energiepreise!L9)</f>
        <v>0</v>
      </c>
      <c r="I85" s="451">
        <f>IF(Energiepreise!N9="",Energiepreise!O9,Energiepreise!N9)</f>
        <v>0</v>
      </c>
      <c r="Q85" s="465" t="str">
        <f>Energiepreise!B9</f>
        <v>800 - 1500 l</v>
      </c>
      <c r="R85" s="476">
        <f>D85</f>
        <v>0.106</v>
      </c>
      <c r="S85" s="465">
        <f>IF(Auswahllisten!$G$150,$R85+($R85*$E85*S$82),$R85*(1+$E85)^S$82)</f>
        <v>0.106</v>
      </c>
      <c r="T85" s="465">
        <f>IF(Auswahllisten!$G$150,$R85+($R85*$E85*T$82),$R85*(1+$E85)^T$82)</f>
        <v>0.106</v>
      </c>
      <c r="U85" s="465">
        <f>IF(Auswahllisten!$G$150,$R85+($R85*$E85*U$82),$R85*(1+$E85)^U$82)</f>
        <v>0.106</v>
      </c>
      <c r="V85" s="465">
        <f>IF(Auswahllisten!$G$150,$R85+($R85*$E85*V$82),$R85*(1+$E85)^V$82)</f>
        <v>0.106</v>
      </c>
      <c r="W85" s="465">
        <f>IF(Auswahllisten!$G$150,$R85+($R85*$E85*W$82),$R85*(1+$E85)^W$82)</f>
        <v>0.106</v>
      </c>
      <c r="X85" s="465">
        <f>IF(Auswahllisten!$G$150,$R85+($R85*$E85*X$82),$R85*(1+$E85)^X$82)</f>
        <v>0.106</v>
      </c>
      <c r="Y85" s="465">
        <f>IF(Auswahllisten!$G$150,$R85+($R85*$E85*Y$82),$R85*(1+$E85)^Y$82)</f>
        <v>0.106</v>
      </c>
      <c r="Z85" s="465">
        <f>IF(Auswahllisten!$G$150,$R85+($R85*$E85*Z$82),$R85*(1+$E85)^Z$82)</f>
        <v>0.106</v>
      </c>
      <c r="AA85" s="465">
        <f>IF(Auswahllisten!$G$150,$R85+($R85*$E85*AA$82),$R85*(1+$E85)^AA$82)</f>
        <v>0.106</v>
      </c>
      <c r="AB85" s="465">
        <f>IF(Auswahllisten!$G$150,$R85+($R85*$E85*AB$82),$R85*(1+$E85)^AB$82)</f>
        <v>0.106</v>
      </c>
      <c r="AC85" s="465">
        <f>IF(Auswahllisten!$G$150,$R85+($R85*$E85*AC$82),$R85*(1+$E85)^AC$82)</f>
        <v>0.106</v>
      </c>
      <c r="AD85" s="465">
        <f>IF(Auswahllisten!$G$150,$R85+($R85*$E85*AD$82),$R85*(1+$E85)^AD$82)</f>
        <v>0.106</v>
      </c>
      <c r="AE85" s="465">
        <f>IF(Auswahllisten!$G$150,$R85+($R85*$E85*AE$82),$R85*(1+$E85)^AE$82)</f>
        <v>0.106</v>
      </c>
      <c r="AF85" s="465">
        <f>IF(Auswahllisten!$G$150,$R85+($R85*$E85*AF$82),$R85*(1+$E85)^AF$82)</f>
        <v>0.106</v>
      </c>
      <c r="AG85" s="465">
        <f>IF(Auswahllisten!$G$150,$R85+($R85*$E85*AG$82),$R85*(1+$E85)^AG$82)</f>
        <v>0.106</v>
      </c>
      <c r="AH85" s="465">
        <f>IF(Auswahllisten!$G$150,$R85+($R85*$E85*AH$82),$R85*(1+$E85)^AH$82)</f>
        <v>0.106</v>
      </c>
      <c r="AI85" s="465">
        <f>IF(Auswahllisten!$G$150,$R85+($R85*$E85*AI$82),$R85*(1+$E85)^AI$82)</f>
        <v>0.106</v>
      </c>
      <c r="AJ85" s="465">
        <f>IF(Auswahllisten!$G$150,$R85+($R85*$E85*AJ$82),$R85*(1+$E85)^AJ$82)</f>
        <v>0.106</v>
      </c>
      <c r="AK85" s="465">
        <f>IF(Auswahllisten!$G$150,$R85+($R85*$E85*AK$82),$R85*(1+$E85)^AK$82)</f>
        <v>0.106</v>
      </c>
      <c r="AL85" s="465">
        <f>IF(Auswahllisten!$G$150,$R85+($R85*$E85*AL$82),$R85*(1+$E85)^AL$82)</f>
        <v>0.106</v>
      </c>
    </row>
    <row r="86" spans="2:38" ht="14.25">
      <c r="B86" s="16" t="s">
        <v>1618</v>
      </c>
      <c r="C86" s="451">
        <v>31.5</v>
      </c>
      <c r="D86" s="451">
        <f>IF(Energiepreise!D10="",Energiepreise!E10,Energiepreise!D10)</f>
        <v>9.8000000000000004E-2</v>
      </c>
      <c r="E86" s="451">
        <f>IF(Energiepreise!F10="",Energiepreise!G10,Energiepreise!F10)</f>
        <v>0</v>
      </c>
      <c r="F86" s="451">
        <f>IF(Energiepreise!H10="",Energiepreise!I10,Energiepreise!H10)</f>
        <v>0</v>
      </c>
      <c r="G86" s="451">
        <f>IF(Energiepreise!J10="",Energiepreise!K10,Energiepreise!J10)</f>
        <v>0</v>
      </c>
      <c r="H86" s="451">
        <f>IF(Energiepreise!L10="",Energiepreise!M10,Energiepreise!L10)</f>
        <v>0</v>
      </c>
      <c r="I86" s="451">
        <f>IF(Energiepreise!N10="",Energiepreise!O10,Energiepreise!N10)</f>
        <v>0</v>
      </c>
      <c r="Q86" s="465" t="str">
        <f>Energiepreise!B10</f>
        <v>1501 - 3000 l</v>
      </c>
      <c r="R86" s="476">
        <f t="shared" ref="R86:R126" si="1">D86</f>
        <v>9.8000000000000004E-2</v>
      </c>
      <c r="S86" s="465">
        <f>IF(Auswahllisten!$G$150,$R86+($R86*$E86*S$82),$R86*(1+$E86)^S$82)</f>
        <v>9.8000000000000004E-2</v>
      </c>
      <c r="T86" s="465">
        <f>IF(Auswahllisten!$G$150,$R86+($R86*$E86*T$82),$R86*(1+$E86)^T$82)</f>
        <v>9.8000000000000004E-2</v>
      </c>
      <c r="U86" s="465">
        <f>IF(Auswahllisten!$G$150,$R86+($R86*$E86*U$82),$R86*(1+$E86)^U$82)</f>
        <v>9.8000000000000004E-2</v>
      </c>
      <c r="V86" s="465">
        <f>IF(Auswahllisten!$G$150,$R86+($R86*$E86*V$82),$R86*(1+$E86)^V$82)</f>
        <v>9.8000000000000004E-2</v>
      </c>
      <c r="W86" s="465">
        <f>IF(Auswahllisten!$G$150,$R86+($R86*$E86*W$82),$R86*(1+$E86)^W$82)</f>
        <v>9.8000000000000004E-2</v>
      </c>
      <c r="X86" s="465">
        <f>IF(Auswahllisten!$G$150,$R86+($R86*$E86*X$82),$R86*(1+$E86)^X$82)</f>
        <v>9.8000000000000004E-2</v>
      </c>
      <c r="Y86" s="465">
        <f>IF(Auswahllisten!$G$150,$R86+($R86*$E86*Y$82),$R86*(1+$E86)^Y$82)</f>
        <v>9.8000000000000004E-2</v>
      </c>
      <c r="Z86" s="465">
        <f>IF(Auswahllisten!$G$150,$R86+($R86*$E86*Z$82),$R86*(1+$E86)^Z$82)</f>
        <v>9.8000000000000004E-2</v>
      </c>
      <c r="AA86" s="465">
        <f>IF(Auswahllisten!$G$150,$R86+($R86*$E86*AA$82),$R86*(1+$E86)^AA$82)</f>
        <v>9.8000000000000004E-2</v>
      </c>
      <c r="AB86" s="465">
        <f>IF(Auswahllisten!$G$150,$R86+($R86*$E86*AB$82),$R86*(1+$E86)^AB$82)</f>
        <v>9.8000000000000004E-2</v>
      </c>
      <c r="AC86" s="465">
        <f>IF(Auswahllisten!$G$150,$R86+($R86*$E86*AC$82),$R86*(1+$E86)^AC$82)</f>
        <v>9.8000000000000004E-2</v>
      </c>
      <c r="AD86" s="465">
        <f>IF(Auswahllisten!$G$150,$R86+($R86*$E86*AD$82),$R86*(1+$E86)^AD$82)</f>
        <v>9.8000000000000004E-2</v>
      </c>
      <c r="AE86" s="465">
        <f>IF(Auswahllisten!$G$150,$R86+($R86*$E86*AE$82),$R86*(1+$E86)^AE$82)</f>
        <v>9.8000000000000004E-2</v>
      </c>
      <c r="AF86" s="465">
        <f>IF(Auswahllisten!$G$150,$R86+($R86*$E86*AF$82),$R86*(1+$E86)^AF$82)</f>
        <v>9.8000000000000004E-2</v>
      </c>
      <c r="AG86" s="465">
        <f>IF(Auswahllisten!$G$150,$R86+($R86*$E86*AG$82),$R86*(1+$E86)^AG$82)</f>
        <v>9.8000000000000004E-2</v>
      </c>
      <c r="AH86" s="465">
        <f>IF(Auswahllisten!$G$150,$R86+($R86*$E86*AH$82),$R86*(1+$E86)^AH$82)</f>
        <v>9.8000000000000004E-2</v>
      </c>
      <c r="AI86" s="465">
        <f>IF(Auswahllisten!$G$150,$R86+($R86*$E86*AI$82),$R86*(1+$E86)^AI$82)</f>
        <v>9.8000000000000004E-2</v>
      </c>
      <c r="AJ86" s="465">
        <f>IF(Auswahllisten!$G$150,$R86+($R86*$E86*AJ$82),$R86*(1+$E86)^AJ$82)</f>
        <v>9.8000000000000004E-2</v>
      </c>
      <c r="AK86" s="465">
        <f>IF(Auswahllisten!$G$150,$R86+($R86*$E86*AK$82),$R86*(1+$E86)^AK$82)</f>
        <v>9.8000000000000004E-2</v>
      </c>
      <c r="AL86" s="465">
        <f>IF(Auswahllisten!$G$150,$R86+($R86*$E86*AL$82),$R86*(1+$E86)^AL$82)</f>
        <v>9.8000000000000004E-2</v>
      </c>
    </row>
    <row r="87" spans="2:38" ht="14.25">
      <c r="B87" s="16" t="s">
        <v>1619</v>
      </c>
      <c r="C87" s="451">
        <v>63</v>
      </c>
      <c r="D87" s="451">
        <f>IF(Energiepreise!D11="",Energiepreise!E11,Energiepreise!D11)</f>
        <v>9.5000000000000001E-2</v>
      </c>
      <c r="E87" s="451">
        <f>IF(Energiepreise!F11="",Energiepreise!G11,Energiepreise!F11)</f>
        <v>0</v>
      </c>
      <c r="F87" s="451">
        <f>IF(Energiepreise!H11="",Energiepreise!I11,Energiepreise!H11)</f>
        <v>0</v>
      </c>
      <c r="G87" s="451">
        <f>IF(Energiepreise!J11="",Energiepreise!K11,Energiepreise!J11)</f>
        <v>0</v>
      </c>
      <c r="H87" s="451">
        <f>IF(Energiepreise!L11="",Energiepreise!M11,Energiepreise!L11)</f>
        <v>0</v>
      </c>
      <c r="I87" s="451">
        <f>IF(Energiepreise!N11="",Energiepreise!O11,Energiepreise!N11)</f>
        <v>0</v>
      </c>
      <c r="Q87" s="465" t="str">
        <f>Energiepreise!B11</f>
        <v>3001 - 6000 l</v>
      </c>
      <c r="R87" s="476">
        <f t="shared" si="1"/>
        <v>9.5000000000000001E-2</v>
      </c>
      <c r="S87" s="465">
        <f>IF(Auswahllisten!$G$150,$R87+($R87*$E87*S$82),$R87*(1+$E87)^S$82)</f>
        <v>9.5000000000000001E-2</v>
      </c>
      <c r="T87" s="465">
        <f>IF(Auswahllisten!$G$150,$R87+($R87*$E87*T$82),$R87*(1+$E87)^T$82)</f>
        <v>9.5000000000000001E-2</v>
      </c>
      <c r="U87" s="465">
        <f>IF(Auswahllisten!$G$150,$R87+($R87*$E87*U$82),$R87*(1+$E87)^U$82)</f>
        <v>9.5000000000000001E-2</v>
      </c>
      <c r="V87" s="465">
        <f>IF(Auswahllisten!$G$150,$R87+($R87*$E87*V$82),$R87*(1+$E87)^V$82)</f>
        <v>9.5000000000000001E-2</v>
      </c>
      <c r="W87" s="465">
        <f>IF(Auswahllisten!$G$150,$R87+($R87*$E87*W$82),$R87*(1+$E87)^W$82)</f>
        <v>9.5000000000000001E-2</v>
      </c>
      <c r="X87" s="465">
        <f>IF(Auswahllisten!$G$150,$R87+($R87*$E87*X$82),$R87*(1+$E87)^X$82)</f>
        <v>9.5000000000000001E-2</v>
      </c>
      <c r="Y87" s="465">
        <f>IF(Auswahllisten!$G$150,$R87+($R87*$E87*Y$82),$R87*(1+$E87)^Y$82)</f>
        <v>9.5000000000000001E-2</v>
      </c>
      <c r="Z87" s="465">
        <f>IF(Auswahllisten!$G$150,$R87+($R87*$E87*Z$82),$R87*(1+$E87)^Z$82)</f>
        <v>9.5000000000000001E-2</v>
      </c>
      <c r="AA87" s="465">
        <f>IF(Auswahllisten!$G$150,$R87+($R87*$E87*AA$82),$R87*(1+$E87)^AA$82)</f>
        <v>9.5000000000000001E-2</v>
      </c>
      <c r="AB87" s="465">
        <f>IF(Auswahllisten!$G$150,$R87+($R87*$E87*AB$82),$R87*(1+$E87)^AB$82)</f>
        <v>9.5000000000000001E-2</v>
      </c>
      <c r="AC87" s="465">
        <f>IF(Auswahllisten!$G$150,$R87+($R87*$E87*AC$82),$R87*(1+$E87)^AC$82)</f>
        <v>9.5000000000000001E-2</v>
      </c>
      <c r="AD87" s="465">
        <f>IF(Auswahllisten!$G$150,$R87+($R87*$E87*AD$82),$R87*(1+$E87)^AD$82)</f>
        <v>9.5000000000000001E-2</v>
      </c>
      <c r="AE87" s="465">
        <f>IF(Auswahllisten!$G$150,$R87+($R87*$E87*AE$82),$R87*(1+$E87)^AE$82)</f>
        <v>9.5000000000000001E-2</v>
      </c>
      <c r="AF87" s="465">
        <f>IF(Auswahllisten!$G$150,$R87+($R87*$E87*AF$82),$R87*(1+$E87)^AF$82)</f>
        <v>9.5000000000000001E-2</v>
      </c>
      <c r="AG87" s="465">
        <f>IF(Auswahllisten!$G$150,$R87+($R87*$E87*AG$82),$R87*(1+$E87)^AG$82)</f>
        <v>9.5000000000000001E-2</v>
      </c>
      <c r="AH87" s="465">
        <f>IF(Auswahllisten!$G$150,$R87+($R87*$E87*AH$82),$R87*(1+$E87)^AH$82)</f>
        <v>9.5000000000000001E-2</v>
      </c>
      <c r="AI87" s="465">
        <f>IF(Auswahllisten!$G$150,$R87+($R87*$E87*AI$82),$R87*(1+$E87)^AI$82)</f>
        <v>9.5000000000000001E-2</v>
      </c>
      <c r="AJ87" s="465">
        <f>IF(Auswahllisten!$G$150,$R87+($R87*$E87*AJ$82),$R87*(1+$E87)^AJ$82)</f>
        <v>9.5000000000000001E-2</v>
      </c>
      <c r="AK87" s="465">
        <f>IF(Auswahllisten!$G$150,$R87+($R87*$E87*AK$82),$R87*(1+$E87)^AK$82)</f>
        <v>9.5000000000000001E-2</v>
      </c>
      <c r="AL87" s="465">
        <f>IF(Auswahllisten!$G$150,$R87+($R87*$E87*AL$82),$R87*(1+$E87)^AL$82)</f>
        <v>9.5000000000000001E-2</v>
      </c>
    </row>
    <row r="88" spans="2:38" ht="14.25">
      <c r="B88" s="16" t="s">
        <v>1620</v>
      </c>
      <c r="C88" s="451">
        <v>94.5</v>
      </c>
      <c r="D88" s="451">
        <f>IF(Energiepreise!D12="",Energiepreise!E12,Energiepreise!D12)</f>
        <v>9.4E-2</v>
      </c>
      <c r="E88" s="451">
        <f>IF(Energiepreise!F12="",Energiepreise!G12,Energiepreise!F12)</f>
        <v>0</v>
      </c>
      <c r="F88" s="451">
        <f>IF(Energiepreise!H12="",Energiepreise!I12,Energiepreise!H12)</f>
        <v>0</v>
      </c>
      <c r="G88" s="451">
        <f>IF(Energiepreise!J12="",Energiepreise!K12,Energiepreise!J12)</f>
        <v>0</v>
      </c>
      <c r="H88" s="451">
        <f>IF(Energiepreise!L12="",Energiepreise!M12,Energiepreise!L12)</f>
        <v>0</v>
      </c>
      <c r="I88" s="451">
        <f>IF(Energiepreise!N12="",Energiepreise!O12,Energiepreise!N12)</f>
        <v>0</v>
      </c>
      <c r="Q88" s="465" t="str">
        <f>Energiepreise!B12</f>
        <v>6001- 9000 l</v>
      </c>
      <c r="R88" s="476">
        <f t="shared" si="1"/>
        <v>9.4E-2</v>
      </c>
      <c r="S88" s="465">
        <f>IF(Auswahllisten!$G$150,$R88+($R88*$E88*S$82),$R88*(1+$E88)^S$82)</f>
        <v>9.4E-2</v>
      </c>
      <c r="T88" s="465">
        <f>IF(Auswahllisten!$G$150,$R88+($R88*$E88*T$82),$R88*(1+$E88)^T$82)</f>
        <v>9.4E-2</v>
      </c>
      <c r="U88" s="465">
        <f>IF(Auswahllisten!$G$150,$R88+($R88*$E88*U$82),$R88*(1+$E88)^U$82)</f>
        <v>9.4E-2</v>
      </c>
      <c r="V88" s="465">
        <f>IF(Auswahllisten!$G$150,$R88+($R88*$E88*V$82),$R88*(1+$E88)^V$82)</f>
        <v>9.4E-2</v>
      </c>
      <c r="W88" s="465">
        <f>IF(Auswahllisten!$G$150,$R88+($R88*$E88*W$82),$R88*(1+$E88)^W$82)</f>
        <v>9.4E-2</v>
      </c>
      <c r="X88" s="465">
        <f>IF(Auswahllisten!$G$150,$R88+($R88*$E88*X$82),$R88*(1+$E88)^X$82)</f>
        <v>9.4E-2</v>
      </c>
      <c r="Y88" s="465">
        <f>IF(Auswahllisten!$G$150,$R88+($R88*$E88*Y$82),$R88*(1+$E88)^Y$82)</f>
        <v>9.4E-2</v>
      </c>
      <c r="Z88" s="465">
        <f>IF(Auswahllisten!$G$150,$R88+($R88*$E88*Z$82),$R88*(1+$E88)^Z$82)</f>
        <v>9.4E-2</v>
      </c>
      <c r="AA88" s="465">
        <f>IF(Auswahllisten!$G$150,$R88+($R88*$E88*AA$82),$R88*(1+$E88)^AA$82)</f>
        <v>9.4E-2</v>
      </c>
      <c r="AB88" s="465">
        <f>IF(Auswahllisten!$G$150,$R88+($R88*$E88*AB$82),$R88*(1+$E88)^AB$82)</f>
        <v>9.4E-2</v>
      </c>
      <c r="AC88" s="465">
        <f>IF(Auswahllisten!$G$150,$R88+($R88*$E88*AC$82),$R88*(1+$E88)^AC$82)</f>
        <v>9.4E-2</v>
      </c>
      <c r="AD88" s="465">
        <f>IF(Auswahllisten!$G$150,$R88+($R88*$E88*AD$82),$R88*(1+$E88)^AD$82)</f>
        <v>9.4E-2</v>
      </c>
      <c r="AE88" s="465">
        <f>IF(Auswahllisten!$G$150,$R88+($R88*$E88*AE$82),$R88*(1+$E88)^AE$82)</f>
        <v>9.4E-2</v>
      </c>
      <c r="AF88" s="465">
        <f>IF(Auswahllisten!$G$150,$R88+($R88*$E88*AF$82),$R88*(1+$E88)^AF$82)</f>
        <v>9.4E-2</v>
      </c>
      <c r="AG88" s="465">
        <f>IF(Auswahllisten!$G$150,$R88+($R88*$E88*AG$82),$R88*(1+$E88)^AG$82)</f>
        <v>9.4E-2</v>
      </c>
      <c r="AH88" s="465">
        <f>IF(Auswahllisten!$G$150,$R88+($R88*$E88*AH$82),$R88*(1+$E88)^AH$82)</f>
        <v>9.4E-2</v>
      </c>
      <c r="AI88" s="465">
        <f>IF(Auswahllisten!$G$150,$R88+($R88*$E88*AI$82),$R88*(1+$E88)^AI$82)</f>
        <v>9.4E-2</v>
      </c>
      <c r="AJ88" s="465">
        <f>IF(Auswahllisten!$G$150,$R88+($R88*$E88*AJ$82),$R88*(1+$E88)^AJ$82)</f>
        <v>9.4E-2</v>
      </c>
      <c r="AK88" s="465">
        <f>IF(Auswahllisten!$G$150,$R88+($R88*$E88*AK$82),$R88*(1+$E88)^AK$82)</f>
        <v>9.4E-2</v>
      </c>
      <c r="AL88" s="465">
        <f>IF(Auswahllisten!$G$150,$R88+($R88*$E88*AL$82),$R88*(1+$E88)^AL$82)</f>
        <v>9.4E-2</v>
      </c>
    </row>
    <row r="89" spans="2:38" ht="14.25">
      <c r="B89" s="16" t="s">
        <v>1621</v>
      </c>
      <c r="C89" s="451">
        <v>147</v>
      </c>
      <c r="D89" s="451">
        <f>IF(Energiepreise!D13="",Energiepreise!E13,Energiepreise!D13)</f>
        <v>9.2999999999999999E-2</v>
      </c>
      <c r="E89" s="451">
        <f>IF(Energiepreise!F13="",Energiepreise!G13,Energiepreise!F13)</f>
        <v>0</v>
      </c>
      <c r="F89" s="451">
        <f>IF(Energiepreise!H13="",Energiepreise!I13,Energiepreise!H13)</f>
        <v>0</v>
      </c>
      <c r="G89" s="451">
        <f>IF(Energiepreise!J13="",Energiepreise!K13,Energiepreise!J13)</f>
        <v>0</v>
      </c>
      <c r="H89" s="451">
        <f>IF(Energiepreise!L13="",Energiepreise!M13,Energiepreise!L13)</f>
        <v>0</v>
      </c>
      <c r="I89" s="451">
        <f>IF(Energiepreise!N13="",Energiepreise!O13,Energiepreise!N13)</f>
        <v>0</v>
      </c>
      <c r="Q89" s="465" t="str">
        <f>Energiepreise!B13</f>
        <v>9001 - 14000 l</v>
      </c>
      <c r="R89" s="476">
        <f t="shared" si="1"/>
        <v>9.2999999999999999E-2</v>
      </c>
      <c r="S89" s="465">
        <f>IF(Auswahllisten!$G$150,$R89+($R89*$E89*S$82),$R89*(1+$E89)^S$82)</f>
        <v>9.2999999999999999E-2</v>
      </c>
      <c r="T89" s="465">
        <f>IF(Auswahllisten!$G$150,$R89+($R89*$E89*T$82),$R89*(1+$E89)^T$82)</f>
        <v>9.2999999999999999E-2</v>
      </c>
      <c r="U89" s="465">
        <f>IF(Auswahllisten!$G$150,$R89+($R89*$E89*U$82),$R89*(1+$E89)^U$82)</f>
        <v>9.2999999999999999E-2</v>
      </c>
      <c r="V89" s="465">
        <f>IF(Auswahllisten!$G$150,$R89+($R89*$E89*V$82),$R89*(1+$E89)^V$82)</f>
        <v>9.2999999999999999E-2</v>
      </c>
      <c r="W89" s="465">
        <f>IF(Auswahllisten!$G$150,$R89+($R89*$E89*W$82),$R89*(1+$E89)^W$82)</f>
        <v>9.2999999999999999E-2</v>
      </c>
      <c r="X89" s="465">
        <f>IF(Auswahllisten!$G$150,$R89+($R89*$E89*X$82),$R89*(1+$E89)^X$82)</f>
        <v>9.2999999999999999E-2</v>
      </c>
      <c r="Y89" s="465">
        <f>IF(Auswahllisten!$G$150,$R89+($R89*$E89*Y$82),$R89*(1+$E89)^Y$82)</f>
        <v>9.2999999999999999E-2</v>
      </c>
      <c r="Z89" s="465">
        <f>IF(Auswahllisten!$G$150,$R89+($R89*$E89*Z$82),$R89*(1+$E89)^Z$82)</f>
        <v>9.2999999999999999E-2</v>
      </c>
      <c r="AA89" s="465">
        <f>IF(Auswahllisten!$G$150,$R89+($R89*$E89*AA$82),$R89*(1+$E89)^AA$82)</f>
        <v>9.2999999999999999E-2</v>
      </c>
      <c r="AB89" s="465">
        <f>IF(Auswahllisten!$G$150,$R89+($R89*$E89*AB$82),$R89*(1+$E89)^AB$82)</f>
        <v>9.2999999999999999E-2</v>
      </c>
      <c r="AC89" s="465">
        <f>IF(Auswahllisten!$G$150,$R89+($R89*$E89*AC$82),$R89*(1+$E89)^AC$82)</f>
        <v>9.2999999999999999E-2</v>
      </c>
      <c r="AD89" s="465">
        <f>IF(Auswahllisten!$G$150,$R89+($R89*$E89*AD$82),$R89*(1+$E89)^AD$82)</f>
        <v>9.2999999999999999E-2</v>
      </c>
      <c r="AE89" s="465">
        <f>IF(Auswahllisten!$G$150,$R89+($R89*$E89*AE$82),$R89*(1+$E89)^AE$82)</f>
        <v>9.2999999999999999E-2</v>
      </c>
      <c r="AF89" s="465">
        <f>IF(Auswahllisten!$G$150,$R89+($R89*$E89*AF$82),$R89*(1+$E89)^AF$82)</f>
        <v>9.2999999999999999E-2</v>
      </c>
      <c r="AG89" s="465">
        <f>IF(Auswahllisten!$G$150,$R89+($R89*$E89*AG$82),$R89*(1+$E89)^AG$82)</f>
        <v>9.2999999999999999E-2</v>
      </c>
      <c r="AH89" s="465">
        <f>IF(Auswahllisten!$G$150,$R89+($R89*$E89*AH$82),$R89*(1+$E89)^AH$82)</f>
        <v>9.2999999999999999E-2</v>
      </c>
      <c r="AI89" s="465">
        <f>IF(Auswahllisten!$G$150,$R89+($R89*$E89*AI$82),$R89*(1+$E89)^AI$82)</f>
        <v>9.2999999999999999E-2</v>
      </c>
      <c r="AJ89" s="465">
        <f>IF(Auswahllisten!$G$150,$R89+($R89*$E89*AJ$82),$R89*(1+$E89)^AJ$82)</f>
        <v>9.2999999999999999E-2</v>
      </c>
      <c r="AK89" s="465">
        <f>IF(Auswahllisten!$G$150,$R89+($R89*$E89*AK$82),$R89*(1+$E89)^AK$82)</f>
        <v>9.2999999999999999E-2</v>
      </c>
      <c r="AL89" s="465">
        <f>IF(Auswahllisten!$G$150,$R89+($R89*$E89*AL$82),$R89*(1+$E89)^AL$82)</f>
        <v>9.2999999999999999E-2</v>
      </c>
    </row>
    <row r="90" spans="2:38" ht="14.25">
      <c r="B90" s="16" t="s">
        <v>1622</v>
      </c>
      <c r="C90" s="451">
        <v>210</v>
      </c>
      <c r="D90" s="451">
        <f>IF(Energiepreise!D14="",Energiepreise!E14,Energiepreise!D14)</f>
        <v>9.1999999999999998E-2</v>
      </c>
      <c r="E90" s="451">
        <f>IF(Energiepreise!F14="",Energiepreise!G14,Energiepreise!F14)</f>
        <v>0</v>
      </c>
      <c r="F90" s="451">
        <f>IF(Energiepreise!H14="",Energiepreise!I14,Energiepreise!H14)</f>
        <v>0</v>
      </c>
      <c r="G90" s="451">
        <f>IF(Energiepreise!J14="",Energiepreise!K14,Energiepreise!J14)</f>
        <v>0</v>
      </c>
      <c r="H90" s="451">
        <f>IF(Energiepreise!L14="",Energiepreise!M14,Energiepreise!L14)</f>
        <v>0</v>
      </c>
      <c r="I90" s="451">
        <f>IF(Energiepreise!N14="",Energiepreise!O14,Energiepreise!N14)</f>
        <v>0</v>
      </c>
      <c r="Q90" s="465" t="str">
        <f>Energiepreise!B14</f>
        <v>14000 - 20000 l</v>
      </c>
      <c r="R90" s="476">
        <f t="shared" si="1"/>
        <v>9.1999999999999998E-2</v>
      </c>
      <c r="S90" s="465">
        <f>IF(Auswahllisten!$G$150,$R90+($R90*$E90*S$82),$R90*(1+$E90)^S$82)</f>
        <v>9.1999999999999998E-2</v>
      </c>
      <c r="T90" s="465">
        <f>IF(Auswahllisten!$G$150,$R90+($R90*$E90*T$82),$R90*(1+$E90)^T$82)</f>
        <v>9.1999999999999998E-2</v>
      </c>
      <c r="U90" s="465">
        <f>IF(Auswahllisten!$G$150,$R90+($R90*$E90*U$82),$R90*(1+$E90)^U$82)</f>
        <v>9.1999999999999998E-2</v>
      </c>
      <c r="V90" s="465">
        <f>IF(Auswahllisten!$G$150,$R90+($R90*$E90*V$82),$R90*(1+$E90)^V$82)</f>
        <v>9.1999999999999998E-2</v>
      </c>
      <c r="W90" s="465">
        <f>IF(Auswahllisten!$G$150,$R90+($R90*$E90*W$82),$R90*(1+$E90)^W$82)</f>
        <v>9.1999999999999998E-2</v>
      </c>
      <c r="X90" s="465">
        <f>IF(Auswahllisten!$G$150,$R90+($R90*$E90*X$82),$R90*(1+$E90)^X$82)</f>
        <v>9.1999999999999998E-2</v>
      </c>
      <c r="Y90" s="465">
        <f>IF(Auswahllisten!$G$150,$R90+($R90*$E90*Y$82),$R90*(1+$E90)^Y$82)</f>
        <v>9.1999999999999998E-2</v>
      </c>
      <c r="Z90" s="465">
        <f>IF(Auswahllisten!$G$150,$R90+($R90*$E90*Z$82),$R90*(1+$E90)^Z$82)</f>
        <v>9.1999999999999998E-2</v>
      </c>
      <c r="AA90" s="465">
        <f>IF(Auswahllisten!$G$150,$R90+($R90*$E90*AA$82),$R90*(1+$E90)^AA$82)</f>
        <v>9.1999999999999998E-2</v>
      </c>
      <c r="AB90" s="465">
        <f>IF(Auswahllisten!$G$150,$R90+($R90*$E90*AB$82),$R90*(1+$E90)^AB$82)</f>
        <v>9.1999999999999998E-2</v>
      </c>
      <c r="AC90" s="465">
        <f>IF(Auswahllisten!$G$150,$R90+($R90*$E90*AC$82),$R90*(1+$E90)^AC$82)</f>
        <v>9.1999999999999998E-2</v>
      </c>
      <c r="AD90" s="465">
        <f>IF(Auswahllisten!$G$150,$R90+($R90*$E90*AD$82),$R90*(1+$E90)^AD$82)</f>
        <v>9.1999999999999998E-2</v>
      </c>
      <c r="AE90" s="465">
        <f>IF(Auswahllisten!$G$150,$R90+($R90*$E90*AE$82),$R90*(1+$E90)^AE$82)</f>
        <v>9.1999999999999998E-2</v>
      </c>
      <c r="AF90" s="465">
        <f>IF(Auswahllisten!$G$150,$R90+($R90*$E90*AF$82),$R90*(1+$E90)^AF$82)</f>
        <v>9.1999999999999998E-2</v>
      </c>
      <c r="AG90" s="465">
        <f>IF(Auswahllisten!$G$150,$R90+($R90*$E90*AG$82),$R90*(1+$E90)^AG$82)</f>
        <v>9.1999999999999998E-2</v>
      </c>
      <c r="AH90" s="465">
        <f>IF(Auswahllisten!$G$150,$R90+($R90*$E90*AH$82),$R90*(1+$E90)^AH$82)</f>
        <v>9.1999999999999998E-2</v>
      </c>
      <c r="AI90" s="465">
        <f>IF(Auswahllisten!$G$150,$R90+($R90*$E90*AI$82),$R90*(1+$E90)^AI$82)</f>
        <v>9.1999999999999998E-2</v>
      </c>
      <c r="AJ90" s="465">
        <f>IF(Auswahllisten!$G$150,$R90+($R90*$E90*AJ$82),$R90*(1+$E90)^AJ$82)</f>
        <v>9.1999999999999998E-2</v>
      </c>
      <c r="AK90" s="465">
        <f>IF(Auswahllisten!$G$150,$R90+($R90*$E90*AK$82),$R90*(1+$E90)^AK$82)</f>
        <v>9.1999999999999998E-2</v>
      </c>
      <c r="AL90" s="465">
        <f>IF(Auswahllisten!$G$150,$R90+($R90*$E90*AL$82),$R90*(1+$E90)^AL$82)</f>
        <v>9.1999999999999998E-2</v>
      </c>
    </row>
    <row r="91" spans="2:38" ht="14.25">
      <c r="B91" s="16" t="s">
        <v>1623</v>
      </c>
      <c r="C91" s="451"/>
      <c r="D91" s="451">
        <f>IF(Energiepreise!D15="",Energiepreise!E15,Energiepreise!D15)</f>
        <v>9.0999999999999998E-2</v>
      </c>
      <c r="E91" s="451">
        <f>IF(Energiepreise!F15="",Energiepreise!G15,Energiepreise!F15)</f>
        <v>0</v>
      </c>
      <c r="F91" s="451">
        <f>IF(Energiepreise!H15="",Energiepreise!I15,Energiepreise!H15)</f>
        <v>0</v>
      </c>
      <c r="G91" s="451">
        <f>IF(Energiepreise!J15="",Energiepreise!K15,Energiepreise!J15)</f>
        <v>0</v>
      </c>
      <c r="H91" s="451">
        <f>IF(Energiepreise!L15="",Energiepreise!M15,Energiepreise!L15)</f>
        <v>0</v>
      </c>
      <c r="I91" s="451">
        <f>IF(Energiepreise!N15="",Energiepreise!O15,Energiepreise!N15)</f>
        <v>0</v>
      </c>
      <c r="Q91" s="465" t="str">
        <f>Energiepreise!B15</f>
        <v>&gt; 20000 l</v>
      </c>
      <c r="R91" s="476">
        <f t="shared" si="1"/>
        <v>9.0999999999999998E-2</v>
      </c>
      <c r="S91" s="465">
        <f>IF(Auswahllisten!$G$150,$R91+($R91*$E91*S$82),$R91*(1+$E91)^S$82)</f>
        <v>9.0999999999999998E-2</v>
      </c>
      <c r="T91" s="465">
        <f>IF(Auswahllisten!$G$150,$R91+($R91*$E91*T$82),$R91*(1+$E91)^T$82)</f>
        <v>9.0999999999999998E-2</v>
      </c>
      <c r="U91" s="465">
        <f>IF(Auswahllisten!$G$150,$R91+($R91*$E91*U$82),$R91*(1+$E91)^U$82)</f>
        <v>9.0999999999999998E-2</v>
      </c>
      <c r="V91" s="465">
        <f>IF(Auswahllisten!$G$150,$R91+($R91*$E91*V$82),$R91*(1+$E91)^V$82)</f>
        <v>9.0999999999999998E-2</v>
      </c>
      <c r="W91" s="465">
        <f>IF(Auswahllisten!$G$150,$R91+($R91*$E91*W$82),$R91*(1+$E91)^W$82)</f>
        <v>9.0999999999999998E-2</v>
      </c>
      <c r="X91" s="465">
        <f>IF(Auswahllisten!$G$150,$R91+($R91*$E91*X$82),$R91*(1+$E91)^X$82)</f>
        <v>9.0999999999999998E-2</v>
      </c>
      <c r="Y91" s="465">
        <f>IF(Auswahllisten!$G$150,$R91+($R91*$E91*Y$82),$R91*(1+$E91)^Y$82)</f>
        <v>9.0999999999999998E-2</v>
      </c>
      <c r="Z91" s="465">
        <f>IF(Auswahllisten!$G$150,$R91+($R91*$E91*Z$82),$R91*(1+$E91)^Z$82)</f>
        <v>9.0999999999999998E-2</v>
      </c>
      <c r="AA91" s="465">
        <f>IF(Auswahllisten!$G$150,$R91+($R91*$E91*AA$82),$R91*(1+$E91)^AA$82)</f>
        <v>9.0999999999999998E-2</v>
      </c>
      <c r="AB91" s="465">
        <f>IF(Auswahllisten!$G$150,$R91+($R91*$E91*AB$82),$R91*(1+$E91)^AB$82)</f>
        <v>9.0999999999999998E-2</v>
      </c>
      <c r="AC91" s="465">
        <f>IF(Auswahllisten!$G$150,$R91+($R91*$E91*AC$82),$R91*(1+$E91)^AC$82)</f>
        <v>9.0999999999999998E-2</v>
      </c>
      <c r="AD91" s="465">
        <f>IF(Auswahllisten!$G$150,$R91+($R91*$E91*AD$82),$R91*(1+$E91)^AD$82)</f>
        <v>9.0999999999999998E-2</v>
      </c>
      <c r="AE91" s="465">
        <f>IF(Auswahllisten!$G$150,$R91+($R91*$E91*AE$82),$R91*(1+$E91)^AE$82)</f>
        <v>9.0999999999999998E-2</v>
      </c>
      <c r="AF91" s="465">
        <f>IF(Auswahllisten!$G$150,$R91+($R91*$E91*AF$82),$R91*(1+$E91)^AF$82)</f>
        <v>9.0999999999999998E-2</v>
      </c>
      <c r="AG91" s="465">
        <f>IF(Auswahllisten!$G$150,$R91+($R91*$E91*AG$82),$R91*(1+$E91)^AG$82)</f>
        <v>9.0999999999999998E-2</v>
      </c>
      <c r="AH91" s="465">
        <f>IF(Auswahllisten!$G$150,$R91+($R91*$E91*AH$82),$R91*(1+$E91)^AH$82)</f>
        <v>9.0999999999999998E-2</v>
      </c>
      <c r="AI91" s="465">
        <f>IF(Auswahllisten!$G$150,$R91+($R91*$E91*AI$82),$R91*(1+$E91)^AI$82)</f>
        <v>9.0999999999999998E-2</v>
      </c>
      <c r="AJ91" s="465">
        <f>IF(Auswahllisten!$G$150,$R91+($R91*$E91*AJ$82),$R91*(1+$E91)^AJ$82)</f>
        <v>9.0999999999999998E-2</v>
      </c>
      <c r="AK91" s="465">
        <f>IF(Auswahllisten!$G$150,$R91+($R91*$E91*AK$82),$R91*(1+$E91)^AK$82)</f>
        <v>9.0999999999999998E-2</v>
      </c>
      <c r="AL91" s="465">
        <f>IF(Auswahllisten!$G$150,$R91+($R91*$E91*AL$82),$R91*(1+$E91)^AL$82)</f>
        <v>9.0999999999999998E-2</v>
      </c>
    </row>
    <row r="92" spans="2:38" ht="14.25">
      <c r="C92" s="445"/>
      <c r="D92" s="445"/>
      <c r="E92" s="445"/>
      <c r="F92" s="445"/>
      <c r="G92" s="445"/>
      <c r="H92" s="445"/>
      <c r="I92" s="445"/>
      <c r="Q92" s="465"/>
      <c r="R92" s="476"/>
      <c r="S92" s="465"/>
      <c r="T92" s="465"/>
      <c r="U92" s="465"/>
      <c r="V92" s="465"/>
      <c r="W92" s="465"/>
      <c r="X92" s="465"/>
      <c r="Y92" s="465"/>
      <c r="Z92" s="465"/>
      <c r="AA92" s="465"/>
      <c r="AB92" s="465"/>
      <c r="AC92" s="465"/>
      <c r="AD92" s="465"/>
      <c r="AE92" s="465"/>
      <c r="AF92" s="465"/>
      <c r="AG92" s="465"/>
      <c r="AH92" s="465"/>
      <c r="AI92" s="465"/>
      <c r="AJ92" s="465"/>
      <c r="AK92" s="465"/>
      <c r="AL92" s="465"/>
    </row>
    <row r="93" spans="2:38" ht="14.25">
      <c r="B93" s="50" t="s">
        <v>14</v>
      </c>
      <c r="C93" s="452"/>
      <c r="D93" s="452"/>
      <c r="E93" s="452"/>
      <c r="F93" s="452"/>
      <c r="G93" s="452"/>
      <c r="H93" s="452"/>
      <c r="I93" s="453"/>
      <c r="Q93" s="465" t="str">
        <f ca="1">Energiepreise!B17 &amp;" (" &amp; Sprache!$E$235 &amp;")"</f>
        <v>Erdgas (Energiepreise)</v>
      </c>
      <c r="R93" s="476"/>
      <c r="S93" s="465"/>
      <c r="T93" s="465"/>
      <c r="U93" s="465"/>
      <c r="V93" s="465"/>
      <c r="W93" s="465"/>
      <c r="X93" s="465"/>
      <c r="Y93" s="465"/>
      <c r="Z93" s="465"/>
      <c r="AA93" s="465"/>
      <c r="AB93" s="465"/>
      <c r="AC93" s="465"/>
      <c r="AD93" s="465"/>
      <c r="AE93" s="465"/>
      <c r="AF93" s="465"/>
      <c r="AG93" s="465"/>
      <c r="AH93" s="465"/>
      <c r="AI93" s="465"/>
      <c r="AJ93" s="465"/>
      <c r="AK93" s="465"/>
      <c r="AL93" s="465"/>
    </row>
    <row r="94" spans="2:38" ht="14.25">
      <c r="B94" s="16" t="s">
        <v>1644</v>
      </c>
      <c r="C94" s="451">
        <v>20</v>
      </c>
      <c r="D94" s="451">
        <f>IF(Energiepreise!D18="",Energiepreise!E18,Energiepreise!D18)</f>
        <v>0.124</v>
      </c>
      <c r="E94" s="451">
        <f>IF(Energiepreise!F18="",Energiepreise!G18,Energiepreise!F18)</f>
        <v>0</v>
      </c>
      <c r="F94" s="451">
        <f>IF(Energiepreise!H18="",Energiepreise!I18,Energiepreise!H18)</f>
        <v>0.12</v>
      </c>
      <c r="G94" s="451">
        <f>IF(Energiepreise!J18="",Energiepreise!K18,Energiepreise!J18)</f>
        <v>0</v>
      </c>
      <c r="H94" s="451">
        <f>IF(Energiepreise!L18="",Energiepreise!M18,Energiepreise!L18)</f>
        <v>0</v>
      </c>
      <c r="I94" s="451">
        <f>IF(Energiepreise!N18="",Energiepreise!O18,Energiepreise!N18)</f>
        <v>0</v>
      </c>
      <c r="Q94" s="465" t="str">
        <f>Energiepreise!B18</f>
        <v>&lt;  1430 m³</v>
      </c>
      <c r="R94" s="476">
        <f t="shared" si="1"/>
        <v>0.124</v>
      </c>
      <c r="S94" s="465">
        <f>IF(Auswahllisten!$G$150,$R94+($R94*$E94*S$82),$R94*(1+$E94)^S$82)</f>
        <v>0.124</v>
      </c>
      <c r="T94" s="465">
        <f>IF(Auswahllisten!$G$150,$R94+($R94*$E94*T$82),$R94*(1+$E94)^T$82)</f>
        <v>0.124</v>
      </c>
      <c r="U94" s="465">
        <f>IF(Auswahllisten!$G$150,$R94+($R94*$E94*U$82),$R94*(1+$E94)^U$82)</f>
        <v>0.124</v>
      </c>
      <c r="V94" s="465">
        <f>IF(Auswahllisten!$G$150,$R94+($R94*$E94*V$82),$R94*(1+$E94)^V$82)</f>
        <v>0.124</v>
      </c>
      <c r="W94" s="465">
        <f>IF(Auswahllisten!$G$150,$R94+($R94*$E94*W$82),$R94*(1+$E94)^W$82)</f>
        <v>0.124</v>
      </c>
      <c r="X94" s="465">
        <f>IF(Auswahllisten!$G$150,$R94+($R94*$E94*X$82),$R94*(1+$E94)^X$82)</f>
        <v>0.124</v>
      </c>
      <c r="Y94" s="465">
        <f>IF(Auswahllisten!$G$150,$R94+($R94*$E94*Y$82),$R94*(1+$E94)^Y$82)</f>
        <v>0.124</v>
      </c>
      <c r="Z94" s="465">
        <f>IF(Auswahllisten!$G$150,$R94+($R94*$E94*Z$82),$R94*(1+$E94)^Z$82)</f>
        <v>0.124</v>
      </c>
      <c r="AA94" s="465">
        <f>IF(Auswahllisten!$G$150,$R94+($R94*$E94*AA$82),$R94*(1+$E94)^AA$82)</f>
        <v>0.124</v>
      </c>
      <c r="AB94" s="465">
        <f>IF(Auswahllisten!$G$150,$R94+($R94*$E94*AB$82),$R94*(1+$E94)^AB$82)</f>
        <v>0.124</v>
      </c>
      <c r="AC94" s="465">
        <f>IF(Auswahllisten!$G$150,$R94+($R94*$E94*AC$82),$R94*(1+$E94)^AC$82)</f>
        <v>0.124</v>
      </c>
      <c r="AD94" s="465">
        <f>IF(Auswahllisten!$G$150,$R94+($R94*$E94*AD$82),$R94*(1+$E94)^AD$82)</f>
        <v>0.124</v>
      </c>
      <c r="AE94" s="465">
        <f>IF(Auswahllisten!$G$150,$R94+($R94*$E94*AE$82),$R94*(1+$E94)^AE$82)</f>
        <v>0.124</v>
      </c>
      <c r="AF94" s="465">
        <f>IF(Auswahllisten!$G$150,$R94+($R94*$E94*AF$82),$R94*(1+$E94)^AF$82)</f>
        <v>0.124</v>
      </c>
      <c r="AG94" s="465">
        <f>IF(Auswahllisten!$G$150,$R94+($R94*$E94*AG$82),$R94*(1+$E94)^AG$82)</f>
        <v>0.124</v>
      </c>
      <c r="AH94" s="465">
        <f>IF(Auswahllisten!$G$150,$R94+($R94*$E94*AH$82),$R94*(1+$E94)^AH$82)</f>
        <v>0.124</v>
      </c>
      <c r="AI94" s="465">
        <f>IF(Auswahllisten!$G$150,$R94+($R94*$E94*AI$82),$R94*(1+$E94)^AI$82)</f>
        <v>0.124</v>
      </c>
      <c r="AJ94" s="465">
        <f>IF(Auswahllisten!$G$150,$R94+($R94*$E94*AJ$82),$R94*(1+$E94)^AJ$82)</f>
        <v>0.124</v>
      </c>
      <c r="AK94" s="465">
        <f>IF(Auswahllisten!$G$150,$R94+($R94*$E94*AK$82),$R94*(1+$E94)^AK$82)</f>
        <v>0.124</v>
      </c>
      <c r="AL94" s="465">
        <f>IF(Auswahllisten!$G$150,$R94+($R94*$E94*AL$82),$R94*(1+$E94)^AL$82)</f>
        <v>0.124</v>
      </c>
    </row>
    <row r="95" spans="2:38" ht="14.25">
      <c r="B95" s="16" t="s">
        <v>1645</v>
      </c>
      <c r="C95" s="451">
        <v>50</v>
      </c>
      <c r="D95" s="451">
        <f>IF(Energiepreise!D19="",Energiepreise!E19,Energiepreise!D19)</f>
        <v>0.11899999999999999</v>
      </c>
      <c r="E95" s="451">
        <f>IF(Energiepreise!F19="",Energiepreise!G19,Energiepreise!F19)</f>
        <v>0</v>
      </c>
      <c r="F95" s="451">
        <f>IF(Energiepreise!H19="",Energiepreise!I19,Energiepreise!H19)</f>
        <v>0.11</v>
      </c>
      <c r="G95" s="451">
        <f>IF(Energiepreise!J19="",Energiepreise!K19,Energiepreise!J19)</f>
        <v>0</v>
      </c>
      <c r="H95" s="451">
        <f>IF(Energiepreise!L19="",Energiepreise!M19,Energiepreise!L19)</f>
        <v>0</v>
      </c>
      <c r="I95" s="451">
        <f>IF(Energiepreise!N19="",Energiepreise!O19,Energiepreise!N19)</f>
        <v>0</v>
      </c>
      <c r="Q95" s="465" t="str">
        <f>Energiepreise!B19</f>
        <v>1431 - 3570 m³</v>
      </c>
      <c r="R95" s="476">
        <f t="shared" si="1"/>
        <v>0.11899999999999999</v>
      </c>
      <c r="S95" s="465">
        <f>IF(Auswahllisten!$G$150,$R95+($R95*$E95*S$82),$R95*(1+$E95)^S$82)</f>
        <v>0.11899999999999999</v>
      </c>
      <c r="T95" s="465">
        <f>IF(Auswahllisten!$G$150,$R95+($R95*$E95*T$82),$R95*(1+$E95)^T$82)</f>
        <v>0.11899999999999999</v>
      </c>
      <c r="U95" s="465">
        <f>IF(Auswahllisten!$G$150,$R95+($R95*$E95*U$82),$R95*(1+$E95)^U$82)</f>
        <v>0.11899999999999999</v>
      </c>
      <c r="V95" s="465">
        <f>IF(Auswahllisten!$G$150,$R95+($R95*$E95*V$82),$R95*(1+$E95)^V$82)</f>
        <v>0.11899999999999999</v>
      </c>
      <c r="W95" s="465">
        <f>IF(Auswahllisten!$G$150,$R95+($R95*$E95*W$82),$R95*(1+$E95)^W$82)</f>
        <v>0.11899999999999999</v>
      </c>
      <c r="X95" s="465">
        <f>IF(Auswahllisten!$G$150,$R95+($R95*$E95*X$82),$R95*(1+$E95)^X$82)</f>
        <v>0.11899999999999999</v>
      </c>
      <c r="Y95" s="465">
        <f>IF(Auswahllisten!$G$150,$R95+($R95*$E95*Y$82),$R95*(1+$E95)^Y$82)</f>
        <v>0.11899999999999999</v>
      </c>
      <c r="Z95" s="465">
        <f>IF(Auswahllisten!$G$150,$R95+($R95*$E95*Z$82),$R95*(1+$E95)^Z$82)</f>
        <v>0.11899999999999999</v>
      </c>
      <c r="AA95" s="465">
        <f>IF(Auswahllisten!$G$150,$R95+($R95*$E95*AA$82),$R95*(1+$E95)^AA$82)</f>
        <v>0.11899999999999999</v>
      </c>
      <c r="AB95" s="465">
        <f>IF(Auswahllisten!$G$150,$R95+($R95*$E95*AB$82),$R95*(1+$E95)^AB$82)</f>
        <v>0.11899999999999999</v>
      </c>
      <c r="AC95" s="465">
        <f>IF(Auswahllisten!$G$150,$R95+($R95*$E95*AC$82),$R95*(1+$E95)^AC$82)</f>
        <v>0.11899999999999999</v>
      </c>
      <c r="AD95" s="465">
        <f>IF(Auswahllisten!$G$150,$R95+($R95*$E95*AD$82),$R95*(1+$E95)^AD$82)</f>
        <v>0.11899999999999999</v>
      </c>
      <c r="AE95" s="465">
        <f>IF(Auswahllisten!$G$150,$R95+($R95*$E95*AE$82),$R95*(1+$E95)^AE$82)</f>
        <v>0.11899999999999999</v>
      </c>
      <c r="AF95" s="465">
        <f>IF(Auswahllisten!$G$150,$R95+($R95*$E95*AF$82),$R95*(1+$E95)^AF$82)</f>
        <v>0.11899999999999999</v>
      </c>
      <c r="AG95" s="465">
        <f>IF(Auswahllisten!$G$150,$R95+($R95*$E95*AG$82),$R95*(1+$E95)^AG$82)</f>
        <v>0.11899999999999999</v>
      </c>
      <c r="AH95" s="465">
        <f>IF(Auswahllisten!$G$150,$R95+($R95*$E95*AH$82),$R95*(1+$E95)^AH$82)</f>
        <v>0.11899999999999999</v>
      </c>
      <c r="AI95" s="465">
        <f>IF(Auswahllisten!$G$150,$R95+($R95*$E95*AI$82),$R95*(1+$E95)^AI$82)</f>
        <v>0.11899999999999999</v>
      </c>
      <c r="AJ95" s="465">
        <f>IF(Auswahllisten!$G$150,$R95+($R95*$E95*AJ$82),$R95*(1+$E95)^AJ$82)</f>
        <v>0.11899999999999999</v>
      </c>
      <c r="AK95" s="465">
        <f>IF(Auswahllisten!$G$150,$R95+($R95*$E95*AK$82),$R95*(1+$E95)^AK$82)</f>
        <v>0.11899999999999999</v>
      </c>
      <c r="AL95" s="465">
        <f>IF(Auswahllisten!$G$150,$R95+($R95*$E95*AL$82),$R95*(1+$E95)^AL$82)</f>
        <v>0.11899999999999999</v>
      </c>
    </row>
    <row r="96" spans="2:38" ht="14.25">
      <c r="B96" s="16" t="s">
        <v>1646</v>
      </c>
      <c r="C96" s="451">
        <v>100</v>
      </c>
      <c r="D96" s="451">
        <f>IF(Energiepreise!D20="",Energiepreise!E20,Energiepreise!D20)</f>
        <v>0.11700000000000001</v>
      </c>
      <c r="E96" s="451">
        <f>IF(Energiepreise!F20="",Energiepreise!G20,Energiepreise!F20)</f>
        <v>0</v>
      </c>
      <c r="F96" s="451">
        <f>IF(Energiepreise!H20="",Energiepreise!I20,Energiepreise!H20)</f>
        <v>0.1</v>
      </c>
      <c r="G96" s="451">
        <f>IF(Energiepreise!J20="",Energiepreise!K20,Energiepreise!J20)</f>
        <v>0</v>
      </c>
      <c r="H96" s="451">
        <f>IF(Energiepreise!L20="",Energiepreise!M20,Energiepreise!L20)</f>
        <v>0</v>
      </c>
      <c r="I96" s="451">
        <f>IF(Energiepreise!N20="",Energiepreise!O20,Energiepreise!N20)</f>
        <v>0</v>
      </c>
      <c r="Q96" s="465" t="str">
        <f>Energiepreise!B20</f>
        <v>3571 - 7150 m³</v>
      </c>
      <c r="R96" s="476">
        <f t="shared" si="1"/>
        <v>0.11700000000000001</v>
      </c>
      <c r="S96" s="465">
        <f>IF(Auswahllisten!$G$150,$R96+($R96*$E96*S$82),$R96*(1+$E96)^S$82)</f>
        <v>0.11700000000000001</v>
      </c>
      <c r="T96" s="465">
        <f>IF(Auswahllisten!$G$150,$R96+($R96*$E96*T$82),$R96*(1+$E96)^T$82)</f>
        <v>0.11700000000000001</v>
      </c>
      <c r="U96" s="465">
        <f>IF(Auswahllisten!$G$150,$R96+($R96*$E96*U$82),$R96*(1+$E96)^U$82)</f>
        <v>0.11700000000000001</v>
      </c>
      <c r="V96" s="465">
        <f>IF(Auswahllisten!$G$150,$R96+($R96*$E96*V$82),$R96*(1+$E96)^V$82)</f>
        <v>0.11700000000000001</v>
      </c>
      <c r="W96" s="465">
        <f>IF(Auswahllisten!$G$150,$R96+($R96*$E96*W$82),$R96*(1+$E96)^W$82)</f>
        <v>0.11700000000000001</v>
      </c>
      <c r="X96" s="465">
        <f>IF(Auswahllisten!$G$150,$R96+($R96*$E96*X$82),$R96*(1+$E96)^X$82)</f>
        <v>0.11700000000000001</v>
      </c>
      <c r="Y96" s="465">
        <f>IF(Auswahllisten!$G$150,$R96+($R96*$E96*Y$82),$R96*(1+$E96)^Y$82)</f>
        <v>0.11700000000000001</v>
      </c>
      <c r="Z96" s="465">
        <f>IF(Auswahllisten!$G$150,$R96+($R96*$E96*Z$82),$R96*(1+$E96)^Z$82)</f>
        <v>0.11700000000000001</v>
      </c>
      <c r="AA96" s="465">
        <f>IF(Auswahllisten!$G$150,$R96+($R96*$E96*AA$82),$R96*(1+$E96)^AA$82)</f>
        <v>0.11700000000000001</v>
      </c>
      <c r="AB96" s="465">
        <f>IF(Auswahllisten!$G$150,$R96+($R96*$E96*AB$82),$R96*(1+$E96)^AB$82)</f>
        <v>0.11700000000000001</v>
      </c>
      <c r="AC96" s="465">
        <f>IF(Auswahllisten!$G$150,$R96+($R96*$E96*AC$82),$R96*(1+$E96)^AC$82)</f>
        <v>0.11700000000000001</v>
      </c>
      <c r="AD96" s="465">
        <f>IF(Auswahllisten!$G$150,$R96+($R96*$E96*AD$82),$R96*(1+$E96)^AD$82)</f>
        <v>0.11700000000000001</v>
      </c>
      <c r="AE96" s="465">
        <f>IF(Auswahllisten!$G$150,$R96+($R96*$E96*AE$82),$R96*(1+$E96)^AE$82)</f>
        <v>0.11700000000000001</v>
      </c>
      <c r="AF96" s="465">
        <f>IF(Auswahllisten!$G$150,$R96+($R96*$E96*AF$82),$R96*(1+$E96)^AF$82)</f>
        <v>0.11700000000000001</v>
      </c>
      <c r="AG96" s="465">
        <f>IF(Auswahllisten!$G$150,$R96+($R96*$E96*AG$82),$R96*(1+$E96)^AG$82)</f>
        <v>0.11700000000000001</v>
      </c>
      <c r="AH96" s="465">
        <f>IF(Auswahllisten!$G$150,$R96+($R96*$E96*AH$82),$R96*(1+$E96)^AH$82)</f>
        <v>0.11700000000000001</v>
      </c>
      <c r="AI96" s="465">
        <f>IF(Auswahllisten!$G$150,$R96+($R96*$E96*AI$82),$R96*(1+$E96)^AI$82)</f>
        <v>0.11700000000000001</v>
      </c>
      <c r="AJ96" s="465">
        <f>IF(Auswahllisten!$G$150,$R96+($R96*$E96*AJ$82),$R96*(1+$E96)^AJ$82)</f>
        <v>0.11700000000000001</v>
      </c>
      <c r="AK96" s="465">
        <f>IF(Auswahllisten!$G$150,$R96+($R96*$E96*AK$82),$R96*(1+$E96)^AK$82)</f>
        <v>0.11700000000000001</v>
      </c>
      <c r="AL96" s="465">
        <f>IF(Auswahllisten!$G$150,$R96+($R96*$E96*AL$82),$R96*(1+$E96)^AL$82)</f>
        <v>0.11700000000000001</v>
      </c>
    </row>
    <row r="97" spans="2:38" ht="14.25">
      <c r="B97" s="16" t="s">
        <v>1647</v>
      </c>
      <c r="C97" s="451"/>
      <c r="D97" s="451">
        <f>IF(Energiepreise!D21="",Energiepreise!E21,Energiepreise!D21)</f>
        <v>0.113</v>
      </c>
      <c r="E97" s="451">
        <f>IF(Energiepreise!F21="",Energiepreise!G21,Energiepreise!F21)</f>
        <v>0</v>
      </c>
      <c r="F97" s="451">
        <f>IF(Energiepreise!H21="",Energiepreise!I21,Energiepreise!H21)</f>
        <v>0.09</v>
      </c>
      <c r="G97" s="451">
        <f>IF(Energiepreise!J21="",Energiepreise!K21,Energiepreise!J21)</f>
        <v>0</v>
      </c>
      <c r="H97" s="451">
        <f>IF(Energiepreise!L21="",Energiepreise!M21,Energiepreise!L21)</f>
        <v>0</v>
      </c>
      <c r="I97" s="451">
        <f>IF(Energiepreise!N21="",Energiepreise!O21,Energiepreise!N21)</f>
        <v>0</v>
      </c>
      <c r="Q97" s="465" t="str">
        <f>Energiepreise!B21</f>
        <v>&gt; 7150 m³</v>
      </c>
      <c r="R97" s="476">
        <f t="shared" si="1"/>
        <v>0.113</v>
      </c>
      <c r="S97" s="465">
        <f>IF(Auswahllisten!$G$150,$R97+($R97*$E97*S$82),$R97*(1+$E97)^S$82)</f>
        <v>0.113</v>
      </c>
      <c r="T97" s="465">
        <f>IF(Auswahllisten!$G$150,$R97+($R97*$E97*T$82),$R97*(1+$E97)^T$82)</f>
        <v>0.113</v>
      </c>
      <c r="U97" s="465">
        <f>IF(Auswahllisten!$G$150,$R97+($R97*$E97*U$82),$R97*(1+$E97)^U$82)</f>
        <v>0.113</v>
      </c>
      <c r="V97" s="465">
        <f>IF(Auswahllisten!$G$150,$R97+($R97*$E97*V$82),$R97*(1+$E97)^V$82)</f>
        <v>0.113</v>
      </c>
      <c r="W97" s="465">
        <f>IF(Auswahllisten!$G$150,$R97+($R97*$E97*W$82),$R97*(1+$E97)^W$82)</f>
        <v>0.113</v>
      </c>
      <c r="X97" s="465">
        <f>IF(Auswahllisten!$G$150,$R97+($R97*$E97*X$82),$R97*(1+$E97)^X$82)</f>
        <v>0.113</v>
      </c>
      <c r="Y97" s="465">
        <f>IF(Auswahllisten!$G$150,$R97+($R97*$E97*Y$82),$R97*(1+$E97)^Y$82)</f>
        <v>0.113</v>
      </c>
      <c r="Z97" s="465">
        <f>IF(Auswahllisten!$G$150,$R97+($R97*$E97*Z$82),$R97*(1+$E97)^Z$82)</f>
        <v>0.113</v>
      </c>
      <c r="AA97" s="465">
        <f>IF(Auswahllisten!$G$150,$R97+($R97*$E97*AA$82),$R97*(1+$E97)^AA$82)</f>
        <v>0.113</v>
      </c>
      <c r="AB97" s="465">
        <f>IF(Auswahllisten!$G$150,$R97+($R97*$E97*AB$82),$R97*(1+$E97)^AB$82)</f>
        <v>0.113</v>
      </c>
      <c r="AC97" s="465">
        <f>IF(Auswahllisten!$G$150,$R97+($R97*$E97*AC$82),$R97*(1+$E97)^AC$82)</f>
        <v>0.113</v>
      </c>
      <c r="AD97" s="465">
        <f>IF(Auswahllisten!$G$150,$R97+($R97*$E97*AD$82),$R97*(1+$E97)^AD$82)</f>
        <v>0.113</v>
      </c>
      <c r="AE97" s="465">
        <f>IF(Auswahllisten!$G$150,$R97+($R97*$E97*AE$82),$R97*(1+$E97)^AE$82)</f>
        <v>0.113</v>
      </c>
      <c r="AF97" s="465">
        <f>IF(Auswahllisten!$G$150,$R97+($R97*$E97*AF$82),$R97*(1+$E97)^AF$82)</f>
        <v>0.113</v>
      </c>
      <c r="AG97" s="465">
        <f>IF(Auswahllisten!$G$150,$R97+($R97*$E97*AG$82),$R97*(1+$E97)^AG$82)</f>
        <v>0.113</v>
      </c>
      <c r="AH97" s="465">
        <f>IF(Auswahllisten!$G$150,$R97+($R97*$E97*AH$82),$R97*(1+$E97)^AH$82)</f>
        <v>0.113</v>
      </c>
      <c r="AI97" s="465">
        <f>IF(Auswahllisten!$G$150,$R97+($R97*$E97*AI$82),$R97*(1+$E97)^AI$82)</f>
        <v>0.113</v>
      </c>
      <c r="AJ97" s="465">
        <f>IF(Auswahllisten!$G$150,$R97+($R97*$E97*AJ$82),$R97*(1+$E97)^AJ$82)</f>
        <v>0.113</v>
      </c>
      <c r="AK97" s="465">
        <f>IF(Auswahllisten!$G$150,$R97+($R97*$E97*AK$82),$R97*(1+$E97)^AK$82)</f>
        <v>0.113</v>
      </c>
      <c r="AL97" s="465">
        <f>IF(Auswahllisten!$G$150,$R97+($R97*$E97*AL$82),$R97*(1+$E97)^AL$82)</f>
        <v>0.113</v>
      </c>
    </row>
    <row r="98" spans="2:38" ht="14.25">
      <c r="C98" s="445"/>
      <c r="D98" s="445"/>
      <c r="E98" s="445"/>
      <c r="F98" s="445"/>
      <c r="G98" s="445"/>
      <c r="H98" s="445"/>
      <c r="I98" s="445"/>
      <c r="Q98" s="465"/>
      <c r="R98" s="476"/>
      <c r="S98" s="465"/>
      <c r="T98" s="465"/>
      <c r="U98" s="465"/>
      <c r="V98" s="465"/>
      <c r="W98" s="465"/>
      <c r="X98" s="465"/>
      <c r="Y98" s="465"/>
      <c r="Z98" s="465"/>
      <c r="AA98" s="465"/>
      <c r="AB98" s="465"/>
      <c r="AC98" s="465"/>
      <c r="AD98" s="465"/>
      <c r="AE98" s="465"/>
      <c r="AF98" s="465"/>
      <c r="AG98" s="465"/>
      <c r="AH98" s="465"/>
      <c r="AI98" s="465"/>
      <c r="AJ98" s="465"/>
      <c r="AK98" s="465"/>
      <c r="AL98" s="465"/>
    </row>
    <row r="99" spans="2:38" ht="14.25">
      <c r="B99" s="50" t="s">
        <v>1</v>
      </c>
      <c r="C99" s="452"/>
      <c r="D99" s="452"/>
      <c r="E99" s="452"/>
      <c r="F99" s="452"/>
      <c r="G99" s="452"/>
      <c r="H99" s="452"/>
      <c r="I99" s="453"/>
      <c r="Q99" s="465" t="str">
        <f ca="1">Sprache!E477 &amp;" (" &amp; Sprache!$E$235 &amp;")"</f>
        <v>Holz (Energiepreise)</v>
      </c>
      <c r="R99" s="476"/>
      <c r="S99" s="465"/>
      <c r="T99" s="465"/>
      <c r="U99" s="465"/>
      <c r="V99" s="465"/>
      <c r="W99" s="465"/>
      <c r="X99" s="465"/>
      <c r="Y99" s="465"/>
      <c r="Z99" s="465"/>
      <c r="AA99" s="465"/>
      <c r="AB99" s="465"/>
      <c r="AC99" s="465"/>
      <c r="AD99" s="465"/>
      <c r="AE99" s="465"/>
      <c r="AF99" s="465"/>
      <c r="AG99" s="465"/>
      <c r="AH99" s="465"/>
      <c r="AI99" s="465"/>
      <c r="AJ99" s="465"/>
      <c r="AK99" s="465"/>
      <c r="AL99" s="465"/>
    </row>
    <row r="100" spans="2:38" ht="14.25">
      <c r="B100" s="16" t="s">
        <v>1624</v>
      </c>
      <c r="C100" s="451"/>
      <c r="D100" s="451">
        <f>IF(Energiepreise!D24="",Energiepreise!E24,Energiepreise!D24)</f>
        <v>6.4000000000000001E-2</v>
      </c>
      <c r="E100" s="451">
        <f>IF(Energiepreise!F24="",Energiepreise!G24,Energiepreise!F24)</f>
        <v>0</v>
      </c>
      <c r="F100" s="451">
        <f>IF(Energiepreise!H24="",Energiepreise!I24,Energiepreise!H24)</f>
        <v>0</v>
      </c>
      <c r="G100" s="451">
        <f>IF(Energiepreise!J24="",Energiepreise!K24,Energiepreise!J24)</f>
        <v>0</v>
      </c>
      <c r="H100" s="451">
        <f>IF(Energiepreise!L24="",Energiepreise!M24,Energiepreise!L24)</f>
        <v>0</v>
      </c>
      <c r="I100" s="451">
        <f>IF(Energiepreise!N24="",Energiepreise!O24,Energiepreise!N24)</f>
        <v>0</v>
      </c>
      <c r="Q100" s="465" t="str">
        <f ca="1">Energiepreise!B23</f>
        <v>Pellets</v>
      </c>
      <c r="R100" s="476">
        <f t="shared" si="1"/>
        <v>6.4000000000000001E-2</v>
      </c>
      <c r="S100" s="465">
        <f>IF(Auswahllisten!$G$150,$R100+($R100*$E100*S$82),$R100*(1+$E100)^S$82)</f>
        <v>6.4000000000000001E-2</v>
      </c>
      <c r="T100" s="465">
        <f>IF(Auswahllisten!$G$150,$R100+($R100*$E100*T$82),$R100*(1+$E100)^T$82)</f>
        <v>6.4000000000000001E-2</v>
      </c>
      <c r="U100" s="465">
        <f>IF(Auswahllisten!$G$150,$R100+($R100*$E100*U$82),$R100*(1+$E100)^U$82)</f>
        <v>6.4000000000000001E-2</v>
      </c>
      <c r="V100" s="465">
        <f>IF(Auswahllisten!$G$150,$R100+($R100*$E100*V$82),$R100*(1+$E100)^V$82)</f>
        <v>6.4000000000000001E-2</v>
      </c>
      <c r="W100" s="465">
        <f>IF(Auswahllisten!$G$150,$R100+($R100*$E100*W$82),$R100*(1+$E100)^W$82)</f>
        <v>6.4000000000000001E-2</v>
      </c>
      <c r="X100" s="465">
        <f>IF(Auswahllisten!$G$150,$R100+($R100*$E100*X$82),$R100*(1+$E100)^X$82)</f>
        <v>6.4000000000000001E-2</v>
      </c>
      <c r="Y100" s="465">
        <f>IF(Auswahllisten!$G$150,$R100+($R100*$E100*Y$82),$R100*(1+$E100)^Y$82)</f>
        <v>6.4000000000000001E-2</v>
      </c>
      <c r="Z100" s="465">
        <f>IF(Auswahllisten!$G$150,$R100+($R100*$E100*Z$82),$R100*(1+$E100)^Z$82)</f>
        <v>6.4000000000000001E-2</v>
      </c>
      <c r="AA100" s="465">
        <f>IF(Auswahllisten!$G$150,$R100+($R100*$E100*AA$82),$R100*(1+$E100)^AA$82)</f>
        <v>6.4000000000000001E-2</v>
      </c>
      <c r="AB100" s="465">
        <f>IF(Auswahllisten!$G$150,$R100+($R100*$E100*AB$82),$R100*(1+$E100)^AB$82)</f>
        <v>6.4000000000000001E-2</v>
      </c>
      <c r="AC100" s="465">
        <f>IF(Auswahllisten!$G$150,$R100+($R100*$E100*AC$82),$R100*(1+$E100)^AC$82)</f>
        <v>6.4000000000000001E-2</v>
      </c>
      <c r="AD100" s="465">
        <f>IF(Auswahllisten!$G$150,$R100+($R100*$E100*AD$82),$R100*(1+$E100)^AD$82)</f>
        <v>6.4000000000000001E-2</v>
      </c>
      <c r="AE100" s="465">
        <f>IF(Auswahllisten!$G$150,$R100+($R100*$E100*AE$82),$R100*(1+$E100)^AE$82)</f>
        <v>6.4000000000000001E-2</v>
      </c>
      <c r="AF100" s="465">
        <f>IF(Auswahllisten!$G$150,$R100+($R100*$E100*AF$82),$R100*(1+$E100)^AF$82)</f>
        <v>6.4000000000000001E-2</v>
      </c>
      <c r="AG100" s="465">
        <f>IF(Auswahllisten!$G$150,$R100+($R100*$E100*AG$82),$R100*(1+$E100)^AG$82)</f>
        <v>6.4000000000000001E-2</v>
      </c>
      <c r="AH100" s="465">
        <f>IF(Auswahllisten!$G$150,$R100+($R100*$E100*AH$82),$R100*(1+$E100)^AH$82)</f>
        <v>6.4000000000000001E-2</v>
      </c>
      <c r="AI100" s="465">
        <f>IF(Auswahllisten!$G$150,$R100+($R100*$E100*AI$82),$R100*(1+$E100)^AI$82)</f>
        <v>6.4000000000000001E-2</v>
      </c>
      <c r="AJ100" s="465">
        <f>IF(Auswahllisten!$G$150,$R100+($R100*$E100*AJ$82),$R100*(1+$E100)^AJ$82)</f>
        <v>6.4000000000000001E-2</v>
      </c>
      <c r="AK100" s="465">
        <f>IF(Auswahllisten!$G$150,$R100+($R100*$E100*AK$82),$R100*(1+$E100)^AK$82)</f>
        <v>6.4000000000000001E-2</v>
      </c>
      <c r="AL100" s="465">
        <f>IF(Auswahllisten!$G$150,$R100+($R100*$E100*AL$82),$R100*(1+$E100)^AL$82)</f>
        <v>6.4000000000000001E-2</v>
      </c>
    </row>
    <row r="101" spans="2:38" ht="14.25">
      <c r="C101" s="445"/>
      <c r="D101" s="445"/>
      <c r="E101" s="445"/>
      <c r="F101" s="445"/>
      <c r="G101" s="445"/>
      <c r="H101" s="445"/>
      <c r="I101" s="445"/>
      <c r="Q101" s="465"/>
      <c r="R101" s="476"/>
      <c r="S101" s="465"/>
      <c r="T101" s="465"/>
      <c r="U101" s="465"/>
      <c r="V101" s="465"/>
      <c r="W101" s="465"/>
      <c r="X101" s="465"/>
      <c r="Y101" s="465"/>
      <c r="Z101" s="465"/>
      <c r="AA101" s="465"/>
      <c r="AB101" s="465"/>
      <c r="AC101" s="465"/>
      <c r="AD101" s="465"/>
      <c r="AE101" s="465"/>
      <c r="AF101" s="465"/>
      <c r="AG101" s="465"/>
      <c r="AH101" s="465"/>
      <c r="AI101" s="465"/>
      <c r="AJ101" s="465"/>
      <c r="AK101" s="465"/>
      <c r="AL101" s="465"/>
    </row>
    <row r="102" spans="2:38" ht="14.25">
      <c r="B102" s="50" t="s">
        <v>15</v>
      </c>
      <c r="C102" s="452"/>
      <c r="D102" s="452"/>
      <c r="E102" s="452"/>
      <c r="F102" s="452"/>
      <c r="G102" s="452"/>
      <c r="H102" s="452"/>
      <c r="I102" s="453"/>
      <c r="Q102" s="465" t="str">
        <f ca="1">Energiepreise!B26</f>
        <v>Hackschnitzel</v>
      </c>
      <c r="R102" s="476"/>
      <c r="S102" s="465"/>
      <c r="T102" s="465"/>
      <c r="U102" s="465"/>
      <c r="V102" s="465"/>
      <c r="W102" s="465"/>
      <c r="X102" s="465"/>
      <c r="Y102" s="465"/>
      <c r="Z102" s="465"/>
      <c r="AA102" s="465"/>
      <c r="AB102" s="465"/>
      <c r="AC102" s="465"/>
      <c r="AD102" s="465"/>
      <c r="AE102" s="465"/>
      <c r="AF102" s="465"/>
      <c r="AG102" s="465"/>
      <c r="AH102" s="465"/>
      <c r="AI102" s="465"/>
      <c r="AJ102" s="465"/>
      <c r="AK102" s="465"/>
      <c r="AL102" s="465"/>
    </row>
    <row r="103" spans="2:38" ht="14.25">
      <c r="B103" s="16"/>
      <c r="C103" s="451"/>
      <c r="D103" s="451">
        <f>IF(Energiepreise!D27="",Energiepreise!E27,Energiepreise!D27)</f>
        <v>4.9000000000000002E-2</v>
      </c>
      <c r="E103" s="451">
        <f>IF(Energiepreise!F27="",Energiepreise!G27,Energiepreise!F27)</f>
        <v>0</v>
      </c>
      <c r="F103" s="451">
        <f>IF(Energiepreise!H27="",Energiepreise!I27,Energiepreise!H27)</f>
        <v>0</v>
      </c>
      <c r="G103" s="451">
        <f>IF(Energiepreise!J27="",Energiepreise!K27,Energiepreise!J27)</f>
        <v>0</v>
      </c>
      <c r="H103" s="451">
        <f>IF(Energiepreise!L27="",Energiepreise!M27,Energiepreise!L27)</f>
        <v>0</v>
      </c>
      <c r="I103" s="451">
        <f>IF(Energiepreise!N27="",Energiepreise!O27,Energiepreise!N27)</f>
        <v>0</v>
      </c>
      <c r="Q103" s="465"/>
      <c r="R103" s="476">
        <f t="shared" si="1"/>
        <v>4.9000000000000002E-2</v>
      </c>
      <c r="S103" s="465">
        <f>IF(Auswahllisten!$G$150,$R103+($R103*$E103*S$82),$R103*(1+$E103)^S$82)</f>
        <v>4.9000000000000002E-2</v>
      </c>
      <c r="T103" s="465">
        <f>IF(Auswahllisten!$G$150,$R103+($R103*$E103*T$82),$R103*(1+$E103)^T$82)</f>
        <v>4.9000000000000002E-2</v>
      </c>
      <c r="U103" s="465">
        <f>IF(Auswahllisten!$G$150,$R103+($R103*$E103*U$82),$R103*(1+$E103)^U$82)</f>
        <v>4.9000000000000002E-2</v>
      </c>
      <c r="V103" s="465">
        <f>IF(Auswahllisten!$G$150,$R103+($R103*$E103*V$82),$R103*(1+$E103)^V$82)</f>
        <v>4.9000000000000002E-2</v>
      </c>
      <c r="W103" s="465">
        <f>IF(Auswahllisten!$G$150,$R103+($R103*$E103*W$82),$R103*(1+$E103)^W$82)</f>
        <v>4.9000000000000002E-2</v>
      </c>
      <c r="X103" s="465">
        <f>IF(Auswahllisten!$G$150,$R103+($R103*$E103*X$82),$R103*(1+$E103)^X$82)</f>
        <v>4.9000000000000002E-2</v>
      </c>
      <c r="Y103" s="465">
        <f>IF(Auswahllisten!$G$150,$R103+($R103*$E103*Y$82),$R103*(1+$E103)^Y$82)</f>
        <v>4.9000000000000002E-2</v>
      </c>
      <c r="Z103" s="465">
        <f>IF(Auswahllisten!$G$150,$R103+($R103*$E103*Z$82),$R103*(1+$E103)^Z$82)</f>
        <v>4.9000000000000002E-2</v>
      </c>
      <c r="AA103" s="465">
        <f>IF(Auswahllisten!$G$150,$R103+($R103*$E103*AA$82),$R103*(1+$E103)^AA$82)</f>
        <v>4.9000000000000002E-2</v>
      </c>
      <c r="AB103" s="465">
        <f>IF(Auswahllisten!$G$150,$R103+($R103*$E103*AB$82),$R103*(1+$E103)^AB$82)</f>
        <v>4.9000000000000002E-2</v>
      </c>
      <c r="AC103" s="465">
        <f>IF(Auswahllisten!$G$150,$R103+($R103*$E103*AC$82),$R103*(1+$E103)^AC$82)</f>
        <v>4.9000000000000002E-2</v>
      </c>
      <c r="AD103" s="465">
        <f>IF(Auswahllisten!$G$150,$R103+($R103*$E103*AD$82),$R103*(1+$E103)^AD$82)</f>
        <v>4.9000000000000002E-2</v>
      </c>
      <c r="AE103" s="465">
        <f>IF(Auswahllisten!$G$150,$R103+($R103*$E103*AE$82),$R103*(1+$E103)^AE$82)</f>
        <v>4.9000000000000002E-2</v>
      </c>
      <c r="AF103" s="465">
        <f>IF(Auswahllisten!$G$150,$R103+($R103*$E103*AF$82),$R103*(1+$E103)^AF$82)</f>
        <v>4.9000000000000002E-2</v>
      </c>
      <c r="AG103" s="465">
        <f>IF(Auswahllisten!$G$150,$R103+($R103*$E103*AG$82),$R103*(1+$E103)^AG$82)</f>
        <v>4.9000000000000002E-2</v>
      </c>
      <c r="AH103" s="465">
        <f>IF(Auswahllisten!$G$150,$R103+($R103*$E103*AH$82),$R103*(1+$E103)^AH$82)</f>
        <v>4.9000000000000002E-2</v>
      </c>
      <c r="AI103" s="465">
        <f>IF(Auswahllisten!$G$150,$R103+($R103*$E103*AI$82),$R103*(1+$E103)^AI$82)</f>
        <v>4.9000000000000002E-2</v>
      </c>
      <c r="AJ103" s="465">
        <f>IF(Auswahllisten!$G$150,$R103+($R103*$E103*AJ$82),$R103*(1+$E103)^AJ$82)</f>
        <v>4.9000000000000002E-2</v>
      </c>
      <c r="AK103" s="465">
        <f>IF(Auswahllisten!$G$150,$R103+($R103*$E103*AK$82),$R103*(1+$E103)^AK$82)</f>
        <v>4.9000000000000002E-2</v>
      </c>
      <c r="AL103" s="465">
        <f>IF(Auswahllisten!$G$150,$R103+($R103*$E103*AL$82),$R103*(1+$E103)^AL$82)</f>
        <v>4.9000000000000002E-2</v>
      </c>
    </row>
    <row r="104" spans="2:38" ht="14.25">
      <c r="C104" s="445"/>
      <c r="D104" s="445"/>
      <c r="E104" s="445"/>
      <c r="F104" s="445"/>
      <c r="G104" s="445"/>
      <c r="H104" s="445"/>
      <c r="I104" s="445"/>
      <c r="Q104" s="465"/>
      <c r="R104" s="476"/>
      <c r="S104" s="465"/>
      <c r="T104" s="465"/>
      <c r="U104" s="465"/>
      <c r="V104" s="465"/>
      <c r="W104" s="465"/>
      <c r="X104" s="465"/>
      <c r="Y104" s="465"/>
      <c r="Z104" s="465"/>
      <c r="AA104" s="465"/>
      <c r="AB104" s="465"/>
      <c r="AC104" s="465"/>
      <c r="AD104" s="465"/>
      <c r="AE104" s="465"/>
      <c r="AF104" s="465"/>
      <c r="AG104" s="465"/>
      <c r="AH104" s="465"/>
      <c r="AI104" s="465"/>
      <c r="AJ104" s="465"/>
      <c r="AK104" s="465"/>
      <c r="AL104" s="465"/>
    </row>
    <row r="105" spans="2:38" ht="14.25">
      <c r="B105" s="50" t="s">
        <v>177</v>
      </c>
      <c r="C105" s="452"/>
      <c r="D105" s="452"/>
      <c r="E105" s="452"/>
      <c r="F105" s="452"/>
      <c r="G105" s="452"/>
      <c r="H105" s="452"/>
      <c r="I105" s="453"/>
      <c r="Q105" s="465" t="str">
        <f ca="1">Energiepreise!B29 &amp;" (" &amp; Sprache!$E$235 &amp;")"</f>
        <v>Strom (Energiepreise)</v>
      </c>
      <c r="R105" s="476"/>
      <c r="S105" s="465"/>
      <c r="T105" s="465"/>
      <c r="U105" s="465"/>
      <c r="V105" s="465"/>
      <c r="W105" s="465"/>
      <c r="X105" s="465"/>
      <c r="Y105" s="465"/>
      <c r="Z105" s="465"/>
      <c r="AA105" s="465"/>
      <c r="AB105" s="465"/>
      <c r="AC105" s="465"/>
      <c r="AD105" s="465"/>
      <c r="AE105" s="465"/>
      <c r="AF105" s="465"/>
      <c r="AG105" s="465"/>
      <c r="AH105" s="465"/>
      <c r="AI105" s="465"/>
      <c r="AJ105" s="465"/>
      <c r="AK105" s="465"/>
      <c r="AL105" s="465"/>
    </row>
    <row r="106" spans="2:38" ht="14.25">
      <c r="B106" s="16" t="s">
        <v>1629</v>
      </c>
      <c r="C106" s="451"/>
      <c r="D106" s="454">
        <f>IF(Energiepreise!D30="",Energiepreise!E30,Energiepreise!D30)</f>
        <v>0.26500000000000001</v>
      </c>
      <c r="E106" s="451">
        <f>IF(Energiepreise!F30="",Energiepreise!G30,Energiepreise!F30)</f>
        <v>0</v>
      </c>
      <c r="F106" s="451">
        <f>IF(Energiepreise!H30="",Energiepreise!I30,Energiepreise!H30)</f>
        <v>0</v>
      </c>
      <c r="G106" s="451">
        <f>IF(Energiepreise!J30="",Energiepreise!K30,Energiepreise!J30)</f>
        <v>0</v>
      </c>
      <c r="H106" s="453">
        <f>IF(Energiepreise!L30="",Energiepreise!M30,Energiepreise!L30)</f>
        <v>0</v>
      </c>
      <c r="I106" s="451">
        <f>IF(Energiepreise!N30="",Energiepreise!O30,Energiepreise!N30)</f>
        <v>0</v>
      </c>
      <c r="Q106" s="465" t="str">
        <f>Energiepreise!B30</f>
        <v>H1</v>
      </c>
      <c r="R106" s="476">
        <f t="shared" si="1"/>
        <v>0.26500000000000001</v>
      </c>
      <c r="S106" s="465">
        <f>IF(Auswahllisten!$G$150,$R106+($R106*$E106*S$82),$R106*(1+$E106)^S$82)</f>
        <v>0.26500000000000001</v>
      </c>
      <c r="T106" s="465">
        <f>IF(Auswahllisten!$G$150,$R106+($R106*$E106*T$82),$R106*(1+$E106)^T$82)</f>
        <v>0.26500000000000001</v>
      </c>
      <c r="U106" s="465">
        <f>IF(Auswahllisten!$G$150,$R106+($R106*$E106*U$82),$R106*(1+$E106)^U$82)</f>
        <v>0.26500000000000001</v>
      </c>
      <c r="V106" s="465">
        <f>IF(Auswahllisten!$G$150,$R106+($R106*$E106*V$82),$R106*(1+$E106)^V$82)</f>
        <v>0.26500000000000001</v>
      </c>
      <c r="W106" s="465">
        <f>IF(Auswahllisten!$G$150,$R106+($R106*$E106*W$82),$R106*(1+$E106)^W$82)</f>
        <v>0.26500000000000001</v>
      </c>
      <c r="X106" s="465">
        <f>IF(Auswahllisten!$G$150,$R106+($R106*$E106*X$82),$R106*(1+$E106)^X$82)</f>
        <v>0.26500000000000001</v>
      </c>
      <c r="Y106" s="465">
        <f>IF(Auswahllisten!$G$150,$R106+($R106*$E106*Y$82),$R106*(1+$E106)^Y$82)</f>
        <v>0.26500000000000001</v>
      </c>
      <c r="Z106" s="465">
        <f>IF(Auswahllisten!$G$150,$R106+($R106*$E106*Z$82),$R106*(1+$E106)^Z$82)</f>
        <v>0.26500000000000001</v>
      </c>
      <c r="AA106" s="465">
        <f>IF(Auswahllisten!$G$150,$R106+($R106*$E106*AA$82),$R106*(1+$E106)^AA$82)</f>
        <v>0.26500000000000001</v>
      </c>
      <c r="AB106" s="465">
        <f>IF(Auswahllisten!$G$150,$R106+($R106*$E106*AB$82),$R106*(1+$E106)^AB$82)</f>
        <v>0.26500000000000001</v>
      </c>
      <c r="AC106" s="465">
        <f>IF(Auswahllisten!$G$150,$R106+($R106*$E106*AC$82),$R106*(1+$E106)^AC$82)</f>
        <v>0.26500000000000001</v>
      </c>
      <c r="AD106" s="465">
        <f>IF(Auswahllisten!$G$150,$R106+($R106*$E106*AD$82),$R106*(1+$E106)^AD$82)</f>
        <v>0.26500000000000001</v>
      </c>
      <c r="AE106" s="465">
        <f>IF(Auswahllisten!$G$150,$R106+($R106*$E106*AE$82),$R106*(1+$E106)^AE$82)</f>
        <v>0.26500000000000001</v>
      </c>
      <c r="AF106" s="465">
        <f>IF(Auswahllisten!$G$150,$R106+($R106*$E106*AF$82),$R106*(1+$E106)^AF$82)</f>
        <v>0.26500000000000001</v>
      </c>
      <c r="AG106" s="465">
        <f>IF(Auswahllisten!$G$150,$R106+($R106*$E106*AG$82),$R106*(1+$E106)^AG$82)</f>
        <v>0.26500000000000001</v>
      </c>
      <c r="AH106" s="465">
        <f>IF(Auswahllisten!$G$150,$R106+($R106*$E106*AH$82),$R106*(1+$E106)^AH$82)</f>
        <v>0.26500000000000001</v>
      </c>
      <c r="AI106" s="465">
        <f>IF(Auswahllisten!$G$150,$R106+($R106*$E106*AI$82),$R106*(1+$E106)^AI$82)</f>
        <v>0.26500000000000001</v>
      </c>
      <c r="AJ106" s="465">
        <f>IF(Auswahllisten!$G$150,$R106+($R106*$E106*AJ$82),$R106*(1+$E106)^AJ$82)</f>
        <v>0.26500000000000001</v>
      </c>
      <c r="AK106" s="465">
        <f>IF(Auswahllisten!$G$150,$R106+($R106*$E106*AK$82),$R106*(1+$E106)^AK$82)</f>
        <v>0.26500000000000001</v>
      </c>
      <c r="AL106" s="465">
        <f>IF(Auswahllisten!$G$150,$R106+($R106*$E106*AL$82),$R106*(1+$E106)^AL$82)</f>
        <v>0.26500000000000001</v>
      </c>
    </row>
    <row r="107" spans="2:38" ht="14.25">
      <c r="B107" s="16" t="s">
        <v>1630</v>
      </c>
      <c r="C107" s="451"/>
      <c r="D107" s="454">
        <f>IF(Energiepreise!D31="",Energiepreise!E31,Energiepreise!D31)</f>
        <v>0.24399999999999999</v>
      </c>
      <c r="E107" s="451">
        <f>IF(Energiepreise!F31="",Energiepreise!G31,Energiepreise!F31)</f>
        <v>0</v>
      </c>
      <c r="F107" s="451">
        <f>IF(Energiepreise!H31="",Energiepreise!I31,Energiepreise!H31)</f>
        <v>0</v>
      </c>
      <c r="G107" s="451">
        <f>IF(Energiepreise!J31="",Energiepreise!K31,Energiepreise!J31)</f>
        <v>0</v>
      </c>
      <c r="H107" s="453">
        <f>IF(Energiepreise!L31="",Energiepreise!M31,Energiepreise!L31)</f>
        <v>0</v>
      </c>
      <c r="I107" s="451">
        <f>IF(Energiepreise!N31="",Energiepreise!O31,Energiepreise!N31)</f>
        <v>0</v>
      </c>
      <c r="Q107" s="465" t="str">
        <f>Energiepreise!B31</f>
        <v>H2</v>
      </c>
      <c r="R107" s="476">
        <f t="shared" si="1"/>
        <v>0.24399999999999999</v>
      </c>
      <c r="S107" s="465">
        <f>IF(Auswahllisten!$G$150,$R107+($R107*$E107*S$82),$R107*(1+$E107)^S$82)</f>
        <v>0.24399999999999999</v>
      </c>
      <c r="T107" s="465">
        <f>IF(Auswahllisten!$G$150,$R107+($R107*$E107*T$82),$R107*(1+$E107)^T$82)</f>
        <v>0.24399999999999999</v>
      </c>
      <c r="U107" s="465">
        <f>IF(Auswahllisten!$G$150,$R107+($R107*$E107*U$82),$R107*(1+$E107)^U$82)</f>
        <v>0.24399999999999999</v>
      </c>
      <c r="V107" s="465">
        <f>IF(Auswahllisten!$G$150,$R107+($R107*$E107*V$82),$R107*(1+$E107)^V$82)</f>
        <v>0.24399999999999999</v>
      </c>
      <c r="W107" s="465">
        <f>IF(Auswahllisten!$G$150,$R107+($R107*$E107*W$82),$R107*(1+$E107)^W$82)</f>
        <v>0.24399999999999999</v>
      </c>
      <c r="X107" s="465">
        <f>IF(Auswahllisten!$G$150,$R107+($R107*$E107*X$82),$R107*(1+$E107)^X$82)</f>
        <v>0.24399999999999999</v>
      </c>
      <c r="Y107" s="465">
        <f>IF(Auswahllisten!$G$150,$R107+($R107*$E107*Y$82),$R107*(1+$E107)^Y$82)</f>
        <v>0.24399999999999999</v>
      </c>
      <c r="Z107" s="465">
        <f>IF(Auswahllisten!$G$150,$R107+($R107*$E107*Z$82),$R107*(1+$E107)^Z$82)</f>
        <v>0.24399999999999999</v>
      </c>
      <c r="AA107" s="465">
        <f>IF(Auswahllisten!$G$150,$R107+($R107*$E107*AA$82),$R107*(1+$E107)^AA$82)</f>
        <v>0.24399999999999999</v>
      </c>
      <c r="AB107" s="465">
        <f>IF(Auswahllisten!$G$150,$R107+($R107*$E107*AB$82),$R107*(1+$E107)^AB$82)</f>
        <v>0.24399999999999999</v>
      </c>
      <c r="AC107" s="465">
        <f>IF(Auswahllisten!$G$150,$R107+($R107*$E107*AC$82),$R107*(1+$E107)^AC$82)</f>
        <v>0.24399999999999999</v>
      </c>
      <c r="AD107" s="465">
        <f>IF(Auswahllisten!$G$150,$R107+($R107*$E107*AD$82),$R107*(1+$E107)^AD$82)</f>
        <v>0.24399999999999999</v>
      </c>
      <c r="AE107" s="465">
        <f>IF(Auswahllisten!$G$150,$R107+($R107*$E107*AE$82),$R107*(1+$E107)^AE$82)</f>
        <v>0.24399999999999999</v>
      </c>
      <c r="AF107" s="465">
        <f>IF(Auswahllisten!$G$150,$R107+($R107*$E107*AF$82),$R107*(1+$E107)^AF$82)</f>
        <v>0.24399999999999999</v>
      </c>
      <c r="AG107" s="465">
        <f>IF(Auswahllisten!$G$150,$R107+($R107*$E107*AG$82),$R107*(1+$E107)^AG$82)</f>
        <v>0.24399999999999999</v>
      </c>
      <c r="AH107" s="465">
        <f>IF(Auswahllisten!$G$150,$R107+($R107*$E107*AH$82),$R107*(1+$E107)^AH$82)</f>
        <v>0.24399999999999999</v>
      </c>
      <c r="AI107" s="465">
        <f>IF(Auswahllisten!$G$150,$R107+($R107*$E107*AI$82),$R107*(1+$E107)^AI$82)</f>
        <v>0.24399999999999999</v>
      </c>
      <c r="AJ107" s="465">
        <f>IF(Auswahllisten!$G$150,$R107+($R107*$E107*AJ$82),$R107*(1+$E107)^AJ$82)</f>
        <v>0.24399999999999999</v>
      </c>
      <c r="AK107" s="465">
        <f>IF(Auswahllisten!$G$150,$R107+($R107*$E107*AK$82),$R107*(1+$E107)^AK$82)</f>
        <v>0.24399999999999999</v>
      </c>
      <c r="AL107" s="465">
        <f>IF(Auswahllisten!$G$150,$R107+($R107*$E107*AL$82),$R107*(1+$E107)^AL$82)</f>
        <v>0.24399999999999999</v>
      </c>
    </row>
    <row r="108" spans="2:38" ht="14.25">
      <c r="B108" s="16" t="s">
        <v>1631</v>
      </c>
      <c r="C108" s="451"/>
      <c r="D108" s="454">
        <f>IF(Energiepreise!D32="",Energiepreise!E32,Energiepreise!D32)</f>
        <v>0.20899999999999999</v>
      </c>
      <c r="E108" s="451">
        <f>IF(Energiepreise!F32="",Energiepreise!G32,Energiepreise!F32)</f>
        <v>0</v>
      </c>
      <c r="F108" s="451">
        <f>IF(Energiepreise!H32="",Energiepreise!I32,Energiepreise!H32)</f>
        <v>0</v>
      </c>
      <c r="G108" s="451">
        <f>IF(Energiepreise!J32="",Energiepreise!K32,Energiepreise!J32)</f>
        <v>0</v>
      </c>
      <c r="H108" s="453">
        <f>IF(Energiepreise!L32="",Energiepreise!M32,Energiepreise!L32)</f>
        <v>0</v>
      </c>
      <c r="I108" s="451">
        <f>IF(Energiepreise!N32="",Energiepreise!O32,Energiepreise!N32)</f>
        <v>0</v>
      </c>
      <c r="Q108" s="465" t="str">
        <f>Energiepreise!B32</f>
        <v>H3</v>
      </c>
      <c r="R108" s="476">
        <f t="shared" si="1"/>
        <v>0.20899999999999999</v>
      </c>
      <c r="S108" s="465">
        <f>IF(Auswahllisten!$G$150,$R108+($R108*$E108*S$82),$R108*(1+$E108)^S$82)</f>
        <v>0.20899999999999999</v>
      </c>
      <c r="T108" s="465">
        <f>IF(Auswahllisten!$G$150,$R108+($R108*$E108*T$82),$R108*(1+$E108)^T$82)</f>
        <v>0.20899999999999999</v>
      </c>
      <c r="U108" s="465">
        <f>IF(Auswahllisten!$G$150,$R108+($R108*$E108*U$82),$R108*(1+$E108)^U$82)</f>
        <v>0.20899999999999999</v>
      </c>
      <c r="V108" s="465">
        <f>IF(Auswahllisten!$G$150,$R108+($R108*$E108*V$82),$R108*(1+$E108)^V$82)</f>
        <v>0.20899999999999999</v>
      </c>
      <c r="W108" s="465">
        <f>IF(Auswahllisten!$G$150,$R108+($R108*$E108*W$82),$R108*(1+$E108)^W$82)</f>
        <v>0.20899999999999999</v>
      </c>
      <c r="X108" s="465">
        <f>IF(Auswahllisten!$G$150,$R108+($R108*$E108*X$82),$R108*(1+$E108)^X$82)</f>
        <v>0.20899999999999999</v>
      </c>
      <c r="Y108" s="465">
        <f>IF(Auswahllisten!$G$150,$R108+($R108*$E108*Y$82),$R108*(1+$E108)^Y$82)</f>
        <v>0.20899999999999999</v>
      </c>
      <c r="Z108" s="465">
        <f>IF(Auswahllisten!$G$150,$R108+($R108*$E108*Z$82),$R108*(1+$E108)^Z$82)</f>
        <v>0.20899999999999999</v>
      </c>
      <c r="AA108" s="465">
        <f>IF(Auswahllisten!$G$150,$R108+($R108*$E108*AA$82),$R108*(1+$E108)^AA$82)</f>
        <v>0.20899999999999999</v>
      </c>
      <c r="AB108" s="465">
        <f>IF(Auswahllisten!$G$150,$R108+($R108*$E108*AB$82),$R108*(1+$E108)^AB$82)</f>
        <v>0.20899999999999999</v>
      </c>
      <c r="AC108" s="465">
        <f>IF(Auswahllisten!$G$150,$R108+($R108*$E108*AC$82),$R108*(1+$E108)^AC$82)</f>
        <v>0.20899999999999999</v>
      </c>
      <c r="AD108" s="465">
        <f>IF(Auswahllisten!$G$150,$R108+($R108*$E108*AD$82),$R108*(1+$E108)^AD$82)</f>
        <v>0.20899999999999999</v>
      </c>
      <c r="AE108" s="465">
        <f>IF(Auswahllisten!$G$150,$R108+($R108*$E108*AE$82),$R108*(1+$E108)^AE$82)</f>
        <v>0.20899999999999999</v>
      </c>
      <c r="AF108" s="465">
        <f>IF(Auswahllisten!$G$150,$R108+($R108*$E108*AF$82),$R108*(1+$E108)^AF$82)</f>
        <v>0.20899999999999999</v>
      </c>
      <c r="AG108" s="465">
        <f>IF(Auswahllisten!$G$150,$R108+($R108*$E108*AG$82),$R108*(1+$E108)^AG$82)</f>
        <v>0.20899999999999999</v>
      </c>
      <c r="AH108" s="465">
        <f>IF(Auswahllisten!$G$150,$R108+($R108*$E108*AH$82),$R108*(1+$E108)^AH$82)</f>
        <v>0.20899999999999999</v>
      </c>
      <c r="AI108" s="465">
        <f>IF(Auswahllisten!$G$150,$R108+($R108*$E108*AI$82),$R108*(1+$E108)^AI$82)</f>
        <v>0.20899999999999999</v>
      </c>
      <c r="AJ108" s="465">
        <f>IF(Auswahllisten!$G$150,$R108+($R108*$E108*AJ$82),$R108*(1+$E108)^AJ$82)</f>
        <v>0.20899999999999999</v>
      </c>
      <c r="AK108" s="465">
        <f>IF(Auswahllisten!$G$150,$R108+($R108*$E108*AK$82),$R108*(1+$E108)^AK$82)</f>
        <v>0.20899999999999999</v>
      </c>
      <c r="AL108" s="465">
        <f>IF(Auswahllisten!$G$150,$R108+($R108*$E108*AL$82),$R108*(1+$E108)^AL$82)</f>
        <v>0.20899999999999999</v>
      </c>
    </row>
    <row r="109" spans="2:38" ht="14.25">
      <c r="B109" s="16" t="s">
        <v>1632</v>
      </c>
      <c r="C109" s="451"/>
      <c r="D109" s="454">
        <f>IF(Energiepreise!D33="",Energiepreise!E33,Energiepreise!D33)</f>
        <v>0.22700000000000001</v>
      </c>
      <c r="E109" s="451">
        <f>IF(Energiepreise!F33="",Energiepreise!G33,Energiepreise!F33)</f>
        <v>0</v>
      </c>
      <c r="F109" s="451">
        <f>IF(Energiepreise!H33="",Energiepreise!I33,Energiepreise!H33)</f>
        <v>0</v>
      </c>
      <c r="G109" s="451">
        <f>IF(Energiepreise!J33="",Energiepreise!K33,Energiepreise!J33)</f>
        <v>0</v>
      </c>
      <c r="H109" s="453">
        <f>IF(Energiepreise!L33="",Energiepreise!M33,Energiepreise!L33)</f>
        <v>0</v>
      </c>
      <c r="I109" s="451">
        <f>IF(Energiepreise!N33="",Energiepreise!O33,Energiepreise!N33)</f>
        <v>0</v>
      </c>
      <c r="Q109" s="465" t="str">
        <f>Energiepreise!B33</f>
        <v>H4</v>
      </c>
      <c r="R109" s="476">
        <f t="shared" si="1"/>
        <v>0.22700000000000001</v>
      </c>
      <c r="S109" s="465">
        <f>IF(Auswahllisten!$G$150,$R109+($R109*$E109*S$82),$R109*(1+$E109)^S$82)</f>
        <v>0.22700000000000001</v>
      </c>
      <c r="T109" s="465">
        <f>IF(Auswahllisten!$G$150,$R109+($R109*$E109*T$82),$R109*(1+$E109)^T$82)</f>
        <v>0.22700000000000001</v>
      </c>
      <c r="U109" s="465">
        <f>IF(Auswahllisten!$G$150,$R109+($R109*$E109*U$82),$R109*(1+$E109)^U$82)</f>
        <v>0.22700000000000001</v>
      </c>
      <c r="V109" s="465">
        <f>IF(Auswahllisten!$G$150,$R109+($R109*$E109*V$82),$R109*(1+$E109)^V$82)</f>
        <v>0.22700000000000001</v>
      </c>
      <c r="W109" s="465">
        <f>IF(Auswahllisten!$G$150,$R109+($R109*$E109*W$82),$R109*(1+$E109)^W$82)</f>
        <v>0.22700000000000001</v>
      </c>
      <c r="X109" s="465">
        <f>IF(Auswahllisten!$G$150,$R109+($R109*$E109*X$82),$R109*(1+$E109)^X$82)</f>
        <v>0.22700000000000001</v>
      </c>
      <c r="Y109" s="465">
        <f>IF(Auswahllisten!$G$150,$R109+($R109*$E109*Y$82),$R109*(1+$E109)^Y$82)</f>
        <v>0.22700000000000001</v>
      </c>
      <c r="Z109" s="465">
        <f>IF(Auswahllisten!$G$150,$R109+($R109*$E109*Z$82),$R109*(1+$E109)^Z$82)</f>
        <v>0.22700000000000001</v>
      </c>
      <c r="AA109" s="465">
        <f>IF(Auswahllisten!$G$150,$R109+($R109*$E109*AA$82),$R109*(1+$E109)^AA$82)</f>
        <v>0.22700000000000001</v>
      </c>
      <c r="AB109" s="465">
        <f>IF(Auswahllisten!$G$150,$R109+($R109*$E109*AB$82),$R109*(1+$E109)^AB$82)</f>
        <v>0.22700000000000001</v>
      </c>
      <c r="AC109" s="465">
        <f>IF(Auswahllisten!$G$150,$R109+($R109*$E109*AC$82),$R109*(1+$E109)^AC$82)</f>
        <v>0.22700000000000001</v>
      </c>
      <c r="AD109" s="465">
        <f>IF(Auswahllisten!$G$150,$R109+($R109*$E109*AD$82),$R109*(1+$E109)^AD$82)</f>
        <v>0.22700000000000001</v>
      </c>
      <c r="AE109" s="465">
        <f>IF(Auswahllisten!$G$150,$R109+($R109*$E109*AE$82),$R109*(1+$E109)^AE$82)</f>
        <v>0.22700000000000001</v>
      </c>
      <c r="AF109" s="465">
        <f>IF(Auswahllisten!$G$150,$R109+($R109*$E109*AF$82),$R109*(1+$E109)^AF$82)</f>
        <v>0.22700000000000001</v>
      </c>
      <c r="AG109" s="465">
        <f>IF(Auswahllisten!$G$150,$R109+($R109*$E109*AG$82),$R109*(1+$E109)^AG$82)</f>
        <v>0.22700000000000001</v>
      </c>
      <c r="AH109" s="465">
        <f>IF(Auswahllisten!$G$150,$R109+($R109*$E109*AH$82),$R109*(1+$E109)^AH$82)</f>
        <v>0.22700000000000001</v>
      </c>
      <c r="AI109" s="465">
        <f>IF(Auswahllisten!$G$150,$R109+($R109*$E109*AI$82),$R109*(1+$E109)^AI$82)</f>
        <v>0.22700000000000001</v>
      </c>
      <c r="AJ109" s="465">
        <f>IF(Auswahllisten!$G$150,$R109+($R109*$E109*AJ$82),$R109*(1+$E109)^AJ$82)</f>
        <v>0.22700000000000001</v>
      </c>
      <c r="AK109" s="465">
        <f>IF(Auswahllisten!$G$150,$R109+($R109*$E109*AK$82),$R109*(1+$E109)^AK$82)</f>
        <v>0.22700000000000001</v>
      </c>
      <c r="AL109" s="465">
        <f>IF(Auswahllisten!$G$150,$R109+($R109*$E109*AL$82),$R109*(1+$E109)^AL$82)</f>
        <v>0.22700000000000001</v>
      </c>
    </row>
    <row r="110" spans="2:38" ht="14.25">
      <c r="B110" s="16" t="s">
        <v>1633</v>
      </c>
      <c r="C110" s="451"/>
      <c r="D110" s="454">
        <f>IF(Energiepreise!D34="",Energiepreise!E34,Energiepreise!D34)</f>
        <v>0.20200000000000001</v>
      </c>
      <c r="E110" s="451">
        <f>IF(Energiepreise!F34="",Energiepreise!G34,Energiepreise!F34)</f>
        <v>0</v>
      </c>
      <c r="F110" s="451">
        <f>IF(Energiepreise!H34="",Energiepreise!I34,Energiepreise!H34)</f>
        <v>0</v>
      </c>
      <c r="G110" s="451">
        <f>IF(Energiepreise!J34="",Energiepreise!K34,Energiepreise!J34)</f>
        <v>0</v>
      </c>
      <c r="H110" s="453">
        <f>IF(Energiepreise!L34="",Energiepreise!M34,Energiepreise!L34)</f>
        <v>0</v>
      </c>
      <c r="I110" s="451">
        <f>IF(Energiepreise!N34="",Energiepreise!O34,Energiepreise!N34)</f>
        <v>0</v>
      </c>
      <c r="Q110" s="465" t="str">
        <f>Energiepreise!B34</f>
        <v>H5</v>
      </c>
      <c r="R110" s="476">
        <f t="shared" si="1"/>
        <v>0.20200000000000001</v>
      </c>
      <c r="S110" s="465">
        <f>IF(Auswahllisten!$G$150,$R110+($R110*$E110*S$82),$R110*(1+$E110)^S$82)</f>
        <v>0.20200000000000001</v>
      </c>
      <c r="T110" s="465">
        <f>IF(Auswahllisten!$G$150,$R110+($R110*$E110*T$82),$R110*(1+$E110)^T$82)</f>
        <v>0.20200000000000001</v>
      </c>
      <c r="U110" s="465">
        <f>IF(Auswahllisten!$G$150,$R110+($R110*$E110*U$82),$R110*(1+$E110)^U$82)</f>
        <v>0.20200000000000001</v>
      </c>
      <c r="V110" s="465">
        <f>IF(Auswahllisten!$G$150,$R110+($R110*$E110*V$82),$R110*(1+$E110)^V$82)</f>
        <v>0.20200000000000001</v>
      </c>
      <c r="W110" s="465">
        <f>IF(Auswahllisten!$G$150,$R110+($R110*$E110*W$82),$R110*(1+$E110)^W$82)</f>
        <v>0.20200000000000001</v>
      </c>
      <c r="X110" s="465">
        <f>IF(Auswahllisten!$G$150,$R110+($R110*$E110*X$82),$R110*(1+$E110)^X$82)</f>
        <v>0.20200000000000001</v>
      </c>
      <c r="Y110" s="465">
        <f>IF(Auswahllisten!$G$150,$R110+($R110*$E110*Y$82),$R110*(1+$E110)^Y$82)</f>
        <v>0.20200000000000001</v>
      </c>
      <c r="Z110" s="465">
        <f>IF(Auswahllisten!$G$150,$R110+($R110*$E110*Z$82),$R110*(1+$E110)^Z$82)</f>
        <v>0.20200000000000001</v>
      </c>
      <c r="AA110" s="465">
        <f>IF(Auswahllisten!$G$150,$R110+($R110*$E110*AA$82),$R110*(1+$E110)^AA$82)</f>
        <v>0.20200000000000001</v>
      </c>
      <c r="AB110" s="465">
        <f>IF(Auswahllisten!$G$150,$R110+($R110*$E110*AB$82),$R110*(1+$E110)^AB$82)</f>
        <v>0.20200000000000001</v>
      </c>
      <c r="AC110" s="465">
        <f>IF(Auswahllisten!$G$150,$R110+($R110*$E110*AC$82),$R110*(1+$E110)^AC$82)</f>
        <v>0.20200000000000001</v>
      </c>
      <c r="AD110" s="465">
        <f>IF(Auswahllisten!$G$150,$R110+($R110*$E110*AD$82),$R110*(1+$E110)^AD$82)</f>
        <v>0.20200000000000001</v>
      </c>
      <c r="AE110" s="465">
        <f>IF(Auswahllisten!$G$150,$R110+($R110*$E110*AE$82),$R110*(1+$E110)^AE$82)</f>
        <v>0.20200000000000001</v>
      </c>
      <c r="AF110" s="465">
        <f>IF(Auswahllisten!$G$150,$R110+($R110*$E110*AF$82),$R110*(1+$E110)^AF$82)</f>
        <v>0.20200000000000001</v>
      </c>
      <c r="AG110" s="465">
        <f>IF(Auswahllisten!$G$150,$R110+($R110*$E110*AG$82),$R110*(1+$E110)^AG$82)</f>
        <v>0.20200000000000001</v>
      </c>
      <c r="AH110" s="465">
        <f>IF(Auswahllisten!$G$150,$R110+($R110*$E110*AH$82),$R110*(1+$E110)^AH$82)</f>
        <v>0.20200000000000001</v>
      </c>
      <c r="AI110" s="465">
        <f>IF(Auswahllisten!$G$150,$R110+($R110*$E110*AI$82),$R110*(1+$E110)^AI$82)</f>
        <v>0.20200000000000001</v>
      </c>
      <c r="AJ110" s="465">
        <f>IF(Auswahllisten!$G$150,$R110+($R110*$E110*AJ$82),$R110*(1+$E110)^AJ$82)</f>
        <v>0.20200000000000001</v>
      </c>
      <c r="AK110" s="465">
        <f>IF(Auswahllisten!$G$150,$R110+($R110*$E110*AK$82),$R110*(1+$E110)^AK$82)</f>
        <v>0.20200000000000001</v>
      </c>
      <c r="AL110" s="465">
        <f>IF(Auswahllisten!$G$150,$R110+($R110*$E110*AL$82),$R110*(1+$E110)^AL$82)</f>
        <v>0.20200000000000001</v>
      </c>
    </row>
    <row r="111" spans="2:38" ht="14.25">
      <c r="B111" s="16" t="s">
        <v>1634</v>
      </c>
      <c r="C111" s="451"/>
      <c r="D111" s="454">
        <f>IF(Energiepreise!D35="",Energiepreise!E35,Energiepreise!D35)</f>
        <v>0.17100000000000001</v>
      </c>
      <c r="E111" s="451">
        <f>IF(Energiepreise!F35="",Energiepreise!G35,Energiepreise!F35)</f>
        <v>0</v>
      </c>
      <c r="F111" s="451">
        <f>IF(Energiepreise!H35="",Energiepreise!I35,Energiepreise!H35)</f>
        <v>0</v>
      </c>
      <c r="G111" s="451">
        <f>IF(Energiepreise!J35="",Energiepreise!K35,Energiepreise!J35)</f>
        <v>0</v>
      </c>
      <c r="H111" s="453">
        <f>IF(Energiepreise!L35="",Energiepreise!M35,Energiepreise!L35)</f>
        <v>0</v>
      </c>
      <c r="I111" s="451">
        <f>IF(Energiepreise!N35="",Energiepreise!O35,Energiepreise!N35)</f>
        <v>0</v>
      </c>
      <c r="Q111" s="465" t="str">
        <f>Energiepreise!B35</f>
        <v>H6</v>
      </c>
      <c r="R111" s="476">
        <f t="shared" si="1"/>
        <v>0.17100000000000001</v>
      </c>
      <c r="S111" s="465">
        <f>IF(Auswahllisten!$G$150,$R111+($R111*$E111*S$82),$R111*(1+$E111)^S$82)</f>
        <v>0.17100000000000001</v>
      </c>
      <c r="T111" s="465">
        <f>IF(Auswahllisten!$G$150,$R111+($R111*$E111*T$82),$R111*(1+$E111)^T$82)</f>
        <v>0.17100000000000001</v>
      </c>
      <c r="U111" s="465">
        <f>IF(Auswahllisten!$G$150,$R111+($R111*$E111*U$82),$R111*(1+$E111)^U$82)</f>
        <v>0.17100000000000001</v>
      </c>
      <c r="V111" s="465">
        <f>IF(Auswahllisten!$G$150,$R111+($R111*$E111*V$82),$R111*(1+$E111)^V$82)</f>
        <v>0.17100000000000001</v>
      </c>
      <c r="W111" s="465">
        <f>IF(Auswahllisten!$G$150,$R111+($R111*$E111*W$82),$R111*(1+$E111)^W$82)</f>
        <v>0.17100000000000001</v>
      </c>
      <c r="X111" s="465">
        <f>IF(Auswahllisten!$G$150,$R111+($R111*$E111*X$82),$R111*(1+$E111)^X$82)</f>
        <v>0.17100000000000001</v>
      </c>
      <c r="Y111" s="465">
        <f>IF(Auswahllisten!$G$150,$R111+($R111*$E111*Y$82),$R111*(1+$E111)^Y$82)</f>
        <v>0.17100000000000001</v>
      </c>
      <c r="Z111" s="465">
        <f>IF(Auswahllisten!$G$150,$R111+($R111*$E111*Z$82),$R111*(1+$E111)^Z$82)</f>
        <v>0.17100000000000001</v>
      </c>
      <c r="AA111" s="465">
        <f>IF(Auswahllisten!$G$150,$R111+($R111*$E111*AA$82),$R111*(1+$E111)^AA$82)</f>
        <v>0.17100000000000001</v>
      </c>
      <c r="AB111" s="465">
        <f>IF(Auswahllisten!$G$150,$R111+($R111*$E111*AB$82),$R111*(1+$E111)^AB$82)</f>
        <v>0.17100000000000001</v>
      </c>
      <c r="AC111" s="465">
        <f>IF(Auswahllisten!$G$150,$R111+($R111*$E111*AC$82),$R111*(1+$E111)^AC$82)</f>
        <v>0.17100000000000001</v>
      </c>
      <c r="AD111" s="465">
        <f>IF(Auswahllisten!$G$150,$R111+($R111*$E111*AD$82),$R111*(1+$E111)^AD$82)</f>
        <v>0.17100000000000001</v>
      </c>
      <c r="AE111" s="465">
        <f>IF(Auswahllisten!$G$150,$R111+($R111*$E111*AE$82),$R111*(1+$E111)^AE$82)</f>
        <v>0.17100000000000001</v>
      </c>
      <c r="AF111" s="465">
        <f>IF(Auswahllisten!$G$150,$R111+($R111*$E111*AF$82),$R111*(1+$E111)^AF$82)</f>
        <v>0.17100000000000001</v>
      </c>
      <c r="AG111" s="465">
        <f>IF(Auswahllisten!$G$150,$R111+($R111*$E111*AG$82),$R111*(1+$E111)^AG$82)</f>
        <v>0.17100000000000001</v>
      </c>
      <c r="AH111" s="465">
        <f>IF(Auswahllisten!$G$150,$R111+($R111*$E111*AH$82),$R111*(1+$E111)^AH$82)</f>
        <v>0.17100000000000001</v>
      </c>
      <c r="AI111" s="465">
        <f>IF(Auswahllisten!$G$150,$R111+($R111*$E111*AI$82),$R111*(1+$E111)^AI$82)</f>
        <v>0.17100000000000001</v>
      </c>
      <c r="AJ111" s="465">
        <f>IF(Auswahllisten!$G$150,$R111+($R111*$E111*AJ$82),$R111*(1+$E111)^AJ$82)</f>
        <v>0.17100000000000001</v>
      </c>
      <c r="AK111" s="465">
        <f>IF(Auswahllisten!$G$150,$R111+($R111*$E111*AK$82),$R111*(1+$E111)^AK$82)</f>
        <v>0.17100000000000001</v>
      </c>
      <c r="AL111" s="465">
        <f>IF(Auswahllisten!$G$150,$R111+($R111*$E111*AL$82),$R111*(1+$E111)^AL$82)</f>
        <v>0.17100000000000001</v>
      </c>
    </row>
    <row r="112" spans="2:38" ht="14.25">
      <c r="B112" s="16" t="s">
        <v>1635</v>
      </c>
      <c r="C112" s="451"/>
      <c r="D112" s="454">
        <f>IF(Energiepreise!D36="",Energiepreise!E36,Energiepreise!D36)</f>
        <v>0.19600000000000001</v>
      </c>
      <c r="E112" s="451">
        <f>IF(Energiepreise!F36="",Energiepreise!G36,Energiepreise!F36)</f>
        <v>0</v>
      </c>
      <c r="F112" s="451">
        <f>IF(Energiepreise!H36="",Energiepreise!I36,Energiepreise!H36)</f>
        <v>0</v>
      </c>
      <c r="G112" s="451">
        <f>IF(Energiepreise!J36="",Energiepreise!K36,Energiepreise!J36)</f>
        <v>0</v>
      </c>
      <c r="H112" s="453">
        <f>IF(Energiepreise!L36="",Energiepreise!M36,Energiepreise!L36)</f>
        <v>0</v>
      </c>
      <c r="I112" s="451">
        <f>IF(Energiepreise!N36="",Energiepreise!O36,Energiepreise!N36)</f>
        <v>0</v>
      </c>
      <c r="Q112" s="465" t="str">
        <f>Energiepreise!B36</f>
        <v>H7</v>
      </c>
      <c r="R112" s="476">
        <f t="shared" si="1"/>
        <v>0.19600000000000001</v>
      </c>
      <c r="S112" s="465">
        <f>IF(Auswahllisten!$G$150,$R112+($R112*$E112*S$82),$R112*(1+$E112)^S$82)</f>
        <v>0.19600000000000001</v>
      </c>
      <c r="T112" s="465">
        <f>IF(Auswahllisten!$G$150,$R112+($R112*$E112*T$82),$R112*(1+$E112)^T$82)</f>
        <v>0.19600000000000001</v>
      </c>
      <c r="U112" s="465">
        <f>IF(Auswahllisten!$G$150,$R112+($R112*$E112*U$82),$R112*(1+$E112)^U$82)</f>
        <v>0.19600000000000001</v>
      </c>
      <c r="V112" s="465">
        <f>IF(Auswahllisten!$G$150,$R112+($R112*$E112*V$82),$R112*(1+$E112)^V$82)</f>
        <v>0.19600000000000001</v>
      </c>
      <c r="W112" s="465">
        <f>IF(Auswahllisten!$G$150,$R112+($R112*$E112*W$82),$R112*(1+$E112)^W$82)</f>
        <v>0.19600000000000001</v>
      </c>
      <c r="X112" s="465">
        <f>IF(Auswahllisten!$G$150,$R112+($R112*$E112*X$82),$R112*(1+$E112)^X$82)</f>
        <v>0.19600000000000001</v>
      </c>
      <c r="Y112" s="465">
        <f>IF(Auswahllisten!$G$150,$R112+($R112*$E112*Y$82),$R112*(1+$E112)^Y$82)</f>
        <v>0.19600000000000001</v>
      </c>
      <c r="Z112" s="465">
        <f>IF(Auswahllisten!$G$150,$R112+($R112*$E112*Z$82),$R112*(1+$E112)^Z$82)</f>
        <v>0.19600000000000001</v>
      </c>
      <c r="AA112" s="465">
        <f>IF(Auswahllisten!$G$150,$R112+($R112*$E112*AA$82),$R112*(1+$E112)^AA$82)</f>
        <v>0.19600000000000001</v>
      </c>
      <c r="AB112" s="465">
        <f>IF(Auswahllisten!$G$150,$R112+($R112*$E112*AB$82),$R112*(1+$E112)^AB$82)</f>
        <v>0.19600000000000001</v>
      </c>
      <c r="AC112" s="465">
        <f>IF(Auswahllisten!$G$150,$R112+($R112*$E112*AC$82),$R112*(1+$E112)^AC$82)</f>
        <v>0.19600000000000001</v>
      </c>
      <c r="AD112" s="465">
        <f>IF(Auswahllisten!$G$150,$R112+($R112*$E112*AD$82),$R112*(1+$E112)^AD$82)</f>
        <v>0.19600000000000001</v>
      </c>
      <c r="AE112" s="465">
        <f>IF(Auswahllisten!$G$150,$R112+($R112*$E112*AE$82),$R112*(1+$E112)^AE$82)</f>
        <v>0.19600000000000001</v>
      </c>
      <c r="AF112" s="465">
        <f>IF(Auswahllisten!$G$150,$R112+($R112*$E112*AF$82),$R112*(1+$E112)^AF$82)</f>
        <v>0.19600000000000001</v>
      </c>
      <c r="AG112" s="465">
        <f>IF(Auswahllisten!$G$150,$R112+($R112*$E112*AG$82),$R112*(1+$E112)^AG$82)</f>
        <v>0.19600000000000001</v>
      </c>
      <c r="AH112" s="465">
        <f>IF(Auswahllisten!$G$150,$R112+($R112*$E112*AH$82),$R112*(1+$E112)^AH$82)</f>
        <v>0.19600000000000001</v>
      </c>
      <c r="AI112" s="465">
        <f>IF(Auswahllisten!$G$150,$R112+($R112*$E112*AI$82),$R112*(1+$E112)^AI$82)</f>
        <v>0.19600000000000001</v>
      </c>
      <c r="AJ112" s="465">
        <f>IF(Auswahllisten!$G$150,$R112+($R112*$E112*AJ$82),$R112*(1+$E112)^AJ$82)</f>
        <v>0.19600000000000001</v>
      </c>
      <c r="AK112" s="465">
        <f>IF(Auswahllisten!$G$150,$R112+($R112*$E112*AK$82),$R112*(1+$E112)^AK$82)</f>
        <v>0.19600000000000001</v>
      </c>
      <c r="AL112" s="465">
        <f>IF(Auswahllisten!$G$150,$R112+($R112*$E112*AL$82),$R112*(1+$E112)^AL$82)</f>
        <v>0.19600000000000001</v>
      </c>
    </row>
    <row r="113" spans="2:38" ht="14.25">
      <c r="B113" s="16" t="s">
        <v>1636</v>
      </c>
      <c r="C113" s="451"/>
      <c r="D113" s="454">
        <f>IF(Energiepreise!D37="",Energiepreise!E37,Energiepreise!D37)</f>
        <v>0.19600000000000001</v>
      </c>
      <c r="E113" s="451">
        <f>IF(Energiepreise!F37="",Energiepreise!G37,Energiepreise!F37)</f>
        <v>0</v>
      </c>
      <c r="F113" s="451">
        <f>IF(Energiepreise!H37="",Energiepreise!I37,Energiepreise!H37)</f>
        <v>0</v>
      </c>
      <c r="G113" s="451">
        <f>IF(Energiepreise!J37="",Energiepreise!K37,Energiepreise!J37)</f>
        <v>0</v>
      </c>
      <c r="H113" s="453">
        <f>IF(Energiepreise!L37="",Energiepreise!M37,Energiepreise!L37)</f>
        <v>0</v>
      </c>
      <c r="I113" s="451">
        <f>IF(Energiepreise!N37="",Energiepreise!O37,Energiepreise!N37)</f>
        <v>0</v>
      </c>
      <c r="Q113" s="465" t="str">
        <f>Energiepreise!B37</f>
        <v>H8</v>
      </c>
      <c r="R113" s="476">
        <f t="shared" si="1"/>
        <v>0.19600000000000001</v>
      </c>
      <c r="S113" s="465">
        <f>IF(Auswahllisten!$G$150,$R113+($R113*$E113*S$82),$R113*(1+$E113)^S$82)</f>
        <v>0.19600000000000001</v>
      </c>
      <c r="T113" s="465">
        <f>IF(Auswahllisten!$G$150,$R113+($R113*$E113*T$82),$R113*(1+$E113)^T$82)</f>
        <v>0.19600000000000001</v>
      </c>
      <c r="U113" s="465">
        <f>IF(Auswahllisten!$G$150,$R113+($R113*$E113*U$82),$R113*(1+$E113)^U$82)</f>
        <v>0.19600000000000001</v>
      </c>
      <c r="V113" s="465">
        <f>IF(Auswahllisten!$G$150,$R113+($R113*$E113*V$82),$R113*(1+$E113)^V$82)</f>
        <v>0.19600000000000001</v>
      </c>
      <c r="W113" s="465">
        <f>IF(Auswahllisten!$G$150,$R113+($R113*$E113*W$82),$R113*(1+$E113)^W$82)</f>
        <v>0.19600000000000001</v>
      </c>
      <c r="X113" s="465">
        <f>IF(Auswahllisten!$G$150,$R113+($R113*$E113*X$82),$R113*(1+$E113)^X$82)</f>
        <v>0.19600000000000001</v>
      </c>
      <c r="Y113" s="465">
        <f>IF(Auswahllisten!$G$150,$R113+($R113*$E113*Y$82),$R113*(1+$E113)^Y$82)</f>
        <v>0.19600000000000001</v>
      </c>
      <c r="Z113" s="465">
        <f>IF(Auswahllisten!$G$150,$R113+($R113*$E113*Z$82),$R113*(1+$E113)^Z$82)</f>
        <v>0.19600000000000001</v>
      </c>
      <c r="AA113" s="465">
        <f>IF(Auswahllisten!$G$150,$R113+($R113*$E113*AA$82),$R113*(1+$E113)^AA$82)</f>
        <v>0.19600000000000001</v>
      </c>
      <c r="AB113" s="465">
        <f>IF(Auswahllisten!$G$150,$R113+($R113*$E113*AB$82),$R113*(1+$E113)^AB$82)</f>
        <v>0.19600000000000001</v>
      </c>
      <c r="AC113" s="465">
        <f>IF(Auswahllisten!$G$150,$R113+($R113*$E113*AC$82),$R113*(1+$E113)^AC$82)</f>
        <v>0.19600000000000001</v>
      </c>
      <c r="AD113" s="465">
        <f>IF(Auswahllisten!$G$150,$R113+($R113*$E113*AD$82),$R113*(1+$E113)^AD$82)</f>
        <v>0.19600000000000001</v>
      </c>
      <c r="AE113" s="465">
        <f>IF(Auswahllisten!$G$150,$R113+($R113*$E113*AE$82),$R113*(1+$E113)^AE$82)</f>
        <v>0.19600000000000001</v>
      </c>
      <c r="AF113" s="465">
        <f>IF(Auswahllisten!$G$150,$R113+($R113*$E113*AF$82),$R113*(1+$E113)^AF$82)</f>
        <v>0.19600000000000001</v>
      </c>
      <c r="AG113" s="465">
        <f>IF(Auswahllisten!$G$150,$R113+($R113*$E113*AG$82),$R113*(1+$E113)^AG$82)</f>
        <v>0.19600000000000001</v>
      </c>
      <c r="AH113" s="465">
        <f>IF(Auswahllisten!$G$150,$R113+($R113*$E113*AH$82),$R113*(1+$E113)^AH$82)</f>
        <v>0.19600000000000001</v>
      </c>
      <c r="AI113" s="465">
        <f>IF(Auswahllisten!$G$150,$R113+($R113*$E113*AI$82),$R113*(1+$E113)^AI$82)</f>
        <v>0.19600000000000001</v>
      </c>
      <c r="AJ113" s="465">
        <f>IF(Auswahllisten!$G$150,$R113+($R113*$E113*AJ$82),$R113*(1+$E113)^AJ$82)</f>
        <v>0.19600000000000001</v>
      </c>
      <c r="AK113" s="465">
        <f>IF(Auswahllisten!$G$150,$R113+($R113*$E113*AK$82),$R113*(1+$E113)^AK$82)</f>
        <v>0.19600000000000001</v>
      </c>
      <c r="AL113" s="465">
        <f>IF(Auswahllisten!$G$150,$R113+($R113*$E113*AL$82),$R113*(1+$E113)^AL$82)</f>
        <v>0.19600000000000001</v>
      </c>
    </row>
    <row r="114" spans="2:38" ht="14.25">
      <c r="B114" s="16" t="s">
        <v>1637</v>
      </c>
      <c r="C114" s="451"/>
      <c r="D114" s="454">
        <f>IF(Energiepreise!D38="",Energiepreise!E38,Energiepreise!D38)</f>
        <v>0.19600000000000001</v>
      </c>
      <c r="E114" s="451">
        <f>IF(Energiepreise!F38="",Energiepreise!G38,Energiepreise!F38)</f>
        <v>0</v>
      </c>
      <c r="F114" s="451">
        <f>IF(Energiepreise!H38="",Energiepreise!I38,Energiepreise!H38)</f>
        <v>0</v>
      </c>
      <c r="G114" s="451">
        <f>IF(Energiepreise!J38="",Energiepreise!K38,Energiepreise!J38)</f>
        <v>0</v>
      </c>
      <c r="H114" s="453">
        <f>IF(Energiepreise!L38="",Energiepreise!M38,Energiepreise!L38)</f>
        <v>0</v>
      </c>
      <c r="I114" s="451">
        <f>IF(Energiepreise!N38="",Energiepreise!O38,Energiepreise!N38)</f>
        <v>0</v>
      </c>
      <c r="Q114" s="465" t="str">
        <f>Energiepreise!B38</f>
        <v>C1</v>
      </c>
      <c r="R114" s="476">
        <f t="shared" si="1"/>
        <v>0.19600000000000001</v>
      </c>
      <c r="S114" s="465">
        <f>IF(Auswahllisten!$G$150,$R114+($R114*$E114*S$82),$R114*(1+$E114)^S$82)</f>
        <v>0.19600000000000001</v>
      </c>
      <c r="T114" s="465">
        <f>IF(Auswahllisten!$G$150,$R114+($R114*$E114*T$82),$R114*(1+$E114)^T$82)</f>
        <v>0.19600000000000001</v>
      </c>
      <c r="U114" s="465">
        <f>IF(Auswahllisten!$G$150,$R114+($R114*$E114*U$82),$R114*(1+$E114)^U$82)</f>
        <v>0.19600000000000001</v>
      </c>
      <c r="V114" s="465">
        <f>IF(Auswahllisten!$G$150,$R114+($R114*$E114*V$82),$R114*(1+$E114)^V$82)</f>
        <v>0.19600000000000001</v>
      </c>
      <c r="W114" s="465">
        <f>IF(Auswahllisten!$G$150,$R114+($R114*$E114*W$82),$R114*(1+$E114)^W$82)</f>
        <v>0.19600000000000001</v>
      </c>
      <c r="X114" s="465">
        <f>IF(Auswahllisten!$G$150,$R114+($R114*$E114*X$82),$R114*(1+$E114)^X$82)</f>
        <v>0.19600000000000001</v>
      </c>
      <c r="Y114" s="465">
        <f>IF(Auswahllisten!$G$150,$R114+($R114*$E114*Y$82),$R114*(1+$E114)^Y$82)</f>
        <v>0.19600000000000001</v>
      </c>
      <c r="Z114" s="465">
        <f>IF(Auswahllisten!$G$150,$R114+($R114*$E114*Z$82),$R114*(1+$E114)^Z$82)</f>
        <v>0.19600000000000001</v>
      </c>
      <c r="AA114" s="465">
        <f>IF(Auswahllisten!$G$150,$R114+($R114*$E114*AA$82),$R114*(1+$E114)^AA$82)</f>
        <v>0.19600000000000001</v>
      </c>
      <c r="AB114" s="465">
        <f>IF(Auswahllisten!$G$150,$R114+($R114*$E114*AB$82),$R114*(1+$E114)^AB$82)</f>
        <v>0.19600000000000001</v>
      </c>
      <c r="AC114" s="465">
        <f>IF(Auswahllisten!$G$150,$R114+($R114*$E114*AC$82),$R114*(1+$E114)^AC$82)</f>
        <v>0.19600000000000001</v>
      </c>
      <c r="AD114" s="465">
        <f>IF(Auswahllisten!$G$150,$R114+($R114*$E114*AD$82),$R114*(1+$E114)^AD$82)</f>
        <v>0.19600000000000001</v>
      </c>
      <c r="AE114" s="465">
        <f>IF(Auswahllisten!$G$150,$R114+($R114*$E114*AE$82),$R114*(1+$E114)^AE$82)</f>
        <v>0.19600000000000001</v>
      </c>
      <c r="AF114" s="465">
        <f>IF(Auswahllisten!$G$150,$R114+($R114*$E114*AF$82),$R114*(1+$E114)^AF$82)</f>
        <v>0.19600000000000001</v>
      </c>
      <c r="AG114" s="465">
        <f>IF(Auswahllisten!$G$150,$R114+($R114*$E114*AG$82),$R114*(1+$E114)^AG$82)</f>
        <v>0.19600000000000001</v>
      </c>
      <c r="AH114" s="465">
        <f>IF(Auswahllisten!$G$150,$R114+($R114*$E114*AH$82),$R114*(1+$E114)^AH$82)</f>
        <v>0.19600000000000001</v>
      </c>
      <c r="AI114" s="465">
        <f>IF(Auswahllisten!$G$150,$R114+($R114*$E114*AI$82),$R114*(1+$E114)^AI$82)</f>
        <v>0.19600000000000001</v>
      </c>
      <c r="AJ114" s="465">
        <f>IF(Auswahllisten!$G$150,$R114+($R114*$E114*AJ$82),$R114*(1+$E114)^AJ$82)</f>
        <v>0.19600000000000001</v>
      </c>
      <c r="AK114" s="465">
        <f>IF(Auswahllisten!$G$150,$R114+($R114*$E114*AK$82),$R114*(1+$E114)^AK$82)</f>
        <v>0.19600000000000001</v>
      </c>
      <c r="AL114" s="465">
        <f>IF(Auswahllisten!$G$150,$R114+($R114*$E114*AL$82),$R114*(1+$E114)^AL$82)</f>
        <v>0.19600000000000001</v>
      </c>
    </row>
    <row r="115" spans="2:38" ht="14.25">
      <c r="B115" s="16" t="s">
        <v>1638</v>
      </c>
      <c r="C115" s="451"/>
      <c r="D115" s="454">
        <f>IF(Energiepreise!D39="",Energiepreise!E39,Energiepreise!D39)</f>
        <v>0.19600000000000001</v>
      </c>
      <c r="E115" s="451">
        <f>IF(Energiepreise!F39="",Energiepreise!G39,Energiepreise!F39)</f>
        <v>0</v>
      </c>
      <c r="F115" s="451">
        <f>IF(Energiepreise!H39="",Energiepreise!I39,Energiepreise!H39)</f>
        <v>0</v>
      </c>
      <c r="G115" s="451">
        <f>IF(Energiepreise!J39="",Energiepreise!K39,Energiepreise!J39)</f>
        <v>0</v>
      </c>
      <c r="H115" s="453">
        <f>IF(Energiepreise!L39="",Energiepreise!M39,Energiepreise!L39)</f>
        <v>0</v>
      </c>
      <c r="I115" s="451">
        <f>IF(Energiepreise!N39="",Energiepreise!O39,Energiepreise!N39)</f>
        <v>0</v>
      </c>
      <c r="Q115" s="465" t="str">
        <f>Energiepreise!B39</f>
        <v>C2</v>
      </c>
      <c r="R115" s="476">
        <f t="shared" si="1"/>
        <v>0.19600000000000001</v>
      </c>
      <c r="S115" s="465">
        <f>IF(Auswahllisten!$G$150,$R115+($R115*$E115*S$82),$R115*(1+$E115)^S$82)</f>
        <v>0.19600000000000001</v>
      </c>
      <c r="T115" s="465">
        <f>IF(Auswahllisten!$G$150,$R115+($R115*$E115*T$82),$R115*(1+$E115)^T$82)</f>
        <v>0.19600000000000001</v>
      </c>
      <c r="U115" s="465">
        <f>IF(Auswahllisten!$G$150,$R115+($R115*$E115*U$82),$R115*(1+$E115)^U$82)</f>
        <v>0.19600000000000001</v>
      </c>
      <c r="V115" s="465">
        <f>IF(Auswahllisten!$G$150,$R115+($R115*$E115*V$82),$R115*(1+$E115)^V$82)</f>
        <v>0.19600000000000001</v>
      </c>
      <c r="W115" s="465">
        <f>IF(Auswahllisten!$G$150,$R115+($R115*$E115*W$82),$R115*(1+$E115)^W$82)</f>
        <v>0.19600000000000001</v>
      </c>
      <c r="X115" s="465">
        <f>IF(Auswahllisten!$G$150,$R115+($R115*$E115*X$82),$R115*(1+$E115)^X$82)</f>
        <v>0.19600000000000001</v>
      </c>
      <c r="Y115" s="465">
        <f>IF(Auswahllisten!$G$150,$R115+($R115*$E115*Y$82),$R115*(1+$E115)^Y$82)</f>
        <v>0.19600000000000001</v>
      </c>
      <c r="Z115" s="465">
        <f>IF(Auswahllisten!$G$150,$R115+($R115*$E115*Z$82),$R115*(1+$E115)^Z$82)</f>
        <v>0.19600000000000001</v>
      </c>
      <c r="AA115" s="465">
        <f>IF(Auswahllisten!$G$150,$R115+($R115*$E115*AA$82),$R115*(1+$E115)^AA$82)</f>
        <v>0.19600000000000001</v>
      </c>
      <c r="AB115" s="465">
        <f>IF(Auswahllisten!$G$150,$R115+($R115*$E115*AB$82),$R115*(1+$E115)^AB$82)</f>
        <v>0.19600000000000001</v>
      </c>
      <c r="AC115" s="465">
        <f>IF(Auswahllisten!$G$150,$R115+($R115*$E115*AC$82),$R115*(1+$E115)^AC$82)</f>
        <v>0.19600000000000001</v>
      </c>
      <c r="AD115" s="465">
        <f>IF(Auswahllisten!$G$150,$R115+($R115*$E115*AD$82),$R115*(1+$E115)^AD$82)</f>
        <v>0.19600000000000001</v>
      </c>
      <c r="AE115" s="465">
        <f>IF(Auswahllisten!$G$150,$R115+($R115*$E115*AE$82),$R115*(1+$E115)^AE$82)</f>
        <v>0.19600000000000001</v>
      </c>
      <c r="AF115" s="465">
        <f>IF(Auswahllisten!$G$150,$R115+($R115*$E115*AF$82),$R115*(1+$E115)^AF$82)</f>
        <v>0.19600000000000001</v>
      </c>
      <c r="AG115" s="465">
        <f>IF(Auswahllisten!$G$150,$R115+($R115*$E115*AG$82),$R115*(1+$E115)^AG$82)</f>
        <v>0.19600000000000001</v>
      </c>
      <c r="AH115" s="465">
        <f>IF(Auswahllisten!$G$150,$R115+($R115*$E115*AH$82),$R115*(1+$E115)^AH$82)</f>
        <v>0.19600000000000001</v>
      </c>
      <c r="AI115" s="465">
        <f>IF(Auswahllisten!$G$150,$R115+($R115*$E115*AI$82),$R115*(1+$E115)^AI$82)</f>
        <v>0.19600000000000001</v>
      </c>
      <c r="AJ115" s="465">
        <f>IF(Auswahllisten!$G$150,$R115+($R115*$E115*AJ$82),$R115*(1+$E115)^AJ$82)</f>
        <v>0.19600000000000001</v>
      </c>
      <c r="AK115" s="465">
        <f>IF(Auswahllisten!$G$150,$R115+($R115*$E115*AK$82),$R115*(1+$E115)^AK$82)</f>
        <v>0.19600000000000001</v>
      </c>
      <c r="AL115" s="465">
        <f>IF(Auswahllisten!$G$150,$R115+($R115*$E115*AL$82),$R115*(1+$E115)^AL$82)</f>
        <v>0.19600000000000001</v>
      </c>
    </row>
    <row r="116" spans="2:38" ht="14.25">
      <c r="B116" s="16" t="s">
        <v>1639</v>
      </c>
      <c r="C116" s="451"/>
      <c r="D116" s="454">
        <f>IF(Energiepreise!D40="",Energiepreise!E40,Energiepreise!D40)</f>
        <v>0.19600000000000001</v>
      </c>
      <c r="E116" s="451">
        <f>IF(Energiepreise!F40="",Energiepreise!G40,Energiepreise!F40)</f>
        <v>0</v>
      </c>
      <c r="F116" s="451">
        <f>IF(Energiepreise!H40="",Energiepreise!I40,Energiepreise!H40)</f>
        <v>0</v>
      </c>
      <c r="G116" s="451">
        <f>IF(Energiepreise!J40="",Energiepreise!K40,Energiepreise!J40)</f>
        <v>0</v>
      </c>
      <c r="H116" s="453">
        <f>IF(Energiepreise!L40="",Energiepreise!M40,Energiepreise!L40)</f>
        <v>0</v>
      </c>
      <c r="I116" s="451">
        <f>IF(Energiepreise!N40="",Energiepreise!O40,Energiepreise!N40)</f>
        <v>0</v>
      </c>
      <c r="Q116" s="465" t="str">
        <f>Energiepreise!B40</f>
        <v>C3</v>
      </c>
      <c r="R116" s="476">
        <f t="shared" si="1"/>
        <v>0.19600000000000001</v>
      </c>
      <c r="S116" s="465">
        <f>IF(Auswahllisten!$G$150,$R116+($R116*$E116*S$82),$R116*(1+$E116)^S$82)</f>
        <v>0.19600000000000001</v>
      </c>
      <c r="T116" s="465">
        <f>IF(Auswahllisten!$G$150,$R116+($R116*$E116*T$82),$R116*(1+$E116)^T$82)</f>
        <v>0.19600000000000001</v>
      </c>
      <c r="U116" s="465">
        <f>IF(Auswahllisten!$G$150,$R116+($R116*$E116*U$82),$R116*(1+$E116)^U$82)</f>
        <v>0.19600000000000001</v>
      </c>
      <c r="V116" s="465">
        <f>IF(Auswahllisten!$G$150,$R116+($R116*$E116*V$82),$R116*(1+$E116)^V$82)</f>
        <v>0.19600000000000001</v>
      </c>
      <c r="W116" s="465">
        <f>IF(Auswahllisten!$G$150,$R116+($R116*$E116*W$82),$R116*(1+$E116)^W$82)</f>
        <v>0.19600000000000001</v>
      </c>
      <c r="X116" s="465">
        <f>IF(Auswahllisten!$G$150,$R116+($R116*$E116*X$82),$R116*(1+$E116)^X$82)</f>
        <v>0.19600000000000001</v>
      </c>
      <c r="Y116" s="465">
        <f>IF(Auswahllisten!$G$150,$R116+($R116*$E116*Y$82),$R116*(1+$E116)^Y$82)</f>
        <v>0.19600000000000001</v>
      </c>
      <c r="Z116" s="465">
        <f>IF(Auswahllisten!$G$150,$R116+($R116*$E116*Z$82),$R116*(1+$E116)^Z$82)</f>
        <v>0.19600000000000001</v>
      </c>
      <c r="AA116" s="465">
        <f>IF(Auswahllisten!$G$150,$R116+($R116*$E116*AA$82),$R116*(1+$E116)^AA$82)</f>
        <v>0.19600000000000001</v>
      </c>
      <c r="AB116" s="465">
        <f>IF(Auswahllisten!$G$150,$R116+($R116*$E116*AB$82),$R116*(1+$E116)^AB$82)</f>
        <v>0.19600000000000001</v>
      </c>
      <c r="AC116" s="465">
        <f>IF(Auswahllisten!$G$150,$R116+($R116*$E116*AC$82),$R116*(1+$E116)^AC$82)</f>
        <v>0.19600000000000001</v>
      </c>
      <c r="AD116" s="465">
        <f>IF(Auswahllisten!$G$150,$R116+($R116*$E116*AD$82),$R116*(1+$E116)^AD$82)</f>
        <v>0.19600000000000001</v>
      </c>
      <c r="AE116" s="465">
        <f>IF(Auswahllisten!$G$150,$R116+($R116*$E116*AE$82),$R116*(1+$E116)^AE$82)</f>
        <v>0.19600000000000001</v>
      </c>
      <c r="AF116" s="465">
        <f>IF(Auswahllisten!$G$150,$R116+($R116*$E116*AF$82),$R116*(1+$E116)^AF$82)</f>
        <v>0.19600000000000001</v>
      </c>
      <c r="AG116" s="465">
        <f>IF(Auswahllisten!$G$150,$R116+($R116*$E116*AG$82),$R116*(1+$E116)^AG$82)</f>
        <v>0.19600000000000001</v>
      </c>
      <c r="AH116" s="465">
        <f>IF(Auswahllisten!$G$150,$R116+($R116*$E116*AH$82),$R116*(1+$E116)^AH$82)</f>
        <v>0.19600000000000001</v>
      </c>
      <c r="AI116" s="465">
        <f>IF(Auswahllisten!$G$150,$R116+($R116*$E116*AI$82),$R116*(1+$E116)^AI$82)</f>
        <v>0.19600000000000001</v>
      </c>
      <c r="AJ116" s="465">
        <f>IF(Auswahllisten!$G$150,$R116+($R116*$E116*AJ$82),$R116*(1+$E116)^AJ$82)</f>
        <v>0.19600000000000001</v>
      </c>
      <c r="AK116" s="465">
        <f>IF(Auswahllisten!$G$150,$R116+($R116*$E116*AK$82),$R116*(1+$E116)^AK$82)</f>
        <v>0.19600000000000001</v>
      </c>
      <c r="AL116" s="465">
        <f>IF(Auswahllisten!$G$150,$R116+($R116*$E116*AL$82),$R116*(1+$E116)^AL$82)</f>
        <v>0.19600000000000001</v>
      </c>
    </row>
    <row r="117" spans="2:38" ht="14.25">
      <c r="B117" s="16" t="s">
        <v>1640</v>
      </c>
      <c r="C117" s="451"/>
      <c r="D117" s="454">
        <f>IF(Energiepreise!D41="",Energiepreise!E41,Energiepreise!D41)</f>
        <v>0.19600000000000001</v>
      </c>
      <c r="E117" s="451">
        <f>IF(Energiepreise!F41="",Energiepreise!G41,Energiepreise!F41)</f>
        <v>0</v>
      </c>
      <c r="F117" s="451">
        <f>IF(Energiepreise!H41="",Energiepreise!I41,Energiepreise!H41)</f>
        <v>0</v>
      </c>
      <c r="G117" s="451">
        <f>IF(Energiepreise!J41="",Energiepreise!K41,Energiepreise!J41)</f>
        <v>0</v>
      </c>
      <c r="H117" s="453">
        <f>IF(Energiepreise!L41="",Energiepreise!M41,Energiepreise!L41)</f>
        <v>0</v>
      </c>
      <c r="I117" s="451">
        <f>IF(Energiepreise!N41="",Energiepreise!O41,Energiepreise!N41)</f>
        <v>0</v>
      </c>
      <c r="Q117" s="465" t="str">
        <f>Energiepreise!B41</f>
        <v>C4</v>
      </c>
      <c r="R117" s="476">
        <f t="shared" si="1"/>
        <v>0.19600000000000001</v>
      </c>
      <c r="S117" s="465">
        <f>IF(Auswahllisten!$G$150,$R117+($R117*$E117*S$82),$R117*(1+$E117)^S$82)</f>
        <v>0.19600000000000001</v>
      </c>
      <c r="T117" s="465">
        <f>IF(Auswahllisten!$G$150,$R117+($R117*$E117*T$82),$R117*(1+$E117)^T$82)</f>
        <v>0.19600000000000001</v>
      </c>
      <c r="U117" s="465">
        <f>IF(Auswahllisten!$G$150,$R117+($R117*$E117*U$82),$R117*(1+$E117)^U$82)</f>
        <v>0.19600000000000001</v>
      </c>
      <c r="V117" s="465">
        <f>IF(Auswahllisten!$G$150,$R117+($R117*$E117*V$82),$R117*(1+$E117)^V$82)</f>
        <v>0.19600000000000001</v>
      </c>
      <c r="W117" s="465">
        <f>IF(Auswahllisten!$G$150,$R117+($R117*$E117*W$82),$R117*(1+$E117)^W$82)</f>
        <v>0.19600000000000001</v>
      </c>
      <c r="X117" s="465">
        <f>IF(Auswahllisten!$G$150,$R117+($R117*$E117*X$82),$R117*(1+$E117)^X$82)</f>
        <v>0.19600000000000001</v>
      </c>
      <c r="Y117" s="465">
        <f>IF(Auswahllisten!$G$150,$R117+($R117*$E117*Y$82),$R117*(1+$E117)^Y$82)</f>
        <v>0.19600000000000001</v>
      </c>
      <c r="Z117" s="465">
        <f>IF(Auswahllisten!$G$150,$R117+($R117*$E117*Z$82),$R117*(1+$E117)^Z$82)</f>
        <v>0.19600000000000001</v>
      </c>
      <c r="AA117" s="465">
        <f>IF(Auswahllisten!$G$150,$R117+($R117*$E117*AA$82),$R117*(1+$E117)^AA$82)</f>
        <v>0.19600000000000001</v>
      </c>
      <c r="AB117" s="465">
        <f>IF(Auswahllisten!$G$150,$R117+($R117*$E117*AB$82),$R117*(1+$E117)^AB$82)</f>
        <v>0.19600000000000001</v>
      </c>
      <c r="AC117" s="465">
        <f>IF(Auswahllisten!$G$150,$R117+($R117*$E117*AC$82),$R117*(1+$E117)^AC$82)</f>
        <v>0.19600000000000001</v>
      </c>
      <c r="AD117" s="465">
        <f>IF(Auswahllisten!$G$150,$R117+($R117*$E117*AD$82),$R117*(1+$E117)^AD$82)</f>
        <v>0.19600000000000001</v>
      </c>
      <c r="AE117" s="465">
        <f>IF(Auswahllisten!$G$150,$R117+($R117*$E117*AE$82),$R117*(1+$E117)^AE$82)</f>
        <v>0.19600000000000001</v>
      </c>
      <c r="AF117" s="465">
        <f>IF(Auswahllisten!$G$150,$R117+($R117*$E117*AF$82),$R117*(1+$E117)^AF$82)</f>
        <v>0.19600000000000001</v>
      </c>
      <c r="AG117" s="465">
        <f>IF(Auswahllisten!$G$150,$R117+($R117*$E117*AG$82),$R117*(1+$E117)^AG$82)</f>
        <v>0.19600000000000001</v>
      </c>
      <c r="AH117" s="465">
        <f>IF(Auswahllisten!$G$150,$R117+($R117*$E117*AH$82),$R117*(1+$E117)^AH$82)</f>
        <v>0.19600000000000001</v>
      </c>
      <c r="AI117" s="465">
        <f>IF(Auswahllisten!$G$150,$R117+($R117*$E117*AI$82),$R117*(1+$E117)^AI$82)</f>
        <v>0.19600000000000001</v>
      </c>
      <c r="AJ117" s="465">
        <f>IF(Auswahllisten!$G$150,$R117+($R117*$E117*AJ$82),$R117*(1+$E117)^AJ$82)</f>
        <v>0.19600000000000001</v>
      </c>
      <c r="AK117" s="465">
        <f>IF(Auswahllisten!$G$150,$R117+($R117*$E117*AK$82),$R117*(1+$E117)^AK$82)</f>
        <v>0.19600000000000001</v>
      </c>
      <c r="AL117" s="465">
        <f>IF(Auswahllisten!$G$150,$R117+($R117*$E117*AL$82),$R117*(1+$E117)^AL$82)</f>
        <v>0.19600000000000001</v>
      </c>
    </row>
    <row r="118" spans="2:38" ht="14.25">
      <c r="B118" s="16" t="s">
        <v>1641</v>
      </c>
      <c r="C118" s="451"/>
      <c r="D118" s="454">
        <f>IF(Energiepreise!D42="",Energiepreise!E42,Energiepreise!D42)</f>
        <v>0.19600000000000001</v>
      </c>
      <c r="E118" s="451">
        <f>IF(Energiepreise!F42="",Energiepreise!G42,Energiepreise!F42)</f>
        <v>0</v>
      </c>
      <c r="F118" s="451">
        <f>IF(Energiepreise!H42="",Energiepreise!I42,Energiepreise!H42)</f>
        <v>0</v>
      </c>
      <c r="G118" s="451">
        <f>IF(Energiepreise!J42="",Energiepreise!K42,Energiepreise!J42)</f>
        <v>0</v>
      </c>
      <c r="H118" s="453">
        <f>IF(Energiepreise!L42="",Energiepreise!M42,Energiepreise!L42)</f>
        <v>0</v>
      </c>
      <c r="I118" s="451">
        <f>IF(Energiepreise!N42="",Energiepreise!O42,Energiepreise!N42)</f>
        <v>0</v>
      </c>
      <c r="Q118" s="465" t="str">
        <f>Energiepreise!B42</f>
        <v>C5</v>
      </c>
      <c r="R118" s="476">
        <f t="shared" si="1"/>
        <v>0.19600000000000001</v>
      </c>
      <c r="S118" s="465">
        <f>IF(Auswahllisten!$G$150,$R118+($R118*$E118*S$82),$R118*(1+$E118)^S$82)</f>
        <v>0.19600000000000001</v>
      </c>
      <c r="T118" s="465">
        <f>IF(Auswahllisten!$G$150,$R118+($R118*$E118*T$82),$R118*(1+$E118)^T$82)</f>
        <v>0.19600000000000001</v>
      </c>
      <c r="U118" s="465">
        <f>IF(Auswahllisten!$G$150,$R118+($R118*$E118*U$82),$R118*(1+$E118)^U$82)</f>
        <v>0.19600000000000001</v>
      </c>
      <c r="V118" s="465">
        <f>IF(Auswahllisten!$G$150,$R118+($R118*$E118*V$82),$R118*(1+$E118)^V$82)</f>
        <v>0.19600000000000001</v>
      </c>
      <c r="W118" s="465">
        <f>IF(Auswahllisten!$G$150,$R118+($R118*$E118*W$82),$R118*(1+$E118)^W$82)</f>
        <v>0.19600000000000001</v>
      </c>
      <c r="X118" s="465">
        <f>IF(Auswahllisten!$G$150,$R118+($R118*$E118*X$82),$R118*(1+$E118)^X$82)</f>
        <v>0.19600000000000001</v>
      </c>
      <c r="Y118" s="465">
        <f>IF(Auswahllisten!$G$150,$R118+($R118*$E118*Y$82),$R118*(1+$E118)^Y$82)</f>
        <v>0.19600000000000001</v>
      </c>
      <c r="Z118" s="465">
        <f>IF(Auswahllisten!$G$150,$R118+($R118*$E118*Z$82),$R118*(1+$E118)^Z$82)</f>
        <v>0.19600000000000001</v>
      </c>
      <c r="AA118" s="465">
        <f>IF(Auswahllisten!$G$150,$R118+($R118*$E118*AA$82),$R118*(1+$E118)^AA$82)</f>
        <v>0.19600000000000001</v>
      </c>
      <c r="AB118" s="465">
        <f>IF(Auswahllisten!$G$150,$R118+($R118*$E118*AB$82),$R118*(1+$E118)^AB$82)</f>
        <v>0.19600000000000001</v>
      </c>
      <c r="AC118" s="465">
        <f>IF(Auswahllisten!$G$150,$R118+($R118*$E118*AC$82),$R118*(1+$E118)^AC$82)</f>
        <v>0.19600000000000001</v>
      </c>
      <c r="AD118" s="465">
        <f>IF(Auswahllisten!$G$150,$R118+($R118*$E118*AD$82),$R118*(1+$E118)^AD$82)</f>
        <v>0.19600000000000001</v>
      </c>
      <c r="AE118" s="465">
        <f>IF(Auswahllisten!$G$150,$R118+($R118*$E118*AE$82),$R118*(1+$E118)^AE$82)</f>
        <v>0.19600000000000001</v>
      </c>
      <c r="AF118" s="465">
        <f>IF(Auswahllisten!$G$150,$R118+($R118*$E118*AF$82),$R118*(1+$E118)^AF$82)</f>
        <v>0.19600000000000001</v>
      </c>
      <c r="AG118" s="465">
        <f>IF(Auswahllisten!$G$150,$R118+($R118*$E118*AG$82),$R118*(1+$E118)^AG$82)</f>
        <v>0.19600000000000001</v>
      </c>
      <c r="AH118" s="465">
        <f>IF(Auswahllisten!$G$150,$R118+($R118*$E118*AH$82),$R118*(1+$E118)^AH$82)</f>
        <v>0.19600000000000001</v>
      </c>
      <c r="AI118" s="465">
        <f>IF(Auswahllisten!$G$150,$R118+($R118*$E118*AI$82),$R118*(1+$E118)^AI$82)</f>
        <v>0.19600000000000001</v>
      </c>
      <c r="AJ118" s="465">
        <f>IF(Auswahllisten!$G$150,$R118+($R118*$E118*AJ$82),$R118*(1+$E118)^AJ$82)</f>
        <v>0.19600000000000001</v>
      </c>
      <c r="AK118" s="465">
        <f>IF(Auswahllisten!$G$150,$R118+($R118*$E118*AK$82),$R118*(1+$E118)^AK$82)</f>
        <v>0.19600000000000001</v>
      </c>
      <c r="AL118" s="465">
        <f>IF(Auswahllisten!$G$150,$R118+($R118*$E118*AL$82),$R118*(1+$E118)^AL$82)</f>
        <v>0.19600000000000001</v>
      </c>
    </row>
    <row r="119" spans="2:38" ht="14.25">
      <c r="B119" s="16" t="s">
        <v>1642</v>
      </c>
      <c r="C119" s="451"/>
      <c r="D119" s="454">
        <f>IF(Energiepreise!D43="",Energiepreise!E43,Energiepreise!D43)</f>
        <v>0.19600000000000001</v>
      </c>
      <c r="E119" s="451">
        <f>IF(Energiepreise!F43="",Energiepreise!G43,Energiepreise!F43)</f>
        <v>0</v>
      </c>
      <c r="F119" s="451">
        <f>IF(Energiepreise!H43="",Energiepreise!I43,Energiepreise!H43)</f>
        <v>0</v>
      </c>
      <c r="G119" s="451">
        <f>IF(Energiepreise!J43="",Energiepreise!K43,Energiepreise!J43)</f>
        <v>0</v>
      </c>
      <c r="H119" s="453">
        <f>IF(Energiepreise!L43="",Energiepreise!M43,Energiepreise!L43)</f>
        <v>0</v>
      </c>
      <c r="I119" s="451">
        <f>IF(Energiepreise!N43="",Energiepreise!O43,Energiepreise!N43)</f>
        <v>0</v>
      </c>
      <c r="Q119" s="465" t="str">
        <f>Energiepreise!B43</f>
        <v>C6</v>
      </c>
      <c r="R119" s="476">
        <f t="shared" si="1"/>
        <v>0.19600000000000001</v>
      </c>
      <c r="S119" s="465">
        <f>IF(Auswahllisten!$G$150,$R119+($R119*$E119*S$82),$R119*(1+$E119)^S$82)</f>
        <v>0.19600000000000001</v>
      </c>
      <c r="T119" s="465">
        <f>IF(Auswahllisten!$G$150,$R119+($R119*$E119*T$82),$R119*(1+$E119)^T$82)</f>
        <v>0.19600000000000001</v>
      </c>
      <c r="U119" s="465">
        <f>IF(Auswahllisten!$G$150,$R119+($R119*$E119*U$82),$R119*(1+$E119)^U$82)</f>
        <v>0.19600000000000001</v>
      </c>
      <c r="V119" s="465">
        <f>IF(Auswahllisten!$G$150,$R119+($R119*$E119*V$82),$R119*(1+$E119)^V$82)</f>
        <v>0.19600000000000001</v>
      </c>
      <c r="W119" s="465">
        <f>IF(Auswahllisten!$G$150,$R119+($R119*$E119*W$82),$R119*(1+$E119)^W$82)</f>
        <v>0.19600000000000001</v>
      </c>
      <c r="X119" s="465">
        <f>IF(Auswahllisten!$G$150,$R119+($R119*$E119*X$82),$R119*(1+$E119)^X$82)</f>
        <v>0.19600000000000001</v>
      </c>
      <c r="Y119" s="465">
        <f>IF(Auswahllisten!$G$150,$R119+($R119*$E119*Y$82),$R119*(1+$E119)^Y$82)</f>
        <v>0.19600000000000001</v>
      </c>
      <c r="Z119" s="465">
        <f>IF(Auswahllisten!$G$150,$R119+($R119*$E119*Z$82),$R119*(1+$E119)^Z$82)</f>
        <v>0.19600000000000001</v>
      </c>
      <c r="AA119" s="465">
        <f>IF(Auswahllisten!$G$150,$R119+($R119*$E119*AA$82),$R119*(1+$E119)^AA$82)</f>
        <v>0.19600000000000001</v>
      </c>
      <c r="AB119" s="465">
        <f>IF(Auswahllisten!$G$150,$R119+($R119*$E119*AB$82),$R119*(1+$E119)^AB$82)</f>
        <v>0.19600000000000001</v>
      </c>
      <c r="AC119" s="465">
        <f>IF(Auswahllisten!$G$150,$R119+($R119*$E119*AC$82),$R119*(1+$E119)^AC$82)</f>
        <v>0.19600000000000001</v>
      </c>
      <c r="AD119" s="465">
        <f>IF(Auswahllisten!$G$150,$R119+($R119*$E119*AD$82),$R119*(1+$E119)^AD$82)</f>
        <v>0.19600000000000001</v>
      </c>
      <c r="AE119" s="465">
        <f>IF(Auswahllisten!$G$150,$R119+($R119*$E119*AE$82),$R119*(1+$E119)^AE$82)</f>
        <v>0.19600000000000001</v>
      </c>
      <c r="AF119" s="465">
        <f>IF(Auswahllisten!$G$150,$R119+($R119*$E119*AF$82),$R119*(1+$E119)^AF$82)</f>
        <v>0.19600000000000001</v>
      </c>
      <c r="AG119" s="465">
        <f>IF(Auswahllisten!$G$150,$R119+($R119*$E119*AG$82),$R119*(1+$E119)^AG$82)</f>
        <v>0.19600000000000001</v>
      </c>
      <c r="AH119" s="465">
        <f>IF(Auswahllisten!$G$150,$R119+($R119*$E119*AH$82),$R119*(1+$E119)^AH$82)</f>
        <v>0.19600000000000001</v>
      </c>
      <c r="AI119" s="465">
        <f>IF(Auswahllisten!$G$150,$R119+($R119*$E119*AI$82),$R119*(1+$E119)^AI$82)</f>
        <v>0.19600000000000001</v>
      </c>
      <c r="AJ119" s="465">
        <f>IF(Auswahllisten!$G$150,$R119+($R119*$E119*AJ$82),$R119*(1+$E119)^AJ$82)</f>
        <v>0.19600000000000001</v>
      </c>
      <c r="AK119" s="465">
        <f>IF(Auswahllisten!$G$150,$R119+($R119*$E119*AK$82),$R119*(1+$E119)^AK$82)</f>
        <v>0.19600000000000001</v>
      </c>
      <c r="AL119" s="465">
        <f>IF(Auswahllisten!$G$150,$R119+($R119*$E119*AL$82),$R119*(1+$E119)^AL$82)</f>
        <v>0.19600000000000001</v>
      </c>
    </row>
    <row r="120" spans="2:38" ht="14.25">
      <c r="B120" s="16" t="s">
        <v>1643</v>
      </c>
      <c r="C120" s="451"/>
      <c r="D120" s="454">
        <f>IF(Energiepreise!D44="",Energiepreise!E44,Energiepreise!D44)</f>
        <v>0.19600000000000001</v>
      </c>
      <c r="E120" s="451">
        <f>IF(Energiepreise!F44="",Energiepreise!G44,Energiepreise!F44)</f>
        <v>0</v>
      </c>
      <c r="F120" s="451">
        <f>IF(Energiepreise!H44="",Energiepreise!I44,Energiepreise!H44)</f>
        <v>0</v>
      </c>
      <c r="G120" s="451">
        <f>IF(Energiepreise!J44="",Energiepreise!K44,Energiepreise!J44)</f>
        <v>0</v>
      </c>
      <c r="H120" s="453">
        <f>IF(Energiepreise!L44="",Energiepreise!M44,Energiepreise!L44)</f>
        <v>0</v>
      </c>
      <c r="I120" s="451">
        <f>IF(Energiepreise!N44="",Energiepreise!O44,Energiepreise!N44)</f>
        <v>0</v>
      </c>
      <c r="Q120" s="465" t="str">
        <f>Energiepreise!B44</f>
        <v>C7</v>
      </c>
      <c r="R120" s="476">
        <f t="shared" si="1"/>
        <v>0.19600000000000001</v>
      </c>
      <c r="S120" s="465">
        <f>IF(Auswahllisten!$G$150,$R120+($R120*$E120*S$82),$R120*(1+$E120)^S$82)</f>
        <v>0.19600000000000001</v>
      </c>
      <c r="T120" s="465">
        <f>IF(Auswahllisten!$G$150,$R120+($R120*$E120*T$82),$R120*(1+$E120)^T$82)</f>
        <v>0.19600000000000001</v>
      </c>
      <c r="U120" s="465">
        <f>IF(Auswahllisten!$G$150,$R120+($R120*$E120*U$82),$R120*(1+$E120)^U$82)</f>
        <v>0.19600000000000001</v>
      </c>
      <c r="V120" s="465">
        <f>IF(Auswahllisten!$G$150,$R120+($R120*$E120*V$82),$R120*(1+$E120)^V$82)</f>
        <v>0.19600000000000001</v>
      </c>
      <c r="W120" s="465">
        <f>IF(Auswahllisten!$G$150,$R120+($R120*$E120*W$82),$R120*(1+$E120)^W$82)</f>
        <v>0.19600000000000001</v>
      </c>
      <c r="X120" s="465">
        <f>IF(Auswahllisten!$G$150,$R120+($R120*$E120*X$82),$R120*(1+$E120)^X$82)</f>
        <v>0.19600000000000001</v>
      </c>
      <c r="Y120" s="465">
        <f>IF(Auswahllisten!$G$150,$R120+($R120*$E120*Y$82),$R120*(1+$E120)^Y$82)</f>
        <v>0.19600000000000001</v>
      </c>
      <c r="Z120" s="465">
        <f>IF(Auswahllisten!$G$150,$R120+($R120*$E120*Z$82),$R120*(1+$E120)^Z$82)</f>
        <v>0.19600000000000001</v>
      </c>
      <c r="AA120" s="465">
        <f>IF(Auswahllisten!$G$150,$R120+($R120*$E120*AA$82),$R120*(1+$E120)^AA$82)</f>
        <v>0.19600000000000001</v>
      </c>
      <c r="AB120" s="465">
        <f>IF(Auswahllisten!$G$150,$R120+($R120*$E120*AB$82),$R120*(1+$E120)^AB$82)</f>
        <v>0.19600000000000001</v>
      </c>
      <c r="AC120" s="465">
        <f>IF(Auswahllisten!$G$150,$R120+($R120*$E120*AC$82),$R120*(1+$E120)^AC$82)</f>
        <v>0.19600000000000001</v>
      </c>
      <c r="AD120" s="465">
        <f>IF(Auswahllisten!$G$150,$R120+($R120*$E120*AD$82),$R120*(1+$E120)^AD$82)</f>
        <v>0.19600000000000001</v>
      </c>
      <c r="AE120" s="465">
        <f>IF(Auswahllisten!$G$150,$R120+($R120*$E120*AE$82),$R120*(1+$E120)^AE$82)</f>
        <v>0.19600000000000001</v>
      </c>
      <c r="AF120" s="465">
        <f>IF(Auswahllisten!$G$150,$R120+($R120*$E120*AF$82),$R120*(1+$E120)^AF$82)</f>
        <v>0.19600000000000001</v>
      </c>
      <c r="AG120" s="465">
        <f>IF(Auswahllisten!$G$150,$R120+($R120*$E120*AG$82),$R120*(1+$E120)^AG$82)</f>
        <v>0.19600000000000001</v>
      </c>
      <c r="AH120" s="465">
        <f>IF(Auswahllisten!$G$150,$R120+($R120*$E120*AH$82),$R120*(1+$E120)^AH$82)</f>
        <v>0.19600000000000001</v>
      </c>
      <c r="AI120" s="465">
        <f>IF(Auswahllisten!$G$150,$R120+($R120*$E120*AI$82),$R120*(1+$E120)^AI$82)</f>
        <v>0.19600000000000001</v>
      </c>
      <c r="AJ120" s="465">
        <f>IF(Auswahllisten!$G$150,$R120+($R120*$E120*AJ$82),$R120*(1+$E120)^AJ$82)</f>
        <v>0.19600000000000001</v>
      </c>
      <c r="AK120" s="465">
        <f>IF(Auswahllisten!$G$150,$R120+($R120*$E120*AK$82),$R120*(1+$E120)^AK$82)</f>
        <v>0.19600000000000001</v>
      </c>
      <c r="AL120" s="465">
        <f>IF(Auswahllisten!$G$150,$R120+($R120*$E120*AL$82),$R120*(1+$E120)^AL$82)</f>
        <v>0.19600000000000001</v>
      </c>
    </row>
    <row r="121" spans="2:38" ht="14.25">
      <c r="C121" s="445"/>
      <c r="D121" s="445"/>
      <c r="E121" s="452"/>
      <c r="F121" s="452"/>
      <c r="G121" s="452"/>
      <c r="H121" s="445"/>
      <c r="I121" s="445"/>
      <c r="Q121" s="465"/>
      <c r="R121" s="476"/>
      <c r="S121" s="465"/>
      <c r="T121" s="465"/>
      <c r="U121" s="465"/>
      <c r="V121" s="465"/>
      <c r="W121" s="465"/>
      <c r="X121" s="465"/>
      <c r="Y121" s="465"/>
      <c r="Z121" s="465"/>
      <c r="AA121" s="465"/>
      <c r="AB121" s="465"/>
      <c r="AC121" s="465"/>
      <c r="AD121" s="465"/>
      <c r="AE121" s="465"/>
      <c r="AF121" s="465"/>
      <c r="AG121" s="465"/>
      <c r="AH121" s="465"/>
      <c r="AI121" s="465"/>
      <c r="AJ121" s="465"/>
      <c r="AK121" s="465"/>
      <c r="AL121" s="465"/>
    </row>
    <row r="122" spans="2:38" ht="14.25">
      <c r="B122" s="50" t="s">
        <v>293</v>
      </c>
      <c r="C122" s="452"/>
      <c r="D122" s="452"/>
      <c r="E122" s="452"/>
      <c r="F122" s="452"/>
      <c r="G122" s="452"/>
      <c r="H122" s="452"/>
      <c r="I122" s="453"/>
      <c r="Q122" s="465" t="str">
        <f ca="1">Energiepreise!B46 &amp;" (" &amp; Sprache!$E$235 &amp;")"</f>
        <v>Wärme (Energiepreise)</v>
      </c>
      <c r="R122" s="476"/>
      <c r="S122" s="465"/>
      <c r="T122" s="465"/>
      <c r="U122" s="465"/>
      <c r="V122" s="465"/>
      <c r="W122" s="465"/>
      <c r="X122" s="465"/>
      <c r="Y122" s="465"/>
      <c r="Z122" s="465"/>
      <c r="AA122" s="465"/>
      <c r="AB122" s="465"/>
      <c r="AC122" s="465"/>
      <c r="AD122" s="465"/>
      <c r="AE122" s="465"/>
      <c r="AF122" s="465"/>
      <c r="AG122" s="465"/>
      <c r="AH122" s="465"/>
      <c r="AI122" s="465"/>
      <c r="AJ122" s="465"/>
      <c r="AK122" s="465"/>
      <c r="AL122" s="465"/>
    </row>
    <row r="123" spans="2:38" ht="14.25">
      <c r="B123" s="16" t="s">
        <v>298</v>
      </c>
      <c r="C123" s="451"/>
      <c r="D123" s="451">
        <f>IF(Energiepreise!D47="",Energiepreise!E47,Energiepreise!D47)</f>
        <v>0.08</v>
      </c>
      <c r="E123" s="451">
        <f>IF(Energiepreise!F47="",Energiepreise!G47,Energiepreise!F47)</f>
        <v>0</v>
      </c>
      <c r="F123" s="451">
        <f>IF(Energiepreise!H47="",Energiepreise!I47,Energiepreise!H47)</f>
        <v>0</v>
      </c>
      <c r="G123" s="451">
        <f>IF(Energiepreise!J47="",Energiepreise!K47,Energiepreise!J47)</f>
        <v>0</v>
      </c>
      <c r="H123" s="451">
        <f>IF(Energiepreise!L47="",Energiepreise!M47,Energiepreise!L47)</f>
        <v>0</v>
      </c>
      <c r="I123" s="451">
        <f>IF(Energiepreise!N47="",Energiepreise!O47,Energiepreise!N47)</f>
        <v>0</v>
      </c>
      <c r="Q123" s="465" t="str">
        <f ca="1">Energiepreise!B47</f>
        <v>Wärmenetz KVA</v>
      </c>
      <c r="R123" s="476">
        <f t="shared" si="1"/>
        <v>0.08</v>
      </c>
      <c r="S123" s="465">
        <f>IF(Auswahllisten!$G$150,$R123+($R123*$E123*S$82),$R123*(1+$E123)^S$82)</f>
        <v>0.08</v>
      </c>
      <c r="T123" s="465">
        <f>IF(Auswahllisten!$G$150,$R123+($R123*$E123*T$82),$R123*(1+$E123)^T$82)</f>
        <v>0.08</v>
      </c>
      <c r="U123" s="465">
        <f>IF(Auswahllisten!$G$150,$R123+($R123*$E123*U$82),$R123*(1+$E123)^U$82)</f>
        <v>0.08</v>
      </c>
      <c r="V123" s="465">
        <f>IF(Auswahllisten!$G$150,$R123+($R123*$E123*V$82),$R123*(1+$E123)^V$82)</f>
        <v>0.08</v>
      </c>
      <c r="W123" s="465">
        <f>IF(Auswahllisten!$G$150,$R123+($R123*$E123*W$82),$R123*(1+$E123)^W$82)</f>
        <v>0.08</v>
      </c>
      <c r="X123" s="465">
        <f>IF(Auswahllisten!$G$150,$R123+($R123*$E123*X$82),$R123*(1+$E123)^X$82)</f>
        <v>0.08</v>
      </c>
      <c r="Y123" s="465">
        <f>IF(Auswahllisten!$G$150,$R123+($R123*$E123*Y$82),$R123*(1+$E123)^Y$82)</f>
        <v>0.08</v>
      </c>
      <c r="Z123" s="465">
        <f>IF(Auswahllisten!$G$150,$R123+($R123*$E123*Z$82),$R123*(1+$E123)^Z$82)</f>
        <v>0.08</v>
      </c>
      <c r="AA123" s="465">
        <f>IF(Auswahllisten!$G$150,$R123+($R123*$E123*AA$82),$R123*(1+$E123)^AA$82)</f>
        <v>0.08</v>
      </c>
      <c r="AB123" s="465">
        <f>IF(Auswahllisten!$G$150,$R123+($R123*$E123*AB$82),$R123*(1+$E123)^AB$82)</f>
        <v>0.08</v>
      </c>
      <c r="AC123" s="465">
        <f>IF(Auswahllisten!$G$150,$R123+($R123*$E123*AC$82),$R123*(1+$E123)^AC$82)</f>
        <v>0.08</v>
      </c>
      <c r="AD123" s="465">
        <f>IF(Auswahllisten!$G$150,$R123+($R123*$E123*AD$82),$R123*(1+$E123)^AD$82)</f>
        <v>0.08</v>
      </c>
      <c r="AE123" s="465">
        <f>IF(Auswahllisten!$G$150,$R123+($R123*$E123*AE$82),$R123*(1+$E123)^AE$82)</f>
        <v>0.08</v>
      </c>
      <c r="AF123" s="465">
        <f>IF(Auswahllisten!$G$150,$R123+($R123*$E123*AF$82),$R123*(1+$E123)^AF$82)</f>
        <v>0.08</v>
      </c>
      <c r="AG123" s="465">
        <f>IF(Auswahllisten!$G$150,$R123+($R123*$E123*AG$82),$R123*(1+$E123)^AG$82)</f>
        <v>0.08</v>
      </c>
      <c r="AH123" s="465">
        <f>IF(Auswahllisten!$G$150,$R123+($R123*$E123*AH$82),$R123*(1+$E123)^AH$82)</f>
        <v>0.08</v>
      </c>
      <c r="AI123" s="465">
        <f>IF(Auswahllisten!$G$150,$R123+($R123*$E123*AI$82),$R123*(1+$E123)^AI$82)</f>
        <v>0.08</v>
      </c>
      <c r="AJ123" s="465">
        <f>IF(Auswahllisten!$G$150,$R123+($R123*$E123*AJ$82),$R123*(1+$E123)^AJ$82)</f>
        <v>0.08</v>
      </c>
      <c r="AK123" s="465">
        <f>IF(Auswahllisten!$G$150,$R123+($R123*$E123*AK$82),$R123*(1+$E123)^AK$82)</f>
        <v>0.08</v>
      </c>
      <c r="AL123" s="465">
        <f>IF(Auswahllisten!$G$150,$R123+($R123*$E123*AL$82),$R123*(1+$E123)^AL$82)</f>
        <v>0.08</v>
      </c>
    </row>
    <row r="124" spans="2:38" ht="14.25">
      <c r="B124" s="16" t="s">
        <v>329</v>
      </c>
      <c r="C124" s="451"/>
      <c r="D124" s="451">
        <f>IF(Energiepreise!D48="",Energiepreise!E48,Energiepreise!D48)</f>
        <v>0.1</v>
      </c>
      <c r="E124" s="451">
        <f>IF(Energiepreise!F48="",Energiepreise!G48,Energiepreise!F48)</f>
        <v>0</v>
      </c>
      <c r="F124" s="451">
        <f>IF(Energiepreise!H48="",Energiepreise!I48,Energiepreise!H48)</f>
        <v>0</v>
      </c>
      <c r="G124" s="451">
        <f>IF(Energiepreise!J48="",Energiepreise!K48,Energiepreise!J48)</f>
        <v>0</v>
      </c>
      <c r="H124" s="451">
        <f>IF(Energiepreise!L48="",Energiepreise!M48,Energiepreise!L48)</f>
        <v>0</v>
      </c>
      <c r="I124" s="451">
        <f>IF(Energiepreise!N48="",Energiepreise!O48,Energiepreise!N48)</f>
        <v>0</v>
      </c>
      <c r="Q124" s="465" t="str">
        <f ca="1">Energiepreise!B48</f>
        <v>Wärmenetz BHKW (Gas)</v>
      </c>
      <c r="R124" s="476">
        <f t="shared" si="1"/>
        <v>0.1</v>
      </c>
      <c r="S124" s="465">
        <f>IF(Auswahllisten!$G$150,$R124+($R124*$E124*S$82),$R124*(1+$E124)^S$82)</f>
        <v>0.1</v>
      </c>
      <c r="T124" s="465">
        <f>IF(Auswahllisten!$G$150,$R124+($R124*$E124*T$82),$R124*(1+$E124)^T$82)</f>
        <v>0.1</v>
      </c>
      <c r="U124" s="465">
        <f>IF(Auswahllisten!$G$150,$R124+($R124*$E124*U$82),$R124*(1+$E124)^U$82)</f>
        <v>0.1</v>
      </c>
      <c r="V124" s="465">
        <f>IF(Auswahllisten!$G$150,$R124+($R124*$E124*V$82),$R124*(1+$E124)^V$82)</f>
        <v>0.1</v>
      </c>
      <c r="W124" s="465">
        <f>IF(Auswahllisten!$G$150,$R124+($R124*$E124*W$82),$R124*(1+$E124)^W$82)</f>
        <v>0.1</v>
      </c>
      <c r="X124" s="465">
        <f>IF(Auswahllisten!$G$150,$R124+($R124*$E124*X$82),$R124*(1+$E124)^X$82)</f>
        <v>0.1</v>
      </c>
      <c r="Y124" s="465">
        <f>IF(Auswahllisten!$G$150,$R124+($R124*$E124*Y$82),$R124*(1+$E124)^Y$82)</f>
        <v>0.1</v>
      </c>
      <c r="Z124" s="465">
        <f>IF(Auswahllisten!$G$150,$R124+($R124*$E124*Z$82),$R124*(1+$E124)^Z$82)</f>
        <v>0.1</v>
      </c>
      <c r="AA124" s="465">
        <f>IF(Auswahllisten!$G$150,$R124+($R124*$E124*AA$82),$R124*(1+$E124)^AA$82)</f>
        <v>0.1</v>
      </c>
      <c r="AB124" s="465">
        <f>IF(Auswahllisten!$G$150,$R124+($R124*$E124*AB$82),$R124*(1+$E124)^AB$82)</f>
        <v>0.1</v>
      </c>
      <c r="AC124" s="465">
        <f>IF(Auswahllisten!$G$150,$R124+($R124*$E124*AC$82),$R124*(1+$E124)^AC$82)</f>
        <v>0.1</v>
      </c>
      <c r="AD124" s="465">
        <f>IF(Auswahllisten!$G$150,$R124+($R124*$E124*AD$82),$R124*(1+$E124)^AD$82)</f>
        <v>0.1</v>
      </c>
      <c r="AE124" s="465">
        <f>IF(Auswahllisten!$G$150,$R124+($R124*$E124*AE$82),$R124*(1+$E124)^AE$82)</f>
        <v>0.1</v>
      </c>
      <c r="AF124" s="465">
        <f>IF(Auswahllisten!$G$150,$R124+($R124*$E124*AF$82),$R124*(1+$E124)^AF$82)</f>
        <v>0.1</v>
      </c>
      <c r="AG124" s="465">
        <f>IF(Auswahllisten!$G$150,$R124+($R124*$E124*AG$82),$R124*(1+$E124)^AG$82)</f>
        <v>0.1</v>
      </c>
      <c r="AH124" s="465">
        <f>IF(Auswahllisten!$G$150,$R124+($R124*$E124*AH$82),$R124*(1+$E124)^AH$82)</f>
        <v>0.1</v>
      </c>
      <c r="AI124" s="465">
        <f>IF(Auswahllisten!$G$150,$R124+($R124*$E124*AI$82),$R124*(1+$E124)^AI$82)</f>
        <v>0.1</v>
      </c>
      <c r="AJ124" s="465">
        <f>IF(Auswahllisten!$G$150,$R124+($R124*$E124*AJ$82),$R124*(1+$E124)^AJ$82)</f>
        <v>0.1</v>
      </c>
      <c r="AK124" s="465">
        <f>IF(Auswahllisten!$G$150,$R124+($R124*$E124*AK$82),$R124*(1+$E124)^AK$82)</f>
        <v>0.1</v>
      </c>
      <c r="AL124" s="465">
        <f>IF(Auswahllisten!$G$150,$R124+($R124*$E124*AL$82),$R124*(1+$E124)^AL$82)</f>
        <v>0.1</v>
      </c>
    </row>
    <row r="125" spans="2:38" ht="14.25">
      <c r="B125" s="16" t="s">
        <v>300</v>
      </c>
      <c r="C125" s="451"/>
      <c r="D125" s="451">
        <f>IF(Energiepreise!D49="",Energiepreise!E49,Energiepreise!D49)</f>
        <v>0.11</v>
      </c>
      <c r="E125" s="451">
        <f>IF(Energiepreise!F49="",Energiepreise!G49,Energiepreise!F49)</f>
        <v>0</v>
      </c>
      <c r="F125" s="451">
        <f>IF(Energiepreise!H49="",Energiepreise!I49,Energiepreise!H49)</f>
        <v>0</v>
      </c>
      <c r="G125" s="451">
        <f>IF(Energiepreise!J49="",Energiepreise!K49,Energiepreise!J49)</f>
        <v>0</v>
      </c>
      <c r="H125" s="451">
        <f>IF(Energiepreise!L49="",Energiepreise!M49,Energiepreise!L49)</f>
        <v>0</v>
      </c>
      <c r="I125" s="451">
        <f>IF(Energiepreise!N49="",Energiepreise!O49,Energiepreise!N49)</f>
        <v>0</v>
      </c>
      <c r="Q125" s="465" t="str">
        <f ca="1">Energiepreise!B49</f>
        <v>Wärmenetz WP (Grundwasser)</v>
      </c>
      <c r="R125" s="476">
        <f t="shared" si="1"/>
        <v>0.11</v>
      </c>
      <c r="S125" s="465">
        <f>IF(Auswahllisten!$G$150,$R125+($R125*$E125*S$82),$R125*(1+$E125)^S$82)</f>
        <v>0.11</v>
      </c>
      <c r="T125" s="465">
        <f>IF(Auswahllisten!$G$150,$R125+($R125*$E125*T$82),$R125*(1+$E125)^T$82)</f>
        <v>0.11</v>
      </c>
      <c r="U125" s="465">
        <f>IF(Auswahllisten!$G$150,$R125+($R125*$E125*U$82),$R125*(1+$E125)^U$82)</f>
        <v>0.11</v>
      </c>
      <c r="V125" s="465">
        <f>IF(Auswahllisten!$G$150,$R125+($R125*$E125*V$82),$R125*(1+$E125)^V$82)</f>
        <v>0.11</v>
      </c>
      <c r="W125" s="465">
        <f>IF(Auswahllisten!$G$150,$R125+($R125*$E125*W$82),$R125*(1+$E125)^W$82)</f>
        <v>0.11</v>
      </c>
      <c r="X125" s="465">
        <f>IF(Auswahllisten!$G$150,$R125+($R125*$E125*X$82),$R125*(1+$E125)^X$82)</f>
        <v>0.11</v>
      </c>
      <c r="Y125" s="465">
        <f>IF(Auswahllisten!$G$150,$R125+($R125*$E125*Y$82),$R125*(1+$E125)^Y$82)</f>
        <v>0.11</v>
      </c>
      <c r="Z125" s="465">
        <f>IF(Auswahllisten!$G$150,$R125+($R125*$E125*Z$82),$R125*(1+$E125)^Z$82)</f>
        <v>0.11</v>
      </c>
      <c r="AA125" s="465">
        <f>IF(Auswahllisten!$G$150,$R125+($R125*$E125*AA$82),$R125*(1+$E125)^AA$82)</f>
        <v>0.11</v>
      </c>
      <c r="AB125" s="465">
        <f>IF(Auswahllisten!$G$150,$R125+($R125*$E125*AB$82),$R125*(1+$E125)^AB$82)</f>
        <v>0.11</v>
      </c>
      <c r="AC125" s="465">
        <f>IF(Auswahllisten!$G$150,$R125+($R125*$E125*AC$82),$R125*(1+$E125)^AC$82)</f>
        <v>0.11</v>
      </c>
      <c r="AD125" s="465">
        <f>IF(Auswahllisten!$G$150,$R125+($R125*$E125*AD$82),$R125*(1+$E125)^AD$82)</f>
        <v>0.11</v>
      </c>
      <c r="AE125" s="465">
        <f>IF(Auswahllisten!$G$150,$R125+($R125*$E125*AE$82),$R125*(1+$E125)^AE$82)</f>
        <v>0.11</v>
      </c>
      <c r="AF125" s="465">
        <f>IF(Auswahllisten!$G$150,$R125+($R125*$E125*AF$82),$R125*(1+$E125)^AF$82)</f>
        <v>0.11</v>
      </c>
      <c r="AG125" s="465">
        <f>IF(Auswahllisten!$G$150,$R125+($R125*$E125*AG$82),$R125*(1+$E125)^AG$82)</f>
        <v>0.11</v>
      </c>
      <c r="AH125" s="465">
        <f>IF(Auswahllisten!$G$150,$R125+($R125*$E125*AH$82),$R125*(1+$E125)^AH$82)</f>
        <v>0.11</v>
      </c>
      <c r="AI125" s="465">
        <f>IF(Auswahllisten!$G$150,$R125+($R125*$E125*AI$82),$R125*(1+$E125)^AI$82)</f>
        <v>0.11</v>
      </c>
      <c r="AJ125" s="465">
        <f>IF(Auswahllisten!$G$150,$R125+($R125*$E125*AJ$82),$R125*(1+$E125)^AJ$82)</f>
        <v>0.11</v>
      </c>
      <c r="AK125" s="465">
        <f>IF(Auswahllisten!$G$150,$R125+($R125*$E125*AK$82),$R125*(1+$E125)^AK$82)</f>
        <v>0.11</v>
      </c>
      <c r="AL125" s="465">
        <f>IF(Auswahllisten!$G$150,$R125+($R125*$E125*AL$82),$R125*(1+$E125)^AL$82)</f>
        <v>0.11</v>
      </c>
    </row>
    <row r="126" spans="2:38" ht="14.25">
      <c r="B126" s="16" t="s">
        <v>301</v>
      </c>
      <c r="C126" s="451"/>
      <c r="D126" s="451">
        <f>IF(Energiepreise!D50="",Energiepreise!E50,Energiepreise!D50)</f>
        <v>0.12</v>
      </c>
      <c r="E126" s="451">
        <f>IF(Energiepreise!F50="",Energiepreise!G50,Energiepreise!F50)</f>
        <v>0</v>
      </c>
      <c r="F126" s="451">
        <f>IF(Energiepreise!H50="",Energiepreise!I50,Energiepreise!H50)</f>
        <v>0</v>
      </c>
      <c r="G126" s="451">
        <f>IF(Energiepreise!J50="",Energiepreise!K50,Energiepreise!J50)</f>
        <v>0</v>
      </c>
      <c r="H126" s="451">
        <f>IF(Energiepreise!L50="",Energiepreise!M50,Energiepreise!L50)</f>
        <v>0</v>
      </c>
      <c r="I126" s="451">
        <f>IF(Energiepreise!N50="",Energiepreise!O50,Energiepreise!N50)</f>
        <v>0</v>
      </c>
      <c r="Q126" s="465" t="str">
        <f ca="1">Energiepreise!B50</f>
        <v>Wärmenetz Hackschnitzel</v>
      </c>
      <c r="R126" s="476">
        <f t="shared" si="1"/>
        <v>0.12</v>
      </c>
      <c r="S126" s="465">
        <f>IF(Auswahllisten!$G$150,$R126+($R126*$E126*S$82),$R126*(1+$E126)^S$82)</f>
        <v>0.12</v>
      </c>
      <c r="T126" s="465">
        <f>IF(Auswahllisten!$G$150,$R126+($R126*$E126*T$82),$R126*(1+$E126)^T$82)</f>
        <v>0.12</v>
      </c>
      <c r="U126" s="465">
        <f>IF(Auswahllisten!$G$150,$R126+($R126*$E126*U$82),$R126*(1+$E126)^U$82)</f>
        <v>0.12</v>
      </c>
      <c r="V126" s="465">
        <f>IF(Auswahllisten!$G$150,$R126+($R126*$E126*V$82),$R126*(1+$E126)^V$82)</f>
        <v>0.12</v>
      </c>
      <c r="W126" s="465">
        <f>IF(Auswahllisten!$G$150,$R126+($R126*$E126*W$82),$R126*(1+$E126)^W$82)</f>
        <v>0.12</v>
      </c>
      <c r="X126" s="465">
        <f>IF(Auswahllisten!$G$150,$R126+($R126*$E126*X$82),$R126*(1+$E126)^X$82)</f>
        <v>0.12</v>
      </c>
      <c r="Y126" s="465">
        <f>IF(Auswahllisten!$G$150,$R126+($R126*$E126*Y$82),$R126*(1+$E126)^Y$82)</f>
        <v>0.12</v>
      </c>
      <c r="Z126" s="465">
        <f>IF(Auswahllisten!$G$150,$R126+($R126*$E126*Z$82),$R126*(1+$E126)^Z$82)</f>
        <v>0.12</v>
      </c>
      <c r="AA126" s="465">
        <f>IF(Auswahllisten!$G$150,$R126+($R126*$E126*AA$82),$R126*(1+$E126)^AA$82)</f>
        <v>0.12</v>
      </c>
      <c r="AB126" s="465">
        <f>IF(Auswahllisten!$G$150,$R126+($R126*$E126*AB$82),$R126*(1+$E126)^AB$82)</f>
        <v>0.12</v>
      </c>
      <c r="AC126" s="465">
        <f>IF(Auswahllisten!$G$150,$R126+($R126*$E126*AC$82),$R126*(1+$E126)^AC$82)</f>
        <v>0.12</v>
      </c>
      <c r="AD126" s="465">
        <f>IF(Auswahllisten!$G$150,$R126+($R126*$E126*AD$82),$R126*(1+$E126)^AD$82)</f>
        <v>0.12</v>
      </c>
      <c r="AE126" s="465">
        <f>IF(Auswahllisten!$G$150,$R126+($R126*$E126*AE$82),$R126*(1+$E126)^AE$82)</f>
        <v>0.12</v>
      </c>
      <c r="AF126" s="465">
        <f>IF(Auswahllisten!$G$150,$R126+($R126*$E126*AF$82),$R126*(1+$E126)^AF$82)</f>
        <v>0.12</v>
      </c>
      <c r="AG126" s="465">
        <f>IF(Auswahllisten!$G$150,$R126+($R126*$E126*AG$82),$R126*(1+$E126)^AG$82)</f>
        <v>0.12</v>
      </c>
      <c r="AH126" s="465">
        <f>IF(Auswahllisten!$G$150,$R126+($R126*$E126*AH$82),$R126*(1+$E126)^AH$82)</f>
        <v>0.12</v>
      </c>
      <c r="AI126" s="465">
        <f>IF(Auswahllisten!$G$150,$R126+($R126*$E126*AI$82),$R126*(1+$E126)^AI$82)</f>
        <v>0.12</v>
      </c>
      <c r="AJ126" s="465">
        <f>IF(Auswahllisten!$G$150,$R126+($R126*$E126*AJ$82),$R126*(1+$E126)^AJ$82)</f>
        <v>0.12</v>
      </c>
      <c r="AK126" s="465">
        <f>IF(Auswahllisten!$G$150,$R126+($R126*$E126*AK$82),$R126*(1+$E126)^AK$82)</f>
        <v>0.12</v>
      </c>
      <c r="AL126" s="465">
        <f>IF(Auswahllisten!$G$150,$R126+($R126*$E126*AL$82),$R126*(1+$E126)^AL$82)</f>
        <v>0.12</v>
      </c>
    </row>
  </sheetData>
  <mergeCells count="3">
    <mergeCell ref="K22:L22"/>
    <mergeCell ref="F2:G2"/>
    <mergeCell ref="M2:N2"/>
  </mergeCells>
  <phoneticPr fontId="28" type="noConversion"/>
  <pageMargins left="0.7" right="0.7" top="0.78740157499999996" bottom="0.78740157499999996"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402DC-9473-45C1-BF65-CC18D95473A7}">
  <sheetPr codeName="Tabelle14">
    <tabColor rgb="FFFF0000"/>
  </sheetPr>
  <dimension ref="A1:S122"/>
  <sheetViews>
    <sheetView topLeftCell="D84" workbookViewId="0">
      <selection activeCell="E3" sqref="E3"/>
    </sheetView>
  </sheetViews>
  <sheetFormatPr baseColWidth="10" defaultColWidth="11.5703125" defaultRowHeight="15"/>
  <cols>
    <col min="1" max="1" width="4.140625" style="127" customWidth="1"/>
    <col min="2" max="2" width="6.85546875" style="127" customWidth="1"/>
    <col min="3" max="3" width="32.42578125" style="127" customWidth="1"/>
    <col min="4" max="4" width="42.5703125" style="127" customWidth="1"/>
    <col min="5" max="5" width="17.7109375" style="127" customWidth="1"/>
    <col min="6" max="16384" width="11.5703125" style="127"/>
  </cols>
  <sheetData>
    <row r="1" spans="1:19" ht="15.75">
      <c r="B1" s="128" t="s">
        <v>871</v>
      </c>
    </row>
    <row r="3" spans="1:19">
      <c r="A3" s="125"/>
      <c r="B3" s="129" t="s">
        <v>963</v>
      </c>
      <c r="C3" s="64"/>
      <c r="D3" s="64"/>
      <c r="E3" s="64"/>
      <c r="F3" s="82" t="s">
        <v>259</v>
      </c>
      <c r="G3" s="82" t="s">
        <v>247</v>
      </c>
      <c r="H3" s="82" t="s">
        <v>248</v>
      </c>
      <c r="I3" s="82" t="s">
        <v>249</v>
      </c>
      <c r="J3" s="82" t="s">
        <v>250</v>
      </c>
      <c r="K3" s="82" t="s">
        <v>251</v>
      </c>
      <c r="L3" s="82" t="s">
        <v>252</v>
      </c>
      <c r="M3" s="82" t="s">
        <v>253</v>
      </c>
      <c r="N3" s="82" t="s">
        <v>254</v>
      </c>
      <c r="O3" s="82" t="s">
        <v>666</v>
      </c>
      <c r="P3" s="82" t="s">
        <v>667</v>
      </c>
      <c r="Q3" s="82" t="s">
        <v>668</v>
      </c>
      <c r="R3" s="82" t="s">
        <v>669</v>
      </c>
      <c r="S3" s="64"/>
    </row>
    <row r="4" spans="1:19">
      <c r="A4" s="125"/>
      <c r="C4" s="64"/>
      <c r="D4" s="64"/>
      <c r="E4" s="64"/>
      <c r="F4" s="82" t="s">
        <v>175</v>
      </c>
      <c r="G4" s="82" t="s">
        <v>175</v>
      </c>
      <c r="H4" s="82" t="s">
        <v>175</v>
      </c>
      <c r="I4" s="82" t="s">
        <v>175</v>
      </c>
      <c r="J4" s="82" t="s">
        <v>175</v>
      </c>
      <c r="K4" s="82" t="s">
        <v>175</v>
      </c>
      <c r="L4" s="82" t="s">
        <v>175</v>
      </c>
      <c r="M4" s="82" t="s">
        <v>175</v>
      </c>
      <c r="N4" s="82" t="s">
        <v>175</v>
      </c>
      <c r="O4" s="82" t="s">
        <v>175</v>
      </c>
      <c r="P4" s="82" t="s">
        <v>175</v>
      </c>
      <c r="Q4" s="82" t="s">
        <v>175</v>
      </c>
      <c r="R4" s="82" t="s">
        <v>175</v>
      </c>
      <c r="S4" s="64"/>
    </row>
    <row r="5" spans="1:19">
      <c r="A5" s="125"/>
      <c r="B5" s="64"/>
      <c r="C5" s="64"/>
      <c r="D5" s="64"/>
      <c r="E5" s="64"/>
      <c r="F5" s="64" t="s">
        <v>863</v>
      </c>
      <c r="G5" s="64" t="s">
        <v>863</v>
      </c>
      <c r="H5" s="64" t="s">
        <v>863</v>
      </c>
      <c r="I5" s="64" t="s">
        <v>863</v>
      </c>
      <c r="J5" s="64" t="s">
        <v>863</v>
      </c>
      <c r="K5" s="64" t="s">
        <v>863</v>
      </c>
      <c r="L5" s="64" t="s">
        <v>863</v>
      </c>
      <c r="M5" s="64" t="s">
        <v>863</v>
      </c>
      <c r="N5" s="64" t="s">
        <v>863</v>
      </c>
      <c r="O5" s="64" t="s">
        <v>863</v>
      </c>
      <c r="P5" s="64" t="s">
        <v>863</v>
      </c>
      <c r="Q5" s="64" t="s">
        <v>863</v>
      </c>
      <c r="R5" s="64" t="s">
        <v>863</v>
      </c>
      <c r="S5" s="64"/>
    </row>
    <row r="6" spans="1:19">
      <c r="A6" s="125" t="s">
        <v>261</v>
      </c>
      <c r="B6" s="125" t="s">
        <v>986</v>
      </c>
      <c r="C6" s="64"/>
      <c r="D6" s="64"/>
      <c r="E6" s="64"/>
      <c r="F6" s="64"/>
      <c r="G6" s="64"/>
      <c r="H6" s="130"/>
      <c r="I6" s="130"/>
      <c r="J6" s="130"/>
      <c r="K6" s="130"/>
      <c r="L6" s="130"/>
      <c r="M6" s="130"/>
      <c r="N6" s="130"/>
      <c r="O6" s="64"/>
      <c r="P6" s="64"/>
      <c r="Q6" s="64"/>
      <c r="R6" s="64"/>
    </row>
    <row r="7" spans="1:19">
      <c r="A7" s="125"/>
      <c r="B7" s="304" t="s">
        <v>1217</v>
      </c>
      <c r="C7" s="131" t="s">
        <v>1242</v>
      </c>
      <c r="D7" s="131" t="s">
        <v>244</v>
      </c>
      <c r="E7" s="131"/>
      <c r="F7" s="132">
        <v>1500</v>
      </c>
      <c r="G7" s="132">
        <v>1500</v>
      </c>
      <c r="H7" s="132">
        <v>1700</v>
      </c>
      <c r="I7" s="132">
        <v>1700</v>
      </c>
      <c r="J7" s="132">
        <v>2900</v>
      </c>
      <c r="K7" s="132">
        <v>3300</v>
      </c>
      <c r="L7" s="132">
        <v>3300</v>
      </c>
      <c r="M7" s="132">
        <v>5300</v>
      </c>
      <c r="N7" s="132">
        <v>5300</v>
      </c>
      <c r="O7" s="132">
        <v>9000</v>
      </c>
      <c r="P7" s="132">
        <v>12000</v>
      </c>
      <c r="Q7" s="132">
        <v>18000</v>
      </c>
      <c r="R7" s="132">
        <v>24000</v>
      </c>
    </row>
    <row r="8" spans="1:19">
      <c r="A8" s="125"/>
      <c r="B8" s="305" t="s">
        <v>1215</v>
      </c>
      <c r="C8" s="126" t="s">
        <v>303</v>
      </c>
      <c r="D8" s="126" t="s">
        <v>988</v>
      </c>
      <c r="E8" s="126"/>
      <c r="F8" s="133">
        <v>9400</v>
      </c>
      <c r="G8" s="133">
        <v>9400</v>
      </c>
      <c r="H8" s="133">
        <v>10400</v>
      </c>
      <c r="I8" s="133">
        <v>15200</v>
      </c>
      <c r="J8" s="133">
        <v>20300</v>
      </c>
      <c r="K8" s="133">
        <v>32900</v>
      </c>
      <c r="L8" s="133">
        <v>40500</v>
      </c>
      <c r="M8" s="133">
        <v>67600</v>
      </c>
      <c r="N8" s="133">
        <v>99200</v>
      </c>
      <c r="O8" s="133">
        <v>99100</v>
      </c>
      <c r="P8" s="133">
        <v>120100</v>
      </c>
      <c r="Q8" s="133">
        <v>169100</v>
      </c>
      <c r="R8" s="133">
        <v>215700</v>
      </c>
    </row>
    <row r="9" spans="1:19">
      <c r="A9" s="125"/>
      <c r="B9" s="305" t="s">
        <v>1215</v>
      </c>
      <c r="C9" s="126" t="s">
        <v>303</v>
      </c>
      <c r="D9" s="126" t="s">
        <v>965</v>
      </c>
      <c r="E9" s="126"/>
      <c r="F9" s="133">
        <v>3500</v>
      </c>
      <c r="G9" s="133">
        <v>3500</v>
      </c>
      <c r="H9" s="133">
        <v>3500</v>
      </c>
      <c r="I9" s="133">
        <v>4600</v>
      </c>
      <c r="J9" s="133">
        <v>5100</v>
      </c>
      <c r="K9" s="133">
        <v>5600</v>
      </c>
      <c r="L9" s="133">
        <v>6600</v>
      </c>
      <c r="M9" s="133">
        <v>7700</v>
      </c>
      <c r="N9" s="133">
        <v>9400</v>
      </c>
      <c r="O9" s="133">
        <v>12000</v>
      </c>
      <c r="P9" s="133">
        <v>15000</v>
      </c>
      <c r="Q9" s="133">
        <v>24000</v>
      </c>
      <c r="R9" s="133">
        <v>30000</v>
      </c>
    </row>
    <row r="10" spans="1:19">
      <c r="A10" s="125"/>
      <c r="B10" s="305" t="s">
        <v>1215</v>
      </c>
      <c r="C10" s="126" t="s">
        <v>303</v>
      </c>
      <c r="D10" s="126" t="s">
        <v>966</v>
      </c>
      <c r="E10" s="126"/>
      <c r="F10" s="133">
        <v>8500</v>
      </c>
      <c r="G10" s="133">
        <v>8500</v>
      </c>
      <c r="H10" s="133">
        <v>8500</v>
      </c>
      <c r="I10" s="133">
        <v>8700</v>
      </c>
      <c r="J10" s="133">
        <v>8700</v>
      </c>
      <c r="K10" s="133">
        <v>8700</v>
      </c>
      <c r="L10" s="133">
        <v>13900</v>
      </c>
      <c r="M10" s="133">
        <v>13900</v>
      </c>
      <c r="N10" s="133">
        <v>13900</v>
      </c>
      <c r="O10" s="133">
        <v>20000</v>
      </c>
      <c r="P10" s="133">
        <v>26000</v>
      </c>
      <c r="Q10" s="133">
        <v>35500</v>
      </c>
      <c r="R10" s="133">
        <v>45000</v>
      </c>
    </row>
    <row r="11" spans="1:19">
      <c r="A11" s="125"/>
      <c r="B11" s="306" t="s">
        <v>1215</v>
      </c>
      <c r="C11" s="297" t="s">
        <v>303</v>
      </c>
      <c r="D11" s="134" t="s">
        <v>186</v>
      </c>
      <c r="E11" s="134"/>
      <c r="F11" s="135">
        <v>4000</v>
      </c>
      <c r="G11" s="135">
        <v>4000</v>
      </c>
      <c r="H11" s="135">
        <v>4200</v>
      </c>
      <c r="I11" s="135">
        <v>4500</v>
      </c>
      <c r="J11" s="135">
        <v>7000</v>
      </c>
      <c r="K11" s="135">
        <v>10600</v>
      </c>
      <c r="L11" s="135">
        <v>11700</v>
      </c>
      <c r="M11" s="135">
        <v>17100</v>
      </c>
      <c r="N11" s="135">
        <v>21400</v>
      </c>
      <c r="O11" s="135">
        <v>26000</v>
      </c>
      <c r="P11" s="135">
        <v>32000</v>
      </c>
      <c r="Q11" s="135">
        <v>38000</v>
      </c>
      <c r="R11" s="135">
        <v>48000</v>
      </c>
    </row>
    <row r="12" spans="1:19">
      <c r="A12" s="125"/>
      <c r="B12" s="64"/>
      <c r="C12" s="64"/>
      <c r="D12" s="64"/>
      <c r="E12" s="64"/>
      <c r="F12" s="64"/>
      <c r="G12" s="64"/>
      <c r="H12" s="130"/>
      <c r="I12" s="130"/>
      <c r="J12" s="130"/>
      <c r="K12" s="130"/>
      <c r="L12" s="130"/>
      <c r="M12" s="130"/>
      <c r="N12" s="130"/>
      <c r="O12" s="64"/>
      <c r="P12" s="64"/>
      <c r="Q12" s="64"/>
      <c r="R12" s="64"/>
    </row>
    <row r="13" spans="1:19">
      <c r="A13" s="125" t="s">
        <v>990</v>
      </c>
      <c r="B13" s="125" t="s">
        <v>14</v>
      </c>
      <c r="C13" s="64"/>
      <c r="D13" s="64"/>
      <c r="E13" s="64"/>
      <c r="F13" s="130"/>
      <c r="G13" s="130"/>
      <c r="H13" s="130"/>
      <c r="I13" s="130"/>
      <c r="J13" s="130"/>
      <c r="K13" s="130"/>
      <c r="L13" s="130"/>
      <c r="M13" s="130"/>
      <c r="N13" s="130"/>
      <c r="O13" s="64"/>
      <c r="P13" s="64"/>
      <c r="Q13" s="64"/>
      <c r="R13" s="64"/>
    </row>
    <row r="14" spans="1:19">
      <c r="A14" s="125"/>
      <c r="B14" s="304" t="s">
        <v>1217</v>
      </c>
      <c r="C14" s="131" t="s">
        <v>1242</v>
      </c>
      <c r="D14" s="131" t="s">
        <v>206</v>
      </c>
      <c r="E14" s="131"/>
      <c r="F14" s="136">
        <v>4000</v>
      </c>
      <c r="G14" s="136">
        <v>4000</v>
      </c>
      <c r="H14" s="136">
        <v>4000</v>
      </c>
      <c r="I14" s="136">
        <v>5000</v>
      </c>
      <c r="J14" s="136">
        <v>6000</v>
      </c>
      <c r="K14" s="136">
        <v>6000</v>
      </c>
      <c r="L14" s="136">
        <v>8000</v>
      </c>
      <c r="M14" s="136">
        <v>10000</v>
      </c>
      <c r="N14" s="136">
        <v>12000</v>
      </c>
      <c r="O14" s="136">
        <v>12000</v>
      </c>
      <c r="P14" s="136">
        <v>12000</v>
      </c>
      <c r="Q14" s="136">
        <v>12000</v>
      </c>
      <c r="R14" s="136">
        <v>12000</v>
      </c>
    </row>
    <row r="15" spans="1:19">
      <c r="A15" s="125"/>
      <c r="B15" s="305" t="s">
        <v>1215</v>
      </c>
      <c r="C15" s="126" t="s">
        <v>303</v>
      </c>
      <c r="D15" s="126" t="s">
        <v>238</v>
      </c>
      <c r="E15" s="126"/>
      <c r="F15" s="137">
        <v>5100</v>
      </c>
      <c r="G15" s="137">
        <v>5100</v>
      </c>
      <c r="H15" s="137">
        <v>5600</v>
      </c>
      <c r="I15" s="137">
        <v>6100</v>
      </c>
      <c r="J15" s="137">
        <v>10700</v>
      </c>
      <c r="K15" s="137">
        <v>15800</v>
      </c>
      <c r="L15" s="137">
        <v>26500</v>
      </c>
      <c r="M15" s="137">
        <v>40800</v>
      </c>
      <c r="N15" s="137">
        <v>66300</v>
      </c>
      <c r="O15" s="137">
        <v>75000</v>
      </c>
      <c r="P15" s="137">
        <v>100000</v>
      </c>
      <c r="Q15" s="137">
        <v>140000</v>
      </c>
      <c r="R15" s="137">
        <v>185000</v>
      </c>
    </row>
    <row r="16" spans="1:19">
      <c r="A16" s="125"/>
      <c r="B16" s="305" t="s">
        <v>1215</v>
      </c>
      <c r="C16" s="126" t="s">
        <v>303</v>
      </c>
      <c r="D16" s="126" t="s">
        <v>965</v>
      </c>
      <c r="E16" s="126"/>
      <c r="F16" s="137">
        <v>3600</v>
      </c>
      <c r="G16" s="137">
        <v>3600</v>
      </c>
      <c r="H16" s="137">
        <v>4600</v>
      </c>
      <c r="I16" s="137">
        <v>4600</v>
      </c>
      <c r="J16" s="137">
        <v>5100</v>
      </c>
      <c r="K16" s="137">
        <v>5600</v>
      </c>
      <c r="L16" s="137">
        <v>6600</v>
      </c>
      <c r="M16" s="137">
        <v>7700</v>
      </c>
      <c r="N16" s="137">
        <v>9400</v>
      </c>
      <c r="O16" s="137">
        <v>12000</v>
      </c>
      <c r="P16" s="137">
        <v>15000</v>
      </c>
      <c r="Q16" s="137">
        <v>24000</v>
      </c>
      <c r="R16" s="137">
        <v>30000</v>
      </c>
    </row>
    <row r="17" spans="1:18">
      <c r="A17" s="125"/>
      <c r="B17" s="305" t="s">
        <v>1215</v>
      </c>
      <c r="C17" s="126" t="s">
        <v>303</v>
      </c>
      <c r="D17" s="126" t="s">
        <v>966</v>
      </c>
      <c r="E17" s="126"/>
      <c r="F17" s="137">
        <v>6000</v>
      </c>
      <c r="G17" s="137">
        <v>6000</v>
      </c>
      <c r="H17" s="137">
        <v>6000</v>
      </c>
      <c r="I17" s="137">
        <v>7500</v>
      </c>
      <c r="J17" s="137">
        <v>8700</v>
      </c>
      <c r="K17" s="137">
        <v>8700</v>
      </c>
      <c r="L17" s="137">
        <v>13900</v>
      </c>
      <c r="M17" s="137">
        <v>13900</v>
      </c>
      <c r="N17" s="137">
        <v>13900</v>
      </c>
      <c r="O17" s="137">
        <v>20000</v>
      </c>
      <c r="P17" s="137">
        <v>26000</v>
      </c>
      <c r="Q17" s="137">
        <v>35500</v>
      </c>
      <c r="R17" s="137">
        <v>45000</v>
      </c>
    </row>
    <row r="18" spans="1:18">
      <c r="A18" s="125"/>
      <c r="B18" s="306" t="s">
        <v>1215</v>
      </c>
      <c r="C18" s="297" t="s">
        <v>303</v>
      </c>
      <c r="D18" s="134" t="s">
        <v>186</v>
      </c>
      <c r="E18" s="134"/>
      <c r="F18" s="138">
        <v>4000</v>
      </c>
      <c r="G18" s="138">
        <v>4000</v>
      </c>
      <c r="H18" s="138">
        <v>4200</v>
      </c>
      <c r="I18" s="138">
        <v>4500</v>
      </c>
      <c r="J18" s="138">
        <v>7000</v>
      </c>
      <c r="K18" s="138">
        <v>10600</v>
      </c>
      <c r="L18" s="138">
        <v>11700</v>
      </c>
      <c r="M18" s="138">
        <v>17100</v>
      </c>
      <c r="N18" s="138">
        <v>21400</v>
      </c>
      <c r="O18" s="138">
        <v>26000</v>
      </c>
      <c r="P18" s="138">
        <v>32000</v>
      </c>
      <c r="Q18" s="138">
        <v>38000</v>
      </c>
      <c r="R18" s="138">
        <v>48000</v>
      </c>
    </row>
    <row r="19" spans="1:18">
      <c r="A19" s="125"/>
      <c r="B19" s="64"/>
      <c r="C19" s="64"/>
      <c r="D19" s="64"/>
      <c r="E19" s="64"/>
      <c r="F19" s="130"/>
      <c r="G19" s="130"/>
      <c r="H19" s="130"/>
      <c r="I19" s="130"/>
      <c r="J19" s="130"/>
      <c r="K19" s="130"/>
      <c r="L19" s="130"/>
      <c r="M19" s="130"/>
      <c r="N19" s="130"/>
      <c r="O19" s="64"/>
      <c r="P19" s="64"/>
      <c r="Q19" s="64"/>
      <c r="R19" s="64"/>
    </row>
    <row r="20" spans="1:18">
      <c r="A20" s="125" t="s">
        <v>991</v>
      </c>
      <c r="B20" s="125" t="s">
        <v>1</v>
      </c>
      <c r="C20" s="125"/>
      <c r="D20" s="64"/>
      <c r="E20" s="64"/>
      <c r="F20" s="64"/>
      <c r="G20" s="64"/>
      <c r="H20" s="64"/>
      <c r="I20" s="64"/>
      <c r="J20" s="130"/>
      <c r="K20" s="130"/>
      <c r="L20" s="130"/>
      <c r="M20" s="130"/>
      <c r="N20" s="130"/>
      <c r="O20" s="64"/>
      <c r="P20" s="64"/>
      <c r="Q20" s="64"/>
      <c r="R20" s="64"/>
    </row>
    <row r="21" spans="1:18">
      <c r="A21" s="125"/>
      <c r="B21" s="304" t="s">
        <v>1217</v>
      </c>
      <c r="C21" s="131" t="s">
        <v>1242</v>
      </c>
      <c r="D21" s="131" t="s">
        <v>243</v>
      </c>
      <c r="E21" s="131"/>
      <c r="F21" s="132">
        <v>3000</v>
      </c>
      <c r="G21" s="132">
        <v>3000</v>
      </c>
      <c r="H21" s="132">
        <v>3500</v>
      </c>
      <c r="I21" s="132">
        <v>3500</v>
      </c>
      <c r="J21" s="132">
        <v>3500</v>
      </c>
      <c r="K21" s="132">
        <v>3600</v>
      </c>
      <c r="L21" s="132">
        <v>4100</v>
      </c>
      <c r="M21" s="132">
        <v>4600</v>
      </c>
      <c r="N21" s="132">
        <v>5600</v>
      </c>
      <c r="O21" s="132">
        <v>9000</v>
      </c>
      <c r="P21" s="132">
        <v>14000</v>
      </c>
      <c r="Q21" s="132">
        <v>18000</v>
      </c>
      <c r="R21" s="132">
        <v>20000</v>
      </c>
    </row>
    <row r="22" spans="1:18">
      <c r="A22" s="125"/>
      <c r="B22" s="305" t="s">
        <v>1217</v>
      </c>
      <c r="C22" s="131" t="s">
        <v>1242</v>
      </c>
      <c r="D22" s="126" t="s">
        <v>242</v>
      </c>
      <c r="E22" s="126"/>
      <c r="F22" s="133">
        <v>2000</v>
      </c>
      <c r="G22" s="133">
        <v>2000</v>
      </c>
      <c r="H22" s="133">
        <v>3000</v>
      </c>
      <c r="I22" s="133">
        <v>5600</v>
      </c>
      <c r="J22" s="133">
        <v>12000</v>
      </c>
      <c r="K22" s="133">
        <v>15000</v>
      </c>
      <c r="L22" s="133">
        <v>25000</v>
      </c>
      <c r="M22" s="133">
        <v>35000</v>
      </c>
      <c r="N22" s="133">
        <v>45000</v>
      </c>
      <c r="O22" s="133">
        <v>60000</v>
      </c>
      <c r="P22" s="133">
        <v>70000</v>
      </c>
      <c r="Q22" s="133">
        <v>90000</v>
      </c>
      <c r="R22" s="133">
        <v>110000</v>
      </c>
    </row>
    <row r="23" spans="1:18">
      <c r="A23" s="125"/>
      <c r="B23" s="305" t="s">
        <v>1215</v>
      </c>
      <c r="C23" s="126" t="s">
        <v>303</v>
      </c>
      <c r="D23" s="126" t="s">
        <v>992</v>
      </c>
      <c r="E23" s="126"/>
      <c r="F23" s="133">
        <v>12000</v>
      </c>
      <c r="G23" s="133">
        <v>12000</v>
      </c>
      <c r="H23" s="133">
        <v>16000</v>
      </c>
      <c r="I23" s="133">
        <v>19000</v>
      </c>
      <c r="J23" s="133">
        <v>31100</v>
      </c>
      <c r="K23" s="133">
        <v>39000</v>
      </c>
      <c r="L23" s="133">
        <v>67800</v>
      </c>
      <c r="M23" s="133">
        <v>92800</v>
      </c>
      <c r="N23" s="133">
        <v>115300</v>
      </c>
      <c r="O23" s="133">
        <v>263000</v>
      </c>
      <c r="P23" s="133">
        <v>332000</v>
      </c>
      <c r="Q23" s="133">
        <v>384000</v>
      </c>
      <c r="R23" s="133">
        <v>453000</v>
      </c>
    </row>
    <row r="24" spans="1:18">
      <c r="A24" s="125"/>
      <c r="B24" s="305" t="s">
        <v>1215</v>
      </c>
      <c r="C24" s="126" t="s">
        <v>303</v>
      </c>
      <c r="D24" s="126" t="s">
        <v>965</v>
      </c>
      <c r="E24" s="126"/>
      <c r="F24" s="133">
        <v>4000</v>
      </c>
      <c r="G24" s="133">
        <v>4000</v>
      </c>
      <c r="H24" s="133">
        <v>4500</v>
      </c>
      <c r="I24" s="133">
        <v>4600</v>
      </c>
      <c r="J24" s="133">
        <v>5100</v>
      </c>
      <c r="K24" s="133">
        <v>5600</v>
      </c>
      <c r="L24" s="133">
        <v>6600</v>
      </c>
      <c r="M24" s="133">
        <v>7700</v>
      </c>
      <c r="N24" s="133">
        <v>9400</v>
      </c>
      <c r="O24" s="133">
        <v>12000</v>
      </c>
      <c r="P24" s="133">
        <v>15000</v>
      </c>
      <c r="Q24" s="133">
        <v>24000</v>
      </c>
      <c r="R24" s="133">
        <v>30000</v>
      </c>
    </row>
    <row r="25" spans="1:18">
      <c r="A25" s="125"/>
      <c r="B25" s="305" t="s">
        <v>1218</v>
      </c>
      <c r="C25" s="126" t="s">
        <v>1243</v>
      </c>
      <c r="D25" s="126" t="s">
        <v>231</v>
      </c>
      <c r="E25" s="126"/>
      <c r="F25" s="133">
        <v>1500</v>
      </c>
      <c r="G25" s="133">
        <v>1500</v>
      </c>
      <c r="H25" s="133">
        <v>2000</v>
      </c>
      <c r="I25" s="133">
        <v>2500</v>
      </c>
      <c r="J25" s="133">
        <v>4000</v>
      </c>
      <c r="K25" s="133">
        <v>5000</v>
      </c>
      <c r="L25" s="133">
        <v>5100</v>
      </c>
      <c r="M25" s="133">
        <v>7700</v>
      </c>
      <c r="N25" s="133">
        <v>10200</v>
      </c>
      <c r="O25" s="133">
        <v>13000</v>
      </c>
      <c r="P25" s="133">
        <v>18000</v>
      </c>
      <c r="Q25" s="133">
        <v>25000</v>
      </c>
      <c r="R25" s="133">
        <v>36000</v>
      </c>
    </row>
    <row r="26" spans="1:18">
      <c r="A26" s="125"/>
      <c r="B26" s="305" t="s">
        <v>1215</v>
      </c>
      <c r="C26" s="126" t="s">
        <v>303</v>
      </c>
      <c r="D26" s="126" t="s">
        <v>966</v>
      </c>
      <c r="E26" s="126"/>
      <c r="F26" s="133">
        <v>8500</v>
      </c>
      <c r="G26" s="133">
        <v>8500</v>
      </c>
      <c r="H26" s="133">
        <v>8500</v>
      </c>
      <c r="I26" s="133">
        <v>10000</v>
      </c>
      <c r="J26" s="133">
        <v>12000</v>
      </c>
      <c r="K26" s="133">
        <v>13900</v>
      </c>
      <c r="L26" s="133">
        <v>13900</v>
      </c>
      <c r="M26" s="133">
        <v>17300</v>
      </c>
      <c r="N26" s="133">
        <v>25500</v>
      </c>
      <c r="O26" s="133">
        <v>37500</v>
      </c>
      <c r="P26" s="133">
        <v>50000</v>
      </c>
      <c r="Q26" s="133">
        <v>75000</v>
      </c>
      <c r="R26" s="133">
        <v>100000</v>
      </c>
    </row>
    <row r="27" spans="1:18">
      <c r="A27" s="125"/>
      <c r="B27" s="307" t="s">
        <v>1215</v>
      </c>
      <c r="C27" s="297" t="s">
        <v>303</v>
      </c>
      <c r="D27" s="134" t="s">
        <v>186</v>
      </c>
      <c r="E27" s="134"/>
      <c r="F27" s="135">
        <v>4000</v>
      </c>
      <c r="G27" s="135">
        <v>4000</v>
      </c>
      <c r="H27" s="135">
        <v>4200</v>
      </c>
      <c r="I27" s="135">
        <v>4500</v>
      </c>
      <c r="J27" s="135">
        <v>7000</v>
      </c>
      <c r="K27" s="135">
        <v>10600</v>
      </c>
      <c r="L27" s="135">
        <v>11700</v>
      </c>
      <c r="M27" s="135">
        <v>17100</v>
      </c>
      <c r="N27" s="135">
        <v>21400</v>
      </c>
      <c r="O27" s="135">
        <v>30000</v>
      </c>
      <c r="P27" s="135">
        <v>37000</v>
      </c>
      <c r="Q27" s="135">
        <v>44000</v>
      </c>
      <c r="R27" s="135">
        <v>55000</v>
      </c>
    </row>
    <row r="28" spans="1:18">
      <c r="A28" s="125"/>
      <c r="B28" s="64"/>
      <c r="C28" s="64"/>
      <c r="D28" s="64"/>
      <c r="E28" s="64"/>
      <c r="F28" s="64"/>
      <c r="G28" s="64"/>
      <c r="H28" s="64"/>
      <c r="I28" s="64"/>
      <c r="J28" s="130"/>
      <c r="K28" s="130"/>
      <c r="L28" s="130"/>
      <c r="M28" s="130"/>
      <c r="N28" s="130"/>
      <c r="O28" s="64"/>
      <c r="P28" s="64"/>
      <c r="Q28" s="64"/>
      <c r="R28" s="64"/>
    </row>
    <row r="29" spans="1:18">
      <c r="A29" s="125" t="s">
        <v>993</v>
      </c>
      <c r="B29" s="125" t="s">
        <v>15</v>
      </c>
      <c r="C29" s="125"/>
      <c r="D29" s="64"/>
      <c r="E29" s="64"/>
      <c r="F29" s="64"/>
      <c r="G29" s="64"/>
      <c r="H29" s="64"/>
      <c r="I29" s="64"/>
      <c r="J29" s="64"/>
      <c r="K29" s="64"/>
      <c r="L29" s="64"/>
      <c r="M29" s="64"/>
      <c r="N29" s="64"/>
      <c r="O29" s="64"/>
      <c r="P29" s="64"/>
      <c r="Q29" s="64"/>
      <c r="R29" s="64"/>
    </row>
    <row r="30" spans="1:18">
      <c r="A30" s="125"/>
      <c r="B30" s="304" t="s">
        <v>1217</v>
      </c>
      <c r="C30" s="131" t="s">
        <v>1242</v>
      </c>
      <c r="D30" s="131" t="s">
        <v>994</v>
      </c>
      <c r="E30" s="131"/>
      <c r="F30" s="131">
        <v>0</v>
      </c>
      <c r="G30" s="131">
        <v>0</v>
      </c>
      <c r="H30" s="131">
        <v>0</v>
      </c>
      <c r="I30" s="139">
        <v>3500</v>
      </c>
      <c r="J30" s="131">
        <v>3500</v>
      </c>
      <c r="K30" s="131">
        <v>3600</v>
      </c>
      <c r="L30" s="131">
        <v>4100</v>
      </c>
      <c r="M30" s="131">
        <v>4600</v>
      </c>
      <c r="N30" s="131">
        <v>5600</v>
      </c>
      <c r="O30" s="131">
        <v>9000</v>
      </c>
      <c r="P30" s="131">
        <v>14000</v>
      </c>
      <c r="Q30" s="131">
        <v>18000</v>
      </c>
      <c r="R30" s="131">
        <v>20000</v>
      </c>
    </row>
    <row r="31" spans="1:18">
      <c r="A31" s="125"/>
      <c r="B31" s="305" t="s">
        <v>1217</v>
      </c>
      <c r="C31" s="131" t="s">
        <v>1242</v>
      </c>
      <c r="D31" s="126" t="s">
        <v>234</v>
      </c>
      <c r="E31" s="126"/>
      <c r="F31" s="126">
        <v>0</v>
      </c>
      <c r="G31" s="126">
        <v>0</v>
      </c>
      <c r="H31" s="126">
        <v>0</v>
      </c>
      <c r="I31" s="133">
        <v>12000</v>
      </c>
      <c r="J31" s="133">
        <v>25800</v>
      </c>
      <c r="K31" s="133">
        <v>34200</v>
      </c>
      <c r="L31" s="133">
        <v>43300</v>
      </c>
      <c r="M31" s="133">
        <v>55500</v>
      </c>
      <c r="N31" s="133">
        <v>74000</v>
      </c>
      <c r="O31" s="133">
        <v>98600</v>
      </c>
      <c r="P31" s="133">
        <v>116700</v>
      </c>
      <c r="Q31" s="133">
        <v>154800</v>
      </c>
      <c r="R31" s="133">
        <v>183300</v>
      </c>
    </row>
    <row r="32" spans="1:18">
      <c r="A32" s="125"/>
      <c r="B32" s="305" t="s">
        <v>1215</v>
      </c>
      <c r="C32" s="126" t="s">
        <v>303</v>
      </c>
      <c r="D32" s="126" t="s">
        <v>995</v>
      </c>
      <c r="E32" s="126"/>
      <c r="F32" s="126">
        <v>0</v>
      </c>
      <c r="G32" s="126">
        <v>0</v>
      </c>
      <c r="H32" s="126">
        <v>0</v>
      </c>
      <c r="I32" s="133">
        <v>24500</v>
      </c>
      <c r="J32" s="133">
        <v>42900</v>
      </c>
      <c r="K32" s="133">
        <v>51200</v>
      </c>
      <c r="L32" s="133">
        <v>86200</v>
      </c>
      <c r="M32" s="133">
        <v>103000</v>
      </c>
      <c r="N32" s="133">
        <v>139700</v>
      </c>
      <c r="O32" s="133">
        <v>263000</v>
      </c>
      <c r="P32" s="133">
        <v>332000</v>
      </c>
      <c r="Q32" s="133">
        <v>384000</v>
      </c>
      <c r="R32" s="133">
        <v>453000</v>
      </c>
    </row>
    <row r="33" spans="1:18">
      <c r="A33" s="125"/>
      <c r="B33" s="305" t="s">
        <v>1215</v>
      </c>
      <c r="C33" s="126" t="s">
        <v>303</v>
      </c>
      <c r="D33" s="126" t="s">
        <v>965</v>
      </c>
      <c r="E33" s="126"/>
      <c r="F33" s="126">
        <v>0</v>
      </c>
      <c r="G33" s="126">
        <v>0</v>
      </c>
      <c r="H33" s="126">
        <v>0</v>
      </c>
      <c r="I33" s="133">
        <v>3800</v>
      </c>
      <c r="J33" s="133">
        <v>5100</v>
      </c>
      <c r="K33" s="133">
        <v>5600</v>
      </c>
      <c r="L33" s="133">
        <v>6600</v>
      </c>
      <c r="M33" s="133">
        <v>7700</v>
      </c>
      <c r="N33" s="133">
        <v>9400</v>
      </c>
      <c r="O33" s="133">
        <v>12000</v>
      </c>
      <c r="P33" s="133">
        <v>15000</v>
      </c>
      <c r="Q33" s="133">
        <v>24000</v>
      </c>
      <c r="R33" s="133">
        <v>30000</v>
      </c>
    </row>
    <row r="34" spans="1:18">
      <c r="A34" s="125"/>
      <c r="B34" s="305" t="s">
        <v>1218</v>
      </c>
      <c r="C34" s="126" t="s">
        <v>1243</v>
      </c>
      <c r="D34" s="126" t="s">
        <v>231</v>
      </c>
      <c r="E34" s="126"/>
      <c r="F34" s="126">
        <v>0</v>
      </c>
      <c r="G34" s="126">
        <v>0</v>
      </c>
      <c r="H34" s="126">
        <v>0</v>
      </c>
      <c r="I34" s="133">
        <v>1200</v>
      </c>
      <c r="J34" s="133">
        <v>2200</v>
      </c>
      <c r="K34" s="133">
        <v>3100</v>
      </c>
      <c r="L34" s="133">
        <v>5100</v>
      </c>
      <c r="M34" s="133">
        <v>7700</v>
      </c>
      <c r="N34" s="133">
        <v>10200</v>
      </c>
      <c r="O34" s="133">
        <v>13000</v>
      </c>
      <c r="P34" s="133">
        <v>18000</v>
      </c>
      <c r="Q34" s="133">
        <v>25000</v>
      </c>
      <c r="R34" s="133">
        <v>36000</v>
      </c>
    </row>
    <row r="35" spans="1:18">
      <c r="A35" s="125"/>
      <c r="B35" s="305" t="s">
        <v>1215</v>
      </c>
      <c r="C35" s="126" t="s">
        <v>303</v>
      </c>
      <c r="D35" s="126" t="s">
        <v>966</v>
      </c>
      <c r="E35" s="126"/>
      <c r="F35" s="126">
        <v>0</v>
      </c>
      <c r="G35" s="126">
        <v>0</v>
      </c>
      <c r="H35" s="126">
        <v>0</v>
      </c>
      <c r="I35" s="133">
        <v>8400</v>
      </c>
      <c r="J35" s="133">
        <v>8700</v>
      </c>
      <c r="K35" s="133">
        <v>13900</v>
      </c>
      <c r="L35" s="133">
        <v>13900</v>
      </c>
      <c r="M35" s="133">
        <v>17300</v>
      </c>
      <c r="N35" s="133">
        <v>25500</v>
      </c>
      <c r="O35" s="133">
        <v>37500</v>
      </c>
      <c r="P35" s="133">
        <v>50000</v>
      </c>
      <c r="Q35" s="133">
        <v>75000</v>
      </c>
      <c r="R35" s="133">
        <v>100000</v>
      </c>
    </row>
    <row r="36" spans="1:18">
      <c r="A36" s="125"/>
      <c r="B36" s="307" t="s">
        <v>1215</v>
      </c>
      <c r="C36" s="297" t="s">
        <v>303</v>
      </c>
      <c r="D36" s="134" t="s">
        <v>186</v>
      </c>
      <c r="E36" s="134"/>
      <c r="F36" s="134">
        <v>0</v>
      </c>
      <c r="G36" s="134">
        <v>0</v>
      </c>
      <c r="H36" s="134">
        <v>0</v>
      </c>
      <c r="I36" s="135">
        <v>6500</v>
      </c>
      <c r="J36" s="135">
        <v>7000</v>
      </c>
      <c r="K36" s="135">
        <v>10600</v>
      </c>
      <c r="L36" s="135">
        <v>11700</v>
      </c>
      <c r="M36" s="135">
        <v>17100</v>
      </c>
      <c r="N36" s="135">
        <v>21400</v>
      </c>
      <c r="O36" s="135">
        <v>30000</v>
      </c>
      <c r="P36" s="135">
        <v>37000</v>
      </c>
      <c r="Q36" s="135">
        <v>44000</v>
      </c>
      <c r="R36" s="135">
        <v>55000</v>
      </c>
    </row>
    <row r="37" spans="1:18">
      <c r="A37" s="125"/>
      <c r="B37" s="64"/>
      <c r="C37" s="64"/>
      <c r="D37" s="64"/>
      <c r="E37" s="64"/>
      <c r="F37" s="64"/>
      <c r="G37" s="64"/>
      <c r="H37" s="64"/>
      <c r="I37" s="64"/>
      <c r="J37" s="64"/>
      <c r="K37" s="64"/>
      <c r="L37" s="64"/>
      <c r="M37" s="64"/>
      <c r="N37" s="64"/>
      <c r="O37" s="64"/>
      <c r="P37" s="64"/>
      <c r="Q37" s="64"/>
      <c r="R37" s="64"/>
    </row>
    <row r="38" spans="1:18">
      <c r="A38" s="125" t="s">
        <v>996</v>
      </c>
      <c r="B38" s="125" t="s">
        <v>141</v>
      </c>
      <c r="C38" s="125"/>
      <c r="D38" s="64"/>
      <c r="E38" s="64"/>
      <c r="F38" s="64"/>
      <c r="G38" s="130"/>
      <c r="H38" s="130"/>
      <c r="I38" s="130"/>
      <c r="J38" s="130"/>
      <c r="K38" s="64"/>
      <c r="L38" s="64"/>
      <c r="M38" s="64"/>
      <c r="N38" s="64"/>
      <c r="O38" s="64"/>
      <c r="P38" s="64"/>
      <c r="Q38" s="64"/>
      <c r="R38" s="64"/>
    </row>
    <row r="39" spans="1:18">
      <c r="A39" s="125"/>
      <c r="B39" s="304" t="s">
        <v>1217</v>
      </c>
      <c r="C39" s="131" t="s">
        <v>1242</v>
      </c>
      <c r="D39" s="131" t="s">
        <v>964</v>
      </c>
      <c r="E39" s="131"/>
      <c r="F39" s="136">
        <v>3000</v>
      </c>
      <c r="G39" s="136">
        <v>3000</v>
      </c>
      <c r="H39" s="136">
        <v>4500</v>
      </c>
      <c r="I39" s="136">
        <v>6000</v>
      </c>
      <c r="J39" s="136">
        <v>8000</v>
      </c>
      <c r="K39" s="136">
        <v>9000</v>
      </c>
      <c r="L39" s="136">
        <v>12000</v>
      </c>
      <c r="M39" s="136">
        <v>0</v>
      </c>
      <c r="N39" s="136">
        <v>0</v>
      </c>
      <c r="O39" s="136">
        <v>0</v>
      </c>
      <c r="P39" s="136">
        <v>0</v>
      </c>
      <c r="Q39" s="136">
        <v>0</v>
      </c>
      <c r="R39" s="136">
        <v>0</v>
      </c>
    </row>
    <row r="40" spans="1:18">
      <c r="A40" s="125"/>
      <c r="B40" s="305" t="s">
        <v>1215</v>
      </c>
      <c r="C40" s="126" t="s">
        <v>303</v>
      </c>
      <c r="D40" s="126" t="s">
        <v>235</v>
      </c>
      <c r="E40" s="126"/>
      <c r="F40" s="137">
        <v>15800</v>
      </c>
      <c r="G40" s="137">
        <v>15800</v>
      </c>
      <c r="H40" s="137">
        <v>17900</v>
      </c>
      <c r="I40" s="137">
        <v>31000</v>
      </c>
      <c r="J40" s="137">
        <v>75000</v>
      </c>
      <c r="K40" s="137">
        <v>125000</v>
      </c>
      <c r="L40" s="137">
        <v>252000</v>
      </c>
      <c r="M40" s="301">
        <v>0</v>
      </c>
      <c r="N40" s="301">
        <v>0</v>
      </c>
      <c r="O40" s="301">
        <v>0</v>
      </c>
      <c r="P40" s="301">
        <v>0</v>
      </c>
      <c r="Q40" s="301">
        <v>0</v>
      </c>
      <c r="R40" s="301">
        <v>0</v>
      </c>
    </row>
    <row r="41" spans="1:18">
      <c r="A41" s="125"/>
      <c r="B41" s="305" t="s">
        <v>1215</v>
      </c>
      <c r="C41" s="126" t="s">
        <v>303</v>
      </c>
      <c r="D41" s="126" t="s">
        <v>965</v>
      </c>
      <c r="E41" s="126"/>
      <c r="F41" s="137">
        <v>3800</v>
      </c>
      <c r="G41" s="137">
        <v>3800</v>
      </c>
      <c r="H41" s="137">
        <v>4000</v>
      </c>
      <c r="I41" s="137">
        <v>4500</v>
      </c>
      <c r="J41" s="137">
        <v>6000</v>
      </c>
      <c r="K41" s="137">
        <v>7200</v>
      </c>
      <c r="L41" s="137">
        <v>15000</v>
      </c>
      <c r="M41" s="301">
        <v>0</v>
      </c>
      <c r="N41" s="301">
        <v>0</v>
      </c>
      <c r="O41" s="301">
        <v>0</v>
      </c>
      <c r="P41" s="301">
        <v>0</v>
      </c>
      <c r="Q41" s="301">
        <v>0</v>
      </c>
      <c r="R41" s="301">
        <v>0</v>
      </c>
    </row>
    <row r="42" spans="1:18">
      <c r="A42" s="125"/>
      <c r="B42" s="305" t="s">
        <v>1218</v>
      </c>
      <c r="C42" s="126" t="s">
        <v>1243</v>
      </c>
      <c r="D42" s="126" t="s">
        <v>231</v>
      </c>
      <c r="E42" s="126"/>
      <c r="F42" s="137">
        <v>1500</v>
      </c>
      <c r="G42" s="137">
        <v>1500</v>
      </c>
      <c r="H42" s="137">
        <v>2000</v>
      </c>
      <c r="I42" s="137">
        <v>2500</v>
      </c>
      <c r="J42" s="137">
        <v>4000</v>
      </c>
      <c r="K42" s="137">
        <v>5000</v>
      </c>
      <c r="L42" s="137">
        <v>10000</v>
      </c>
      <c r="M42" s="301">
        <v>0</v>
      </c>
      <c r="N42" s="301">
        <v>0</v>
      </c>
      <c r="O42" s="301">
        <v>0</v>
      </c>
      <c r="P42" s="301">
        <v>0</v>
      </c>
      <c r="Q42" s="301">
        <v>0</v>
      </c>
      <c r="R42" s="301">
        <v>0</v>
      </c>
    </row>
    <row r="43" spans="1:18">
      <c r="A43" s="125"/>
      <c r="B43" s="305" t="s">
        <v>1215</v>
      </c>
      <c r="C43" s="126" t="s">
        <v>303</v>
      </c>
      <c r="D43" s="126" t="s">
        <v>966</v>
      </c>
      <c r="E43" s="126"/>
      <c r="F43" s="137">
        <v>6000</v>
      </c>
      <c r="G43" s="137">
        <v>6000</v>
      </c>
      <c r="H43" s="137">
        <v>6000</v>
      </c>
      <c r="I43" s="137">
        <v>7500</v>
      </c>
      <c r="J43" s="137">
        <v>15000</v>
      </c>
      <c r="K43" s="137">
        <v>23000</v>
      </c>
      <c r="L43" s="137">
        <v>46000</v>
      </c>
      <c r="M43" s="301">
        <v>0</v>
      </c>
      <c r="N43" s="301">
        <v>0</v>
      </c>
      <c r="O43" s="301">
        <v>0</v>
      </c>
      <c r="P43" s="301">
        <v>0</v>
      </c>
      <c r="Q43" s="301">
        <v>0</v>
      </c>
      <c r="R43" s="301">
        <v>0</v>
      </c>
    </row>
    <row r="44" spans="1:18">
      <c r="A44" s="125"/>
      <c r="B44" s="305" t="s">
        <v>1244</v>
      </c>
      <c r="C44" s="126" t="s">
        <v>1245</v>
      </c>
      <c r="D44" s="126" t="s">
        <v>206</v>
      </c>
      <c r="E44" s="126"/>
      <c r="F44" s="137">
        <v>0</v>
      </c>
      <c r="G44" s="137">
        <v>0</v>
      </c>
      <c r="H44" s="137">
        <v>0</v>
      </c>
      <c r="I44" s="137">
        <v>0</v>
      </c>
      <c r="J44" s="137">
        <v>13300</v>
      </c>
      <c r="K44" s="137">
        <v>21200</v>
      </c>
      <c r="L44" s="137">
        <v>41800</v>
      </c>
      <c r="M44" s="301">
        <v>0</v>
      </c>
      <c r="N44" s="301">
        <v>0</v>
      </c>
      <c r="O44" s="301">
        <v>0</v>
      </c>
      <c r="P44" s="301">
        <v>0</v>
      </c>
      <c r="Q44" s="301">
        <v>0</v>
      </c>
      <c r="R44" s="301">
        <v>0</v>
      </c>
    </row>
    <row r="45" spans="1:18">
      <c r="A45" s="125"/>
      <c r="B45" s="305" t="s">
        <v>1244</v>
      </c>
      <c r="C45" s="126" t="s">
        <v>1245</v>
      </c>
      <c r="D45" s="126" t="s">
        <v>967</v>
      </c>
      <c r="E45" s="126"/>
      <c r="F45" s="137">
        <v>0</v>
      </c>
      <c r="G45" s="137">
        <v>0</v>
      </c>
      <c r="H45" s="137">
        <v>0</v>
      </c>
      <c r="I45" s="137">
        <v>0</v>
      </c>
      <c r="J45" s="137">
        <v>3400</v>
      </c>
      <c r="K45" s="137">
        <v>3400</v>
      </c>
      <c r="L45" s="137">
        <v>6000</v>
      </c>
      <c r="M45" s="301">
        <v>0</v>
      </c>
      <c r="N45" s="301">
        <v>0</v>
      </c>
      <c r="O45" s="301">
        <v>0</v>
      </c>
      <c r="P45" s="301">
        <v>0</v>
      </c>
      <c r="Q45" s="301">
        <v>0</v>
      </c>
      <c r="R45" s="301">
        <v>0</v>
      </c>
    </row>
    <row r="46" spans="1:18">
      <c r="A46" s="125"/>
      <c r="B46" s="307" t="s">
        <v>1244</v>
      </c>
      <c r="C46" s="297" t="s">
        <v>1245</v>
      </c>
      <c r="D46" s="134" t="s">
        <v>359</v>
      </c>
      <c r="E46" s="134"/>
      <c r="F46" s="138">
        <v>4500</v>
      </c>
      <c r="G46" s="138">
        <v>4500</v>
      </c>
      <c r="H46" s="138">
        <v>5500</v>
      </c>
      <c r="I46" s="138">
        <v>6000</v>
      </c>
      <c r="J46" s="138">
        <v>10000</v>
      </c>
      <c r="K46" s="138">
        <v>15000</v>
      </c>
      <c r="L46" s="138">
        <v>20000</v>
      </c>
      <c r="M46" s="138">
        <v>0</v>
      </c>
      <c r="N46" s="138">
        <v>0</v>
      </c>
      <c r="O46" s="138">
        <v>0</v>
      </c>
      <c r="P46" s="138">
        <v>0</v>
      </c>
      <c r="Q46" s="138">
        <v>0</v>
      </c>
      <c r="R46" s="138">
        <v>0</v>
      </c>
    </row>
    <row r="47" spans="1:18">
      <c r="A47" s="125"/>
      <c r="B47" s="64"/>
      <c r="C47" s="64"/>
      <c r="D47" s="64"/>
      <c r="E47" s="64"/>
      <c r="F47" s="130"/>
      <c r="G47" s="130"/>
      <c r="H47" s="130"/>
      <c r="I47" s="130"/>
      <c r="J47" s="130"/>
      <c r="K47" s="64"/>
      <c r="L47" s="64"/>
      <c r="M47" s="64"/>
      <c r="N47" s="64"/>
      <c r="O47" s="64"/>
      <c r="P47" s="64"/>
      <c r="Q47" s="64"/>
      <c r="R47" s="64"/>
    </row>
    <row r="48" spans="1:18">
      <c r="A48" s="125" t="s">
        <v>998</v>
      </c>
      <c r="B48" s="125" t="s">
        <v>999</v>
      </c>
      <c r="C48" s="125"/>
      <c r="D48" s="64"/>
      <c r="E48" s="64"/>
      <c r="F48" s="130"/>
      <c r="G48" s="130"/>
      <c r="H48" s="130"/>
      <c r="I48" s="130"/>
      <c r="J48" s="130"/>
      <c r="K48" s="130"/>
      <c r="L48" s="130"/>
      <c r="M48" s="130"/>
      <c r="N48" s="130"/>
      <c r="O48" s="64"/>
      <c r="P48" s="64"/>
      <c r="Q48" s="64"/>
      <c r="R48" s="64"/>
    </row>
    <row r="49" spans="1:18">
      <c r="A49" s="125"/>
      <c r="B49" s="304" t="s">
        <v>1217</v>
      </c>
      <c r="C49" s="131" t="s">
        <v>1242</v>
      </c>
      <c r="D49" s="131" t="s">
        <v>245</v>
      </c>
      <c r="E49" s="131"/>
      <c r="F49" s="136">
        <v>23500</v>
      </c>
      <c r="G49" s="136">
        <v>23500</v>
      </c>
      <c r="H49" s="136">
        <v>25500</v>
      </c>
      <c r="I49" s="136">
        <v>30600</v>
      </c>
      <c r="J49" s="136">
        <v>37100</v>
      </c>
      <c r="K49" s="136">
        <v>53000</v>
      </c>
      <c r="L49" s="136">
        <v>106100</v>
      </c>
      <c r="M49" s="136">
        <v>185600</v>
      </c>
      <c r="N49" s="136">
        <v>244800</v>
      </c>
      <c r="O49" s="136">
        <v>370000</v>
      </c>
      <c r="P49" s="136">
        <v>500000</v>
      </c>
      <c r="Q49" s="136">
        <v>750000</v>
      </c>
      <c r="R49" s="136">
        <v>1000000</v>
      </c>
    </row>
    <row r="50" spans="1:18">
      <c r="A50" s="125"/>
      <c r="B50" s="305" t="s">
        <v>1215</v>
      </c>
      <c r="C50" s="126" t="s">
        <v>303</v>
      </c>
      <c r="D50" s="126" t="s">
        <v>1000</v>
      </c>
      <c r="E50" s="126"/>
      <c r="F50" s="137">
        <v>8800</v>
      </c>
      <c r="G50" s="137">
        <v>8800</v>
      </c>
      <c r="H50" s="137">
        <v>10700</v>
      </c>
      <c r="I50" s="137">
        <v>18400</v>
      </c>
      <c r="J50" s="137">
        <v>45900</v>
      </c>
      <c r="K50" s="137">
        <v>62200</v>
      </c>
      <c r="L50" s="137">
        <v>79600</v>
      </c>
      <c r="M50" s="137">
        <v>142800</v>
      </c>
      <c r="N50" s="137">
        <v>183600</v>
      </c>
      <c r="O50" s="137">
        <v>375000</v>
      </c>
      <c r="P50" s="137">
        <v>550000</v>
      </c>
      <c r="Q50" s="137">
        <v>750000</v>
      </c>
      <c r="R50" s="137">
        <v>1000000</v>
      </c>
    </row>
    <row r="51" spans="1:18">
      <c r="A51" s="125"/>
      <c r="B51" s="305" t="s">
        <v>1215</v>
      </c>
      <c r="C51" s="126" t="s">
        <v>303</v>
      </c>
      <c r="D51" s="126" t="s">
        <v>230</v>
      </c>
      <c r="E51" s="126"/>
      <c r="F51" s="137">
        <v>3600</v>
      </c>
      <c r="G51" s="137">
        <v>3600</v>
      </c>
      <c r="H51" s="137">
        <v>4600</v>
      </c>
      <c r="I51" s="137">
        <v>4600</v>
      </c>
      <c r="J51" s="137">
        <v>5100</v>
      </c>
      <c r="K51" s="137">
        <v>5600</v>
      </c>
      <c r="L51" s="137">
        <v>6600</v>
      </c>
      <c r="M51" s="137">
        <v>7700</v>
      </c>
      <c r="N51" s="137">
        <v>9400</v>
      </c>
      <c r="O51" s="137">
        <v>12000</v>
      </c>
      <c r="P51" s="137">
        <v>15000</v>
      </c>
      <c r="Q51" s="137">
        <v>24000</v>
      </c>
      <c r="R51" s="137">
        <v>30000</v>
      </c>
    </row>
    <row r="52" spans="1:18">
      <c r="A52" s="125"/>
      <c r="B52" s="305" t="s">
        <v>1218</v>
      </c>
      <c r="C52" s="126" t="s">
        <v>1243</v>
      </c>
      <c r="D52" s="126" t="s">
        <v>231</v>
      </c>
      <c r="E52" s="126"/>
      <c r="F52" s="137">
        <v>1500</v>
      </c>
      <c r="G52" s="137">
        <v>1500</v>
      </c>
      <c r="H52" s="137">
        <v>2000</v>
      </c>
      <c r="I52" s="137">
        <v>2500</v>
      </c>
      <c r="J52" s="137">
        <v>4000</v>
      </c>
      <c r="K52" s="137">
        <v>4500</v>
      </c>
      <c r="L52" s="137">
        <v>5400</v>
      </c>
      <c r="M52" s="137">
        <v>6900</v>
      </c>
      <c r="N52" s="137">
        <v>6900</v>
      </c>
      <c r="O52" s="137">
        <v>6800</v>
      </c>
      <c r="P52" s="137">
        <v>10200</v>
      </c>
      <c r="Q52" s="137">
        <v>13600</v>
      </c>
      <c r="R52" s="137">
        <v>20000</v>
      </c>
    </row>
    <row r="53" spans="1:18">
      <c r="A53" s="125"/>
      <c r="B53" s="305" t="s">
        <v>1215</v>
      </c>
      <c r="C53" s="126" t="s">
        <v>303</v>
      </c>
      <c r="D53" s="126" t="s">
        <v>237</v>
      </c>
      <c r="E53" s="126"/>
      <c r="F53" s="137">
        <v>5600</v>
      </c>
      <c r="G53" s="137">
        <v>5600</v>
      </c>
      <c r="H53" s="137">
        <v>6100</v>
      </c>
      <c r="I53" s="137">
        <v>6600</v>
      </c>
      <c r="J53" s="137">
        <v>8300</v>
      </c>
      <c r="K53" s="137">
        <v>11200</v>
      </c>
      <c r="L53" s="137">
        <v>15300</v>
      </c>
      <c r="M53" s="137">
        <v>19900</v>
      </c>
      <c r="N53" s="137">
        <v>26500</v>
      </c>
      <c r="O53" s="137">
        <v>38000</v>
      </c>
      <c r="P53" s="137">
        <v>50000</v>
      </c>
      <c r="Q53" s="137">
        <v>76000</v>
      </c>
      <c r="R53" s="137">
        <v>100000</v>
      </c>
    </row>
    <row r="54" spans="1:18">
      <c r="A54" s="125"/>
      <c r="B54" s="305" t="s">
        <v>1215</v>
      </c>
      <c r="C54" s="126" t="s">
        <v>303</v>
      </c>
      <c r="D54" s="126" t="s">
        <v>966</v>
      </c>
      <c r="E54" s="126"/>
      <c r="F54" s="137">
        <v>8700</v>
      </c>
      <c r="G54" s="137">
        <v>8700</v>
      </c>
      <c r="H54" s="137">
        <v>8700</v>
      </c>
      <c r="I54" s="137">
        <v>8700</v>
      </c>
      <c r="J54" s="137">
        <v>8700</v>
      </c>
      <c r="K54" s="137">
        <v>13900</v>
      </c>
      <c r="L54" s="137">
        <v>13900</v>
      </c>
      <c r="M54" s="137">
        <v>17300</v>
      </c>
      <c r="N54" s="137">
        <v>25500</v>
      </c>
      <c r="O54" s="137">
        <v>34000</v>
      </c>
      <c r="P54" s="137">
        <v>45000</v>
      </c>
      <c r="Q54" s="137">
        <v>68000</v>
      </c>
      <c r="R54" s="137">
        <v>75000</v>
      </c>
    </row>
    <row r="55" spans="1:18">
      <c r="A55" s="125"/>
      <c r="B55" s="305" t="s">
        <v>1244</v>
      </c>
      <c r="C55" s="126" t="s">
        <v>1245</v>
      </c>
      <c r="D55" s="126" t="s">
        <v>206</v>
      </c>
      <c r="E55" s="126"/>
      <c r="F55" s="137">
        <v>0</v>
      </c>
      <c r="G55" s="137">
        <v>0</v>
      </c>
      <c r="H55" s="137">
        <v>0</v>
      </c>
      <c r="I55" s="137">
        <v>0</v>
      </c>
      <c r="J55" s="137">
        <v>13300</v>
      </c>
      <c r="K55" s="137">
        <v>21200</v>
      </c>
      <c r="L55" s="137">
        <v>41800</v>
      </c>
      <c r="M55" s="137">
        <v>60200</v>
      </c>
      <c r="N55" s="137">
        <v>76500</v>
      </c>
      <c r="O55" s="137">
        <v>95000</v>
      </c>
      <c r="P55" s="137">
        <v>120000</v>
      </c>
      <c r="Q55" s="137">
        <v>130000</v>
      </c>
      <c r="R55" s="137">
        <v>150000</v>
      </c>
    </row>
    <row r="56" spans="1:18">
      <c r="A56" s="125"/>
      <c r="B56" s="305" t="s">
        <v>1244</v>
      </c>
      <c r="C56" s="126" t="s">
        <v>1245</v>
      </c>
      <c r="D56" s="126" t="s">
        <v>967</v>
      </c>
      <c r="E56" s="126"/>
      <c r="F56" s="137">
        <v>0</v>
      </c>
      <c r="G56" s="137">
        <v>0</v>
      </c>
      <c r="H56" s="137">
        <v>0</v>
      </c>
      <c r="I56" s="137">
        <v>0</v>
      </c>
      <c r="J56" s="137">
        <v>3400</v>
      </c>
      <c r="K56" s="137">
        <v>3400</v>
      </c>
      <c r="L56" s="137">
        <v>6000</v>
      </c>
      <c r="M56" s="137">
        <v>8000</v>
      </c>
      <c r="N56" s="137">
        <v>12000</v>
      </c>
      <c r="O56" s="137">
        <v>15000</v>
      </c>
      <c r="P56" s="137">
        <v>20000</v>
      </c>
      <c r="Q56" s="137">
        <v>30000</v>
      </c>
      <c r="R56" s="137">
        <v>40000</v>
      </c>
    </row>
    <row r="57" spans="1:18">
      <c r="A57" s="125"/>
      <c r="B57" s="307" t="s">
        <v>1244</v>
      </c>
      <c r="C57" s="297" t="s">
        <v>1245</v>
      </c>
      <c r="D57" s="134" t="s">
        <v>359</v>
      </c>
      <c r="E57" s="134"/>
      <c r="F57" s="138">
        <v>4500</v>
      </c>
      <c r="G57" s="138">
        <v>4500</v>
      </c>
      <c r="H57" s="138">
        <v>5500</v>
      </c>
      <c r="I57" s="138">
        <v>6000</v>
      </c>
      <c r="J57" s="138">
        <v>7000</v>
      </c>
      <c r="K57" s="138">
        <v>10000</v>
      </c>
      <c r="L57" s="138">
        <v>15000</v>
      </c>
      <c r="M57" s="138">
        <v>18000</v>
      </c>
      <c r="N57" s="138">
        <v>20000</v>
      </c>
      <c r="O57" s="138">
        <v>23000</v>
      </c>
      <c r="P57" s="138">
        <v>30000</v>
      </c>
      <c r="Q57" s="138">
        <v>40000</v>
      </c>
      <c r="R57" s="138">
        <v>45000</v>
      </c>
    </row>
    <row r="58" spans="1:18">
      <c r="A58" s="125"/>
      <c r="B58" s="64"/>
      <c r="C58" s="64"/>
      <c r="D58" s="64"/>
      <c r="E58" s="64"/>
      <c r="F58" s="64"/>
      <c r="G58" s="130"/>
      <c r="H58" s="130"/>
      <c r="I58" s="130"/>
      <c r="J58" s="130"/>
      <c r="K58" s="130"/>
      <c r="L58" s="130"/>
      <c r="M58" s="130"/>
      <c r="N58" s="130"/>
      <c r="O58" s="64"/>
      <c r="P58" s="64"/>
      <c r="Q58" s="64"/>
      <c r="R58" s="64"/>
    </row>
    <row r="59" spans="1:18">
      <c r="A59" s="125" t="s">
        <v>1001</v>
      </c>
      <c r="B59" s="125" t="s">
        <v>143</v>
      </c>
      <c r="C59" s="125"/>
      <c r="D59" s="64"/>
      <c r="E59" s="64"/>
      <c r="F59" s="64"/>
      <c r="G59" s="130"/>
      <c r="H59" s="130"/>
      <c r="I59" s="130"/>
      <c r="J59" s="130"/>
      <c r="K59" s="130"/>
      <c r="L59" s="130"/>
      <c r="M59" s="130"/>
      <c r="N59" s="130"/>
      <c r="O59" s="64"/>
      <c r="P59" s="64"/>
      <c r="Q59" s="64"/>
      <c r="R59" s="64"/>
    </row>
    <row r="60" spans="1:18">
      <c r="A60" s="125"/>
      <c r="B60" s="304" t="s">
        <v>1217</v>
      </c>
      <c r="C60" s="131" t="s">
        <v>1242</v>
      </c>
      <c r="D60" s="131" t="s">
        <v>246</v>
      </c>
      <c r="E60" s="131"/>
      <c r="F60" s="136">
        <v>12200</v>
      </c>
      <c r="G60" s="136">
        <v>12200</v>
      </c>
      <c r="H60" s="136">
        <v>22400</v>
      </c>
      <c r="I60" s="136">
        <v>41800</v>
      </c>
      <c r="J60" s="136">
        <v>138700</v>
      </c>
      <c r="K60" s="136">
        <v>198900</v>
      </c>
      <c r="L60" s="136">
        <v>387600</v>
      </c>
      <c r="M60" s="136">
        <v>683400</v>
      </c>
      <c r="N60" s="136">
        <v>969000</v>
      </c>
      <c r="O60" s="136">
        <v>1300000</v>
      </c>
      <c r="P60" s="136">
        <v>1750000</v>
      </c>
      <c r="Q60" s="136">
        <v>2550000</v>
      </c>
      <c r="R60" s="136">
        <v>3500000</v>
      </c>
    </row>
    <row r="61" spans="1:18">
      <c r="A61" s="125"/>
      <c r="B61" s="305" t="s">
        <v>1215</v>
      </c>
      <c r="C61" s="126" t="s">
        <v>303</v>
      </c>
      <c r="D61" s="126" t="s">
        <v>235</v>
      </c>
      <c r="E61" s="126"/>
      <c r="F61" s="137">
        <v>8800</v>
      </c>
      <c r="G61" s="137">
        <v>8800</v>
      </c>
      <c r="H61" s="137">
        <v>10700</v>
      </c>
      <c r="I61" s="137">
        <v>18400</v>
      </c>
      <c r="J61" s="137">
        <v>45900</v>
      </c>
      <c r="K61" s="137">
        <v>62200</v>
      </c>
      <c r="L61" s="137">
        <v>79600</v>
      </c>
      <c r="M61" s="137">
        <v>142800</v>
      </c>
      <c r="N61" s="137">
        <v>183600</v>
      </c>
      <c r="O61" s="137">
        <v>375000</v>
      </c>
      <c r="P61" s="137">
        <v>550000</v>
      </c>
      <c r="Q61" s="137">
        <v>750000</v>
      </c>
      <c r="R61" s="137">
        <v>1000000</v>
      </c>
    </row>
    <row r="62" spans="1:18">
      <c r="A62" s="125"/>
      <c r="B62" s="305" t="s">
        <v>1215</v>
      </c>
      <c r="C62" s="126" t="s">
        <v>303</v>
      </c>
      <c r="D62" s="126" t="s">
        <v>965</v>
      </c>
      <c r="E62" s="126"/>
      <c r="F62" s="137">
        <v>3600</v>
      </c>
      <c r="G62" s="137">
        <v>3600</v>
      </c>
      <c r="H62" s="137">
        <v>4600</v>
      </c>
      <c r="I62" s="137">
        <v>4600</v>
      </c>
      <c r="J62" s="137">
        <v>5100</v>
      </c>
      <c r="K62" s="137">
        <v>5600</v>
      </c>
      <c r="L62" s="137">
        <v>6600</v>
      </c>
      <c r="M62" s="137">
        <v>7700</v>
      </c>
      <c r="N62" s="137">
        <v>9400</v>
      </c>
      <c r="O62" s="137">
        <v>12000</v>
      </c>
      <c r="P62" s="137">
        <v>15000</v>
      </c>
      <c r="Q62" s="137">
        <v>24000</v>
      </c>
      <c r="R62" s="137">
        <v>30000</v>
      </c>
    </row>
    <row r="63" spans="1:18">
      <c r="A63" s="125"/>
      <c r="B63" s="305" t="s">
        <v>1218</v>
      </c>
      <c r="C63" s="126" t="s">
        <v>1243</v>
      </c>
      <c r="D63" s="126" t="s">
        <v>231</v>
      </c>
      <c r="E63" s="126"/>
      <c r="F63" s="137">
        <v>1500</v>
      </c>
      <c r="G63" s="137">
        <v>1500</v>
      </c>
      <c r="H63" s="137">
        <v>2000</v>
      </c>
      <c r="I63" s="137">
        <v>2500</v>
      </c>
      <c r="J63" s="137">
        <v>4000</v>
      </c>
      <c r="K63" s="137">
        <v>4500</v>
      </c>
      <c r="L63" s="137">
        <v>4600</v>
      </c>
      <c r="M63" s="137">
        <v>6100</v>
      </c>
      <c r="N63" s="137">
        <v>8200</v>
      </c>
      <c r="O63" s="137">
        <v>6800</v>
      </c>
      <c r="P63" s="137">
        <v>10200</v>
      </c>
      <c r="Q63" s="137">
        <v>13600</v>
      </c>
      <c r="R63" s="137">
        <v>20000</v>
      </c>
    </row>
    <row r="64" spans="1:18">
      <c r="A64" s="125"/>
      <c r="B64" s="305" t="s">
        <v>1215</v>
      </c>
      <c r="C64" s="126" t="s">
        <v>303</v>
      </c>
      <c r="D64" s="126" t="s">
        <v>966</v>
      </c>
      <c r="E64" s="126"/>
      <c r="F64" s="137">
        <v>8700</v>
      </c>
      <c r="G64" s="137">
        <v>8700</v>
      </c>
      <c r="H64" s="137">
        <v>8700</v>
      </c>
      <c r="I64" s="137">
        <v>8700</v>
      </c>
      <c r="J64" s="137">
        <v>8700</v>
      </c>
      <c r="K64" s="137">
        <v>13900</v>
      </c>
      <c r="L64" s="137">
        <v>13900</v>
      </c>
      <c r="M64" s="137">
        <v>17300</v>
      </c>
      <c r="N64" s="137">
        <v>25500</v>
      </c>
      <c r="O64" s="137">
        <v>34000</v>
      </c>
      <c r="P64" s="137">
        <v>45000</v>
      </c>
      <c r="Q64" s="137">
        <v>68000</v>
      </c>
      <c r="R64" s="137">
        <v>75000</v>
      </c>
    </row>
    <row r="65" spans="1:19">
      <c r="A65" s="125"/>
      <c r="B65" s="305" t="s">
        <v>1244</v>
      </c>
      <c r="C65" s="126" t="s">
        <v>1245</v>
      </c>
      <c r="D65" s="126" t="s">
        <v>206</v>
      </c>
      <c r="E65" s="126"/>
      <c r="F65" s="137">
        <v>0</v>
      </c>
      <c r="G65" s="137">
        <v>0</v>
      </c>
      <c r="H65" s="137">
        <v>0</v>
      </c>
      <c r="I65" s="137">
        <v>0</v>
      </c>
      <c r="J65" s="137">
        <v>13300</v>
      </c>
      <c r="K65" s="137">
        <v>21200</v>
      </c>
      <c r="L65" s="137">
        <v>41800</v>
      </c>
      <c r="M65" s="137">
        <v>60200</v>
      </c>
      <c r="N65" s="137">
        <v>76500</v>
      </c>
      <c r="O65" s="137">
        <v>95000</v>
      </c>
      <c r="P65" s="137">
        <v>120000</v>
      </c>
      <c r="Q65" s="137">
        <v>130000</v>
      </c>
      <c r="R65" s="137">
        <v>150000</v>
      </c>
    </row>
    <row r="66" spans="1:19">
      <c r="A66" s="125"/>
      <c r="B66" s="305" t="s">
        <v>1244</v>
      </c>
      <c r="C66" s="126" t="s">
        <v>1245</v>
      </c>
      <c r="D66" s="126" t="s">
        <v>967</v>
      </c>
      <c r="E66" s="126"/>
      <c r="F66" s="137">
        <v>0</v>
      </c>
      <c r="G66" s="137">
        <v>0</v>
      </c>
      <c r="H66" s="137">
        <v>0</v>
      </c>
      <c r="I66" s="137">
        <v>0</v>
      </c>
      <c r="J66" s="137">
        <v>3400</v>
      </c>
      <c r="K66" s="137">
        <v>3400</v>
      </c>
      <c r="L66" s="137">
        <v>6000</v>
      </c>
      <c r="M66" s="137">
        <v>8000</v>
      </c>
      <c r="N66" s="137">
        <v>12000</v>
      </c>
      <c r="O66" s="137">
        <v>15000</v>
      </c>
      <c r="P66" s="137">
        <v>20000</v>
      </c>
      <c r="Q66" s="137">
        <v>30000</v>
      </c>
      <c r="R66" s="137">
        <v>40000</v>
      </c>
    </row>
    <row r="67" spans="1:19">
      <c r="A67" s="125"/>
      <c r="B67" s="307" t="s">
        <v>1244</v>
      </c>
      <c r="C67" s="297" t="s">
        <v>1245</v>
      </c>
      <c r="D67" s="134" t="s">
        <v>359</v>
      </c>
      <c r="E67" s="134"/>
      <c r="F67" s="138">
        <v>4500</v>
      </c>
      <c r="G67" s="138">
        <v>4500</v>
      </c>
      <c r="H67" s="138">
        <v>5500</v>
      </c>
      <c r="I67" s="138">
        <v>6000</v>
      </c>
      <c r="J67" s="138">
        <v>7000</v>
      </c>
      <c r="K67" s="138">
        <v>10000</v>
      </c>
      <c r="L67" s="138">
        <v>15000</v>
      </c>
      <c r="M67" s="138">
        <v>18000</v>
      </c>
      <c r="N67" s="138">
        <v>20000</v>
      </c>
      <c r="O67" s="138">
        <v>23000</v>
      </c>
      <c r="P67" s="138">
        <v>30000</v>
      </c>
      <c r="Q67" s="138">
        <v>40000</v>
      </c>
      <c r="R67" s="138">
        <v>45000</v>
      </c>
    </row>
    <row r="68" spans="1:19">
      <c r="A68" s="125"/>
      <c r="B68" s="64"/>
      <c r="C68" s="64"/>
      <c r="D68" s="64"/>
      <c r="E68" s="64"/>
      <c r="F68" s="130"/>
      <c r="G68" s="130"/>
      <c r="H68" s="130"/>
      <c r="I68" s="130"/>
      <c r="J68" s="130"/>
      <c r="K68" s="130"/>
      <c r="L68" s="130"/>
      <c r="M68" s="130"/>
      <c r="N68" s="130"/>
      <c r="O68" s="64"/>
      <c r="P68" s="64"/>
      <c r="Q68" s="64"/>
      <c r="R68" s="64"/>
    </row>
    <row r="69" spans="1:19">
      <c r="A69" s="125" t="s">
        <v>1001</v>
      </c>
      <c r="B69" s="125" t="s">
        <v>1807</v>
      </c>
      <c r="C69" s="125"/>
      <c r="D69" s="64"/>
      <c r="E69" s="64"/>
      <c r="F69" s="130"/>
      <c r="G69" s="130"/>
      <c r="H69" s="130"/>
      <c r="I69" s="130"/>
      <c r="J69" s="130"/>
      <c r="K69" s="130"/>
      <c r="L69" s="130"/>
      <c r="M69" s="130"/>
      <c r="N69" s="130"/>
      <c r="O69" s="64"/>
      <c r="P69" s="64"/>
      <c r="Q69" s="64"/>
      <c r="R69" s="64"/>
    </row>
    <row r="70" spans="1:19">
      <c r="A70" s="125"/>
      <c r="B70" s="304" t="s">
        <v>1217</v>
      </c>
      <c r="C70" s="131" t="s">
        <v>1242</v>
      </c>
      <c r="D70" s="131" t="s">
        <v>1809</v>
      </c>
      <c r="E70" s="131"/>
      <c r="F70" s="165">
        <v>20800</v>
      </c>
      <c r="G70" s="165">
        <v>20800</v>
      </c>
      <c r="H70" s="165">
        <v>20800</v>
      </c>
      <c r="I70" s="165">
        <v>24100</v>
      </c>
      <c r="J70" s="165">
        <v>63000</v>
      </c>
      <c r="K70" s="165">
        <v>71100</v>
      </c>
      <c r="L70" s="165">
        <v>142200</v>
      </c>
      <c r="M70" s="165">
        <v>284400</v>
      </c>
      <c r="N70" s="165">
        <v>355500</v>
      </c>
      <c r="O70" s="165">
        <v>497700</v>
      </c>
      <c r="P70" s="165">
        <v>639900</v>
      </c>
      <c r="Q70" s="165">
        <v>995400</v>
      </c>
      <c r="R70" s="165">
        <v>1279800</v>
      </c>
      <c r="S70" s="64"/>
    </row>
    <row r="71" spans="1:19">
      <c r="A71" s="125"/>
      <c r="B71" s="305" t="s">
        <v>1215</v>
      </c>
      <c r="C71" s="126" t="s">
        <v>303</v>
      </c>
      <c r="D71" s="126" t="s">
        <v>235</v>
      </c>
      <c r="E71" s="126"/>
      <c r="F71" s="538">
        <v>15200</v>
      </c>
      <c r="G71" s="538">
        <v>15200</v>
      </c>
      <c r="H71" s="538">
        <v>15200</v>
      </c>
      <c r="I71" s="538">
        <v>22500</v>
      </c>
      <c r="J71" s="538">
        <v>71000</v>
      </c>
      <c r="K71" s="538">
        <v>80000</v>
      </c>
      <c r="L71" s="538">
        <v>160000</v>
      </c>
      <c r="M71" s="538">
        <v>280000</v>
      </c>
      <c r="N71" s="538">
        <v>400000</v>
      </c>
      <c r="O71" s="538">
        <v>600000</v>
      </c>
      <c r="P71" s="538">
        <v>800000</v>
      </c>
      <c r="Q71" s="538">
        <v>1160000</v>
      </c>
      <c r="R71" s="538">
        <v>1560000</v>
      </c>
      <c r="S71" s="64"/>
    </row>
    <row r="72" spans="1:19">
      <c r="A72" s="125"/>
      <c r="B72" s="305" t="s">
        <v>1215</v>
      </c>
      <c r="C72" s="126" t="s">
        <v>303</v>
      </c>
      <c r="D72" s="126" t="s">
        <v>965</v>
      </c>
      <c r="E72" s="126"/>
      <c r="F72" s="538">
        <v>3600</v>
      </c>
      <c r="G72" s="538">
        <v>3600</v>
      </c>
      <c r="H72" s="538">
        <v>4600</v>
      </c>
      <c r="I72" s="538">
        <v>4600</v>
      </c>
      <c r="J72" s="538">
        <v>5100</v>
      </c>
      <c r="K72" s="538">
        <v>32000</v>
      </c>
      <c r="L72" s="538">
        <v>40000</v>
      </c>
      <c r="M72" s="538">
        <v>62000</v>
      </c>
      <c r="N72" s="538">
        <v>118000</v>
      </c>
      <c r="O72" s="538">
        <v>175000</v>
      </c>
      <c r="P72" s="538">
        <v>234000</v>
      </c>
      <c r="Q72" s="538">
        <v>254000</v>
      </c>
      <c r="R72" s="538">
        <v>330000</v>
      </c>
      <c r="S72" s="64"/>
    </row>
    <row r="73" spans="1:19">
      <c r="A73" s="125"/>
      <c r="B73" s="305" t="s">
        <v>1218</v>
      </c>
      <c r="C73" s="126" t="s">
        <v>1243</v>
      </c>
      <c r="D73" s="126" t="s">
        <v>231</v>
      </c>
      <c r="E73" s="126"/>
      <c r="F73" s="538">
        <v>1500</v>
      </c>
      <c r="G73" s="538">
        <v>1500</v>
      </c>
      <c r="H73" s="538">
        <v>2000</v>
      </c>
      <c r="I73" s="538">
        <v>2500</v>
      </c>
      <c r="J73" s="538">
        <v>4000</v>
      </c>
      <c r="K73" s="538">
        <v>4500</v>
      </c>
      <c r="L73" s="538">
        <v>4600</v>
      </c>
      <c r="M73" s="538">
        <v>6100</v>
      </c>
      <c r="N73" s="538">
        <v>8200</v>
      </c>
      <c r="O73" s="538">
        <v>6800</v>
      </c>
      <c r="P73" s="538">
        <v>10200</v>
      </c>
      <c r="Q73" s="538">
        <v>13600</v>
      </c>
      <c r="R73" s="538">
        <v>20000</v>
      </c>
      <c r="S73" s="64"/>
    </row>
    <row r="74" spans="1:19">
      <c r="A74" s="125"/>
      <c r="B74" s="305" t="s">
        <v>1215</v>
      </c>
      <c r="C74" s="126" t="s">
        <v>303</v>
      </c>
      <c r="D74" s="126" t="s">
        <v>966</v>
      </c>
      <c r="E74" s="126"/>
      <c r="F74" s="538">
        <v>16500</v>
      </c>
      <c r="G74" s="538">
        <v>16500</v>
      </c>
      <c r="H74" s="538">
        <v>16500</v>
      </c>
      <c r="I74" s="538">
        <v>16500</v>
      </c>
      <c r="J74" s="538">
        <v>16500</v>
      </c>
      <c r="K74" s="538">
        <v>21900</v>
      </c>
      <c r="L74" s="538">
        <v>29900</v>
      </c>
      <c r="M74" s="538">
        <v>49300</v>
      </c>
      <c r="N74" s="538">
        <v>65500</v>
      </c>
      <c r="O74" s="538">
        <v>90000</v>
      </c>
      <c r="P74" s="538">
        <v>117000</v>
      </c>
      <c r="Q74" s="538">
        <v>180000</v>
      </c>
      <c r="R74" s="538">
        <v>450000</v>
      </c>
      <c r="S74" s="64"/>
    </row>
    <row r="75" spans="1:19">
      <c r="A75" s="125"/>
      <c r="B75" s="305" t="s">
        <v>1244</v>
      </c>
      <c r="C75" s="126" t="s">
        <v>1245</v>
      </c>
      <c r="D75" s="126" t="s">
        <v>206</v>
      </c>
      <c r="E75" s="126"/>
      <c r="F75" s="538">
        <v>0</v>
      </c>
      <c r="G75" s="538">
        <v>0</v>
      </c>
      <c r="H75" s="538">
        <v>0</v>
      </c>
      <c r="I75" s="538">
        <v>0</v>
      </c>
      <c r="J75" s="538">
        <v>13300</v>
      </c>
      <c r="K75" s="538">
        <v>21200</v>
      </c>
      <c r="L75" s="538">
        <v>41800</v>
      </c>
      <c r="M75" s="538">
        <v>60200</v>
      </c>
      <c r="N75" s="538">
        <v>76500</v>
      </c>
      <c r="O75" s="538">
        <v>95000</v>
      </c>
      <c r="P75" s="538">
        <v>120000</v>
      </c>
      <c r="Q75" s="538">
        <v>130000</v>
      </c>
      <c r="R75" s="538">
        <v>150000</v>
      </c>
      <c r="S75" s="64"/>
    </row>
    <row r="76" spans="1:19">
      <c r="A76" s="125"/>
      <c r="B76" s="305" t="s">
        <v>1244</v>
      </c>
      <c r="C76" s="126" t="s">
        <v>1245</v>
      </c>
      <c r="D76" s="126" t="s">
        <v>967</v>
      </c>
      <c r="E76" s="126"/>
      <c r="F76" s="538">
        <v>0</v>
      </c>
      <c r="G76" s="538">
        <v>0</v>
      </c>
      <c r="H76" s="538">
        <v>0</v>
      </c>
      <c r="I76" s="538">
        <v>0</v>
      </c>
      <c r="J76" s="538">
        <v>3400</v>
      </c>
      <c r="K76" s="538">
        <v>3400</v>
      </c>
      <c r="L76" s="538">
        <v>6000</v>
      </c>
      <c r="M76" s="538">
        <v>8000</v>
      </c>
      <c r="N76" s="538">
        <v>12000</v>
      </c>
      <c r="O76" s="538">
        <v>15000</v>
      </c>
      <c r="P76" s="538">
        <v>20000</v>
      </c>
      <c r="Q76" s="538">
        <v>30000</v>
      </c>
      <c r="R76" s="538">
        <v>40000</v>
      </c>
      <c r="S76" s="64"/>
    </row>
    <row r="77" spans="1:19">
      <c r="A77" s="125"/>
      <c r="B77" s="307" t="s">
        <v>1244</v>
      </c>
      <c r="C77" s="297" t="s">
        <v>1245</v>
      </c>
      <c r="D77" s="134" t="s">
        <v>359</v>
      </c>
      <c r="E77" s="134"/>
      <c r="F77" s="69">
        <v>4500</v>
      </c>
      <c r="G77" s="69">
        <v>4500</v>
      </c>
      <c r="H77" s="69">
        <v>5500</v>
      </c>
      <c r="I77" s="69">
        <v>6000</v>
      </c>
      <c r="J77" s="69">
        <v>7000</v>
      </c>
      <c r="K77" s="69">
        <v>10000</v>
      </c>
      <c r="L77" s="69">
        <v>15000</v>
      </c>
      <c r="M77" s="69">
        <v>18000</v>
      </c>
      <c r="N77" s="69">
        <v>20000</v>
      </c>
      <c r="O77" s="69">
        <v>23000</v>
      </c>
      <c r="P77" s="69">
        <v>30000</v>
      </c>
      <c r="Q77" s="69">
        <v>40000</v>
      </c>
      <c r="R77" s="69">
        <v>45000</v>
      </c>
      <c r="S77" s="64"/>
    </row>
    <row r="78" spans="1:19">
      <c r="A78" s="125"/>
      <c r="B78" s="64"/>
      <c r="C78" s="64"/>
      <c r="D78" s="64"/>
      <c r="E78" s="64"/>
      <c r="F78" s="130"/>
      <c r="G78" s="130"/>
      <c r="H78" s="130"/>
      <c r="I78" s="130"/>
      <c r="J78" s="130"/>
      <c r="K78" s="130"/>
      <c r="L78" s="130"/>
      <c r="M78" s="130"/>
      <c r="N78" s="130"/>
      <c r="O78" s="64"/>
      <c r="P78" s="64"/>
      <c r="Q78" s="64"/>
      <c r="R78" s="64"/>
      <c r="S78" s="64"/>
    </row>
    <row r="79" spans="1:19">
      <c r="A79" s="125" t="s">
        <v>1003</v>
      </c>
      <c r="B79" s="125" t="s">
        <v>32</v>
      </c>
      <c r="C79" s="125"/>
      <c r="D79" s="125"/>
      <c r="E79" s="125"/>
      <c r="F79" s="125"/>
      <c r="G79" s="125"/>
      <c r="H79" s="125"/>
      <c r="I79" s="125"/>
      <c r="J79" s="125"/>
      <c r="K79" s="125"/>
      <c r="L79" s="125"/>
      <c r="M79" s="125"/>
      <c r="N79" s="125"/>
      <c r="O79" s="125"/>
      <c r="P79" s="125"/>
      <c r="Q79" s="125"/>
      <c r="R79" s="125"/>
      <c r="S79" s="64"/>
    </row>
    <row r="80" spans="1:19">
      <c r="A80" s="125"/>
      <c r="B80" s="304" t="s">
        <v>1217</v>
      </c>
      <c r="C80" s="131" t="s">
        <v>1242</v>
      </c>
      <c r="D80" s="131" t="s">
        <v>206</v>
      </c>
      <c r="E80" s="131"/>
      <c r="F80" s="132">
        <v>5100</v>
      </c>
      <c r="G80" s="132">
        <v>5100</v>
      </c>
      <c r="H80" s="132">
        <v>10200</v>
      </c>
      <c r="I80" s="132">
        <v>20400</v>
      </c>
      <c r="J80" s="132">
        <v>71400</v>
      </c>
      <c r="K80" s="132">
        <v>102000</v>
      </c>
      <c r="L80" s="132">
        <v>204000</v>
      </c>
      <c r="M80" s="132">
        <v>357000</v>
      </c>
      <c r="N80" s="132">
        <v>510000</v>
      </c>
      <c r="O80" s="132">
        <v>750000</v>
      </c>
      <c r="P80" s="132">
        <v>1000000</v>
      </c>
      <c r="Q80" s="132">
        <v>1500000</v>
      </c>
      <c r="R80" s="132">
        <v>2000000</v>
      </c>
      <c r="S80" s="64"/>
    </row>
    <row r="81" spans="1:19">
      <c r="A81" s="125"/>
      <c r="B81" s="305" t="s">
        <v>1215</v>
      </c>
      <c r="C81" s="126" t="s">
        <v>303</v>
      </c>
      <c r="D81" s="126" t="s">
        <v>241</v>
      </c>
      <c r="E81" s="126"/>
      <c r="F81" s="133">
        <v>7000</v>
      </c>
      <c r="G81" s="133">
        <v>7000</v>
      </c>
      <c r="H81" s="133">
        <v>7000</v>
      </c>
      <c r="I81" s="133">
        <v>7300</v>
      </c>
      <c r="J81" s="133">
        <v>13100</v>
      </c>
      <c r="K81" s="133">
        <v>15800</v>
      </c>
      <c r="L81" s="133">
        <v>21900</v>
      </c>
      <c r="M81" s="133">
        <v>28100</v>
      </c>
      <c r="N81" s="133">
        <v>32100</v>
      </c>
      <c r="O81" s="133">
        <v>46000</v>
      </c>
      <c r="P81" s="133">
        <v>63000</v>
      </c>
      <c r="Q81" s="133">
        <v>95000</v>
      </c>
      <c r="R81" s="133">
        <v>125000</v>
      </c>
      <c r="S81" s="64"/>
    </row>
    <row r="82" spans="1:19">
      <c r="A82" s="125"/>
      <c r="B82" s="307" t="s">
        <v>1215</v>
      </c>
      <c r="C82" s="297" t="s">
        <v>303</v>
      </c>
      <c r="D82" s="134" t="s">
        <v>966</v>
      </c>
      <c r="E82" s="134"/>
      <c r="F82" s="135">
        <v>2500</v>
      </c>
      <c r="G82" s="135">
        <v>2500</v>
      </c>
      <c r="H82" s="135">
        <v>2500</v>
      </c>
      <c r="I82" s="135">
        <v>2600</v>
      </c>
      <c r="J82" s="135">
        <v>3500</v>
      </c>
      <c r="K82" s="135">
        <v>4300</v>
      </c>
      <c r="L82" s="135">
        <v>5200</v>
      </c>
      <c r="M82" s="135">
        <v>6900</v>
      </c>
      <c r="N82" s="135">
        <v>8700</v>
      </c>
      <c r="O82" s="135">
        <v>9500</v>
      </c>
      <c r="P82" s="135">
        <v>14000</v>
      </c>
      <c r="Q82" s="135">
        <v>17000</v>
      </c>
      <c r="R82" s="135">
        <v>25500</v>
      </c>
      <c r="S82" s="64"/>
    </row>
    <row r="83" spans="1:19">
      <c r="A83" s="125"/>
      <c r="B83" s="64"/>
      <c r="C83" s="64"/>
      <c r="D83" s="64"/>
      <c r="E83" s="64"/>
      <c r="F83" s="147"/>
      <c r="G83" s="147"/>
      <c r="H83" s="147"/>
      <c r="I83" s="147"/>
      <c r="J83" s="147"/>
      <c r="K83" s="147"/>
      <c r="L83" s="147"/>
      <c r="M83" s="147"/>
      <c r="N83" s="147"/>
      <c r="O83" s="147"/>
      <c r="P83" s="147"/>
      <c r="Q83" s="147"/>
      <c r="R83" s="147"/>
      <c r="S83" s="64"/>
    </row>
    <row r="84" spans="1:19">
      <c r="A84" s="125" t="s">
        <v>1008</v>
      </c>
      <c r="B84" s="125" t="s">
        <v>1058</v>
      </c>
      <c r="C84" s="64"/>
      <c r="D84" s="64"/>
      <c r="E84" s="64"/>
      <c r="F84" s="147"/>
      <c r="G84" s="147"/>
      <c r="H84" s="147"/>
      <c r="I84" s="147"/>
      <c r="J84" s="147"/>
      <c r="K84" s="147"/>
      <c r="L84" s="147"/>
      <c r="M84" s="147"/>
      <c r="N84" s="147"/>
      <c r="O84" s="147"/>
      <c r="P84" s="147"/>
      <c r="Q84" s="147"/>
      <c r="R84" s="147"/>
    </row>
    <row r="85" spans="1:19">
      <c r="A85" s="125"/>
      <c r="B85" s="304" t="s">
        <v>1217</v>
      </c>
      <c r="C85" s="131" t="s">
        <v>1242</v>
      </c>
      <c r="D85" s="131" t="s">
        <v>206</v>
      </c>
      <c r="E85" s="131"/>
      <c r="F85" s="136">
        <v>0</v>
      </c>
      <c r="G85" s="136">
        <v>0</v>
      </c>
      <c r="H85" s="136">
        <v>4000</v>
      </c>
      <c r="I85" s="136">
        <v>5000</v>
      </c>
      <c r="J85" s="136">
        <v>6000</v>
      </c>
      <c r="K85" s="136">
        <v>6000</v>
      </c>
      <c r="L85" s="136">
        <v>8000</v>
      </c>
      <c r="M85" s="136">
        <v>10000</v>
      </c>
      <c r="N85" s="136">
        <v>12000</v>
      </c>
      <c r="O85" s="136">
        <v>0</v>
      </c>
      <c r="P85" s="136">
        <v>0</v>
      </c>
      <c r="Q85" s="136">
        <v>0</v>
      </c>
      <c r="R85" s="136">
        <v>0</v>
      </c>
    </row>
    <row r="86" spans="1:19">
      <c r="A86" s="125"/>
      <c r="B86" s="305" t="s">
        <v>1215</v>
      </c>
      <c r="C86" s="126" t="s">
        <v>303</v>
      </c>
      <c r="D86" s="126" t="s">
        <v>1336</v>
      </c>
      <c r="E86" s="126"/>
      <c r="F86" s="137">
        <v>0</v>
      </c>
      <c r="G86" s="137">
        <v>0</v>
      </c>
      <c r="H86" s="137">
        <v>25000</v>
      </c>
      <c r="I86" s="137">
        <v>37190</v>
      </c>
      <c r="J86" s="137">
        <v>71720</v>
      </c>
      <c r="K86" s="137">
        <v>93330</v>
      </c>
      <c r="L86" s="137">
        <v>144140</v>
      </c>
      <c r="M86" s="137">
        <v>320000</v>
      </c>
      <c r="N86" s="137">
        <v>457140</v>
      </c>
      <c r="O86" s="137">
        <v>0</v>
      </c>
      <c r="P86" s="137">
        <v>0</v>
      </c>
      <c r="Q86" s="137">
        <v>0</v>
      </c>
      <c r="R86" s="137">
        <v>0</v>
      </c>
    </row>
    <row r="87" spans="1:19">
      <c r="A87" s="125"/>
      <c r="B87" s="305" t="s">
        <v>1215</v>
      </c>
      <c r="C87" s="126" t="s">
        <v>303</v>
      </c>
      <c r="D87" s="126" t="s">
        <v>965</v>
      </c>
      <c r="E87" s="126"/>
      <c r="F87" s="137">
        <v>0</v>
      </c>
      <c r="G87" s="137">
        <v>0</v>
      </c>
      <c r="H87" s="137">
        <v>1810</v>
      </c>
      <c r="I87" s="137">
        <v>2240</v>
      </c>
      <c r="J87" s="137">
        <v>3690</v>
      </c>
      <c r="K87" s="137">
        <v>2560</v>
      </c>
      <c r="L87" s="137">
        <v>3290</v>
      </c>
      <c r="M87" s="137">
        <v>4170</v>
      </c>
      <c r="N87" s="137">
        <v>5950</v>
      </c>
      <c r="O87" s="137">
        <v>0</v>
      </c>
      <c r="P87" s="137">
        <v>0</v>
      </c>
      <c r="Q87" s="137">
        <v>0</v>
      </c>
      <c r="R87" s="137">
        <v>0</v>
      </c>
    </row>
    <row r="88" spans="1:19">
      <c r="A88" s="125"/>
      <c r="B88" s="305" t="s">
        <v>1218</v>
      </c>
      <c r="C88" s="126" t="s">
        <v>1243</v>
      </c>
      <c r="D88" s="185" t="s">
        <v>231</v>
      </c>
      <c r="E88" s="185"/>
      <c r="F88" s="301">
        <v>0</v>
      </c>
      <c r="G88" s="301">
        <v>0</v>
      </c>
      <c r="H88" s="301">
        <v>3330</v>
      </c>
      <c r="I88" s="301">
        <v>5000</v>
      </c>
      <c r="J88" s="301">
        <v>9170</v>
      </c>
      <c r="K88" s="301">
        <v>10630</v>
      </c>
      <c r="L88" s="301">
        <v>14030</v>
      </c>
      <c r="M88" s="301">
        <v>17750</v>
      </c>
      <c r="N88" s="301">
        <v>25350</v>
      </c>
      <c r="O88" s="301">
        <v>0</v>
      </c>
      <c r="P88" s="301">
        <v>0</v>
      </c>
      <c r="Q88" s="301">
        <v>0</v>
      </c>
      <c r="R88" s="301">
        <v>0</v>
      </c>
    </row>
    <row r="89" spans="1:19">
      <c r="A89" s="125"/>
      <c r="B89" s="305" t="s">
        <v>1215</v>
      </c>
      <c r="C89" s="126" t="s">
        <v>303</v>
      </c>
      <c r="D89" s="126" t="s">
        <v>966</v>
      </c>
      <c r="E89" s="126"/>
      <c r="F89" s="137">
        <v>0</v>
      </c>
      <c r="G89" s="137">
        <v>0</v>
      </c>
      <c r="H89" s="137">
        <v>1670</v>
      </c>
      <c r="I89" s="137">
        <v>2980</v>
      </c>
      <c r="J89" s="137">
        <v>3480</v>
      </c>
      <c r="K89" s="137">
        <v>7500</v>
      </c>
      <c r="L89" s="137">
        <v>13250</v>
      </c>
      <c r="M89" s="137">
        <v>15000</v>
      </c>
      <c r="N89" s="137">
        <v>21430</v>
      </c>
      <c r="O89" s="137">
        <v>0</v>
      </c>
      <c r="P89" s="137">
        <v>0</v>
      </c>
      <c r="Q89" s="137">
        <v>0</v>
      </c>
      <c r="R89" s="137">
        <v>0</v>
      </c>
    </row>
    <row r="90" spans="1:19">
      <c r="A90" s="125"/>
      <c r="B90" s="305" t="s">
        <v>1244</v>
      </c>
      <c r="C90" s="126" t="s">
        <v>1245</v>
      </c>
      <c r="D90" s="134" t="s">
        <v>1341</v>
      </c>
      <c r="E90" s="134"/>
      <c r="F90" s="138">
        <v>0</v>
      </c>
      <c r="G90" s="138">
        <v>0</v>
      </c>
      <c r="H90" s="138">
        <v>3750</v>
      </c>
      <c r="I90" s="138">
        <v>4970</v>
      </c>
      <c r="J90" s="138">
        <v>10940</v>
      </c>
      <c r="K90" s="138">
        <v>12780</v>
      </c>
      <c r="L90" s="138">
        <v>22240</v>
      </c>
      <c r="M90" s="138">
        <v>27500</v>
      </c>
      <c r="N90" s="138">
        <v>39290</v>
      </c>
      <c r="O90" s="138">
        <v>0</v>
      </c>
      <c r="P90" s="138">
        <v>0</v>
      </c>
      <c r="Q90" s="138">
        <v>0</v>
      </c>
      <c r="R90" s="138">
        <v>0</v>
      </c>
    </row>
    <row r="91" spans="1:19">
      <c r="A91" s="125"/>
      <c r="B91" s="305" t="s">
        <v>1215</v>
      </c>
      <c r="C91" s="126" t="s">
        <v>303</v>
      </c>
      <c r="D91" s="126" t="s">
        <v>1340</v>
      </c>
      <c r="E91" s="126"/>
      <c r="F91" s="137">
        <v>0</v>
      </c>
      <c r="G91" s="137">
        <v>0</v>
      </c>
      <c r="H91" s="137">
        <v>3610</v>
      </c>
      <c r="I91" s="137">
        <v>4480</v>
      </c>
      <c r="J91" s="137">
        <v>7390</v>
      </c>
      <c r="K91" s="137">
        <v>8220</v>
      </c>
      <c r="L91" s="137">
        <v>12540</v>
      </c>
      <c r="M91" s="137">
        <v>15000</v>
      </c>
      <c r="N91" s="137">
        <v>21430</v>
      </c>
      <c r="O91" s="137">
        <v>0</v>
      </c>
      <c r="P91" s="137">
        <v>0</v>
      </c>
      <c r="Q91" s="137">
        <v>0</v>
      </c>
      <c r="R91" s="137">
        <v>0</v>
      </c>
    </row>
    <row r="92" spans="1:19">
      <c r="A92" s="125"/>
      <c r="B92" s="305" t="s">
        <v>1215</v>
      </c>
      <c r="C92" s="126" t="s">
        <v>303</v>
      </c>
      <c r="D92" s="126" t="s">
        <v>1339</v>
      </c>
      <c r="E92" s="126"/>
      <c r="F92" s="137">
        <v>0</v>
      </c>
      <c r="G92" s="137">
        <v>0</v>
      </c>
      <c r="H92" s="137">
        <v>1040</v>
      </c>
      <c r="I92" s="137">
        <v>1950</v>
      </c>
      <c r="J92" s="137">
        <v>3240</v>
      </c>
      <c r="K92" s="137">
        <v>4330</v>
      </c>
      <c r="L92" s="137">
        <v>6950</v>
      </c>
      <c r="M92" s="137">
        <v>8000</v>
      </c>
      <c r="N92" s="137">
        <v>11430</v>
      </c>
      <c r="O92" s="137">
        <v>0</v>
      </c>
      <c r="P92" s="137">
        <v>0</v>
      </c>
      <c r="Q92" s="137">
        <v>0</v>
      </c>
      <c r="R92" s="137">
        <v>0</v>
      </c>
    </row>
    <row r="93" spans="1:19">
      <c r="A93" s="125"/>
      <c r="B93" s="307" t="s">
        <v>1215</v>
      </c>
      <c r="C93" s="297" t="s">
        <v>303</v>
      </c>
      <c r="D93" s="134" t="s">
        <v>1338</v>
      </c>
      <c r="E93" s="134"/>
      <c r="F93" s="138">
        <v>0</v>
      </c>
      <c r="G93" s="138">
        <v>0</v>
      </c>
      <c r="H93" s="138">
        <v>2920</v>
      </c>
      <c r="I93" s="138">
        <v>4560</v>
      </c>
      <c r="J93" s="138">
        <v>7730</v>
      </c>
      <c r="K93" s="138">
        <v>9330</v>
      </c>
      <c r="L93" s="138">
        <v>13250</v>
      </c>
      <c r="M93" s="138">
        <v>15000</v>
      </c>
      <c r="N93" s="138">
        <v>21430</v>
      </c>
      <c r="O93" s="138">
        <v>0</v>
      </c>
      <c r="P93" s="138">
        <v>0</v>
      </c>
      <c r="Q93" s="138">
        <v>0</v>
      </c>
      <c r="R93" s="138">
        <v>0</v>
      </c>
    </row>
    <row r="94" spans="1:19">
      <c r="A94" s="125"/>
      <c r="B94" s="306" t="s">
        <v>1230</v>
      </c>
      <c r="C94" s="134" t="s">
        <v>1033</v>
      </c>
      <c r="D94" s="134" t="s">
        <v>1337</v>
      </c>
      <c r="E94" s="134"/>
      <c r="F94" s="138">
        <v>0</v>
      </c>
      <c r="G94" s="138">
        <v>0</v>
      </c>
      <c r="H94" s="138">
        <v>830</v>
      </c>
      <c r="I94" s="138">
        <v>1090</v>
      </c>
      <c r="J94" s="138">
        <v>2440</v>
      </c>
      <c r="K94" s="138">
        <v>3000</v>
      </c>
      <c r="L94" s="138">
        <v>4300</v>
      </c>
      <c r="M94" s="138">
        <v>5000</v>
      </c>
      <c r="N94" s="138">
        <v>7140</v>
      </c>
      <c r="O94" s="138">
        <v>0</v>
      </c>
      <c r="P94" s="138">
        <v>0</v>
      </c>
      <c r="Q94" s="138">
        <v>0</v>
      </c>
      <c r="R94" s="138">
        <v>0</v>
      </c>
    </row>
    <row r="95" spans="1:19">
      <c r="A95" s="125"/>
      <c r="B95" s="64"/>
      <c r="C95" s="64"/>
      <c r="D95" s="64"/>
      <c r="E95" s="64"/>
      <c r="F95" s="64"/>
      <c r="G95" s="64"/>
      <c r="H95" s="64"/>
      <c r="I95" s="64"/>
      <c r="J95" s="64"/>
      <c r="K95" s="64"/>
      <c r="L95" s="64"/>
      <c r="M95" s="64"/>
      <c r="N95" s="64"/>
      <c r="O95" s="64"/>
      <c r="P95" s="64"/>
      <c r="Q95" s="64"/>
      <c r="R95" s="64"/>
    </row>
    <row r="96" spans="1:19">
      <c r="A96" s="125" t="s">
        <v>1023</v>
      </c>
      <c r="B96" s="125" t="s">
        <v>1004</v>
      </c>
      <c r="C96" s="64"/>
      <c r="D96" s="64"/>
      <c r="E96" s="64"/>
      <c r="F96" s="64"/>
      <c r="G96" s="130"/>
      <c r="H96" s="130"/>
      <c r="I96" s="130"/>
      <c r="J96" s="130"/>
      <c r="K96" s="130"/>
      <c r="L96" s="130"/>
      <c r="M96" s="130"/>
      <c r="N96" s="130"/>
      <c r="O96" s="130"/>
      <c r="P96" s="130"/>
      <c r="Q96" s="130"/>
      <c r="R96" s="130"/>
    </row>
    <row r="97" spans="1:18">
      <c r="A97" s="125"/>
      <c r="B97" s="304" t="s">
        <v>1248</v>
      </c>
      <c r="C97" s="131" t="s">
        <v>1249</v>
      </c>
      <c r="D97" s="131" t="s">
        <v>942</v>
      </c>
      <c r="E97" s="131" t="s">
        <v>1006</v>
      </c>
      <c r="F97" s="136">
        <v>1050</v>
      </c>
      <c r="G97" s="136">
        <v>1050</v>
      </c>
      <c r="H97" s="136">
        <v>1100</v>
      </c>
      <c r="I97" s="136">
        <v>1200</v>
      </c>
      <c r="J97" s="136">
        <v>1700</v>
      </c>
      <c r="K97" s="136">
        <v>2000</v>
      </c>
      <c r="L97" s="136">
        <v>3000</v>
      </c>
      <c r="M97" s="136">
        <v>4500</v>
      </c>
      <c r="N97" s="136">
        <v>6000</v>
      </c>
      <c r="O97" s="136">
        <v>8500</v>
      </c>
      <c r="P97" s="136">
        <v>11000</v>
      </c>
      <c r="Q97" s="136">
        <v>16000</v>
      </c>
      <c r="R97" s="136">
        <v>21000</v>
      </c>
    </row>
    <row r="98" spans="1:18">
      <c r="A98" s="125"/>
      <c r="B98" s="82" t="s">
        <v>1248</v>
      </c>
      <c r="C98" s="64" t="s">
        <v>1249</v>
      </c>
      <c r="D98" s="134" t="s">
        <v>943</v>
      </c>
      <c r="E98" s="134" t="s">
        <v>1007</v>
      </c>
      <c r="F98" s="138">
        <v>1400</v>
      </c>
      <c r="G98" s="138">
        <v>1400</v>
      </c>
      <c r="H98" s="138">
        <v>1600</v>
      </c>
      <c r="I98" s="138">
        <v>2000</v>
      </c>
      <c r="J98" s="138">
        <v>3300</v>
      </c>
      <c r="K98" s="138">
        <v>4200</v>
      </c>
      <c r="L98" s="138">
        <v>6200</v>
      </c>
      <c r="M98" s="138">
        <v>8200</v>
      </c>
      <c r="N98" s="138">
        <v>11200</v>
      </c>
      <c r="O98" s="138">
        <v>16200</v>
      </c>
      <c r="P98" s="138">
        <v>21200</v>
      </c>
      <c r="Q98" s="138">
        <v>31200</v>
      </c>
      <c r="R98" s="138">
        <v>41200</v>
      </c>
    </row>
    <row r="99" spans="1:18">
      <c r="A99" s="125"/>
      <c r="B99" s="64"/>
      <c r="C99" s="64"/>
      <c r="D99" s="64"/>
      <c r="E99" s="64"/>
      <c r="F99" s="130"/>
      <c r="G99" s="130"/>
      <c r="H99" s="130"/>
      <c r="I99" s="130"/>
      <c r="J99" s="130"/>
      <c r="K99" s="130"/>
      <c r="L99" s="130"/>
      <c r="M99" s="130"/>
      <c r="N99" s="130"/>
      <c r="O99" s="130"/>
      <c r="P99" s="130"/>
      <c r="Q99" s="130"/>
      <c r="R99" s="130"/>
    </row>
    <row r="100" spans="1:18">
      <c r="A100" s="125" t="s">
        <v>1057</v>
      </c>
      <c r="B100" s="125" t="s">
        <v>1009</v>
      </c>
      <c r="C100" s="64"/>
      <c r="D100" s="64"/>
      <c r="E100" s="64"/>
      <c r="F100" s="130"/>
      <c r="G100" s="130"/>
      <c r="H100" s="130"/>
      <c r="I100" s="130"/>
      <c r="J100" s="130"/>
      <c r="K100" s="130"/>
      <c r="L100" s="130"/>
      <c r="M100" s="130"/>
      <c r="N100" s="130"/>
      <c r="O100" s="130"/>
      <c r="P100" s="130"/>
      <c r="Q100" s="130"/>
      <c r="R100" s="130"/>
    </row>
    <row r="101" spans="1:18">
      <c r="A101" s="125"/>
      <c r="B101" s="304" t="s">
        <v>1225</v>
      </c>
      <c r="C101" s="131" t="s">
        <v>1250</v>
      </c>
      <c r="D101" s="131" t="s">
        <v>944</v>
      </c>
      <c r="E101" s="131" t="s">
        <v>1006</v>
      </c>
      <c r="F101" s="136">
        <v>3500</v>
      </c>
      <c r="G101" s="136">
        <v>3500</v>
      </c>
      <c r="H101" s="136">
        <v>3500</v>
      </c>
      <c r="I101" s="136">
        <v>4000</v>
      </c>
      <c r="J101" s="136">
        <v>14000</v>
      </c>
      <c r="K101" s="136">
        <v>20000</v>
      </c>
      <c r="L101" s="136">
        <v>40000</v>
      </c>
      <c r="M101" s="136">
        <v>70000</v>
      </c>
      <c r="N101" s="136">
        <v>100000</v>
      </c>
      <c r="O101" s="136">
        <v>150000</v>
      </c>
      <c r="P101" s="136">
        <v>200000</v>
      </c>
      <c r="Q101" s="136">
        <v>300000</v>
      </c>
      <c r="R101" s="136">
        <v>400000</v>
      </c>
    </row>
    <row r="102" spans="1:18">
      <c r="A102" s="125"/>
      <c r="B102" s="304" t="s">
        <v>1225</v>
      </c>
      <c r="C102" s="131" t="s">
        <v>1250</v>
      </c>
      <c r="D102" s="126" t="s">
        <v>1011</v>
      </c>
      <c r="E102" s="126" t="s">
        <v>1006</v>
      </c>
      <c r="F102" s="137">
        <v>6000</v>
      </c>
      <c r="G102" s="137">
        <v>6000</v>
      </c>
      <c r="H102" s="137">
        <v>7000</v>
      </c>
      <c r="I102" s="137">
        <v>10000</v>
      </c>
      <c r="J102" s="137">
        <v>35000</v>
      </c>
      <c r="K102" s="137">
        <v>50000</v>
      </c>
      <c r="L102" s="137">
        <v>100000</v>
      </c>
      <c r="M102" s="137">
        <v>175000</v>
      </c>
      <c r="N102" s="137">
        <v>250000</v>
      </c>
      <c r="O102" s="137">
        <v>375000</v>
      </c>
      <c r="P102" s="137">
        <v>500000</v>
      </c>
      <c r="Q102" s="137">
        <v>750000</v>
      </c>
      <c r="R102" s="137">
        <v>1000000</v>
      </c>
    </row>
    <row r="103" spans="1:18">
      <c r="A103" s="125"/>
      <c r="B103" s="305" t="s">
        <v>1219</v>
      </c>
      <c r="C103" s="126" t="s">
        <v>1012</v>
      </c>
      <c r="D103" s="126" t="s">
        <v>946</v>
      </c>
      <c r="E103" s="126" t="s">
        <v>1006</v>
      </c>
      <c r="F103" s="137">
        <v>0</v>
      </c>
      <c r="G103" s="137">
        <v>0</v>
      </c>
      <c r="H103" s="137">
        <v>0</v>
      </c>
      <c r="I103" s="137">
        <v>4000</v>
      </c>
      <c r="J103" s="137">
        <v>11200</v>
      </c>
      <c r="K103" s="137">
        <v>16000</v>
      </c>
      <c r="L103" s="137">
        <v>32000</v>
      </c>
      <c r="M103" s="137">
        <v>56000</v>
      </c>
      <c r="N103" s="137">
        <v>80000</v>
      </c>
      <c r="O103" s="137">
        <v>120000</v>
      </c>
      <c r="P103" s="137">
        <v>160000</v>
      </c>
      <c r="Q103" s="137">
        <v>240000</v>
      </c>
      <c r="R103" s="137">
        <v>320000</v>
      </c>
    </row>
    <row r="104" spans="1:18">
      <c r="A104" s="125"/>
      <c r="B104" s="305" t="s">
        <v>1219</v>
      </c>
      <c r="C104" s="126" t="s">
        <v>1012</v>
      </c>
      <c r="D104" s="126" t="s">
        <v>947</v>
      </c>
      <c r="E104" s="126" t="s">
        <v>1006</v>
      </c>
      <c r="F104" s="137">
        <v>5000</v>
      </c>
      <c r="G104" s="137">
        <v>5000</v>
      </c>
      <c r="H104" s="137">
        <v>10000</v>
      </c>
      <c r="I104" s="137">
        <v>20000</v>
      </c>
      <c r="J104" s="137">
        <v>70000</v>
      </c>
      <c r="K104" s="137">
        <v>100000</v>
      </c>
      <c r="L104" s="137">
        <v>200000</v>
      </c>
      <c r="M104" s="137">
        <v>350000</v>
      </c>
      <c r="N104" s="137">
        <v>500000</v>
      </c>
      <c r="O104" s="137">
        <v>750000</v>
      </c>
      <c r="P104" s="137">
        <v>1000000</v>
      </c>
      <c r="Q104" s="137">
        <v>1500000</v>
      </c>
      <c r="R104" s="137">
        <v>2000000</v>
      </c>
    </row>
    <row r="105" spans="1:18">
      <c r="A105" s="125"/>
      <c r="B105" s="305" t="s">
        <v>1226</v>
      </c>
      <c r="C105" s="126" t="s">
        <v>948</v>
      </c>
      <c r="D105" s="126" t="s">
        <v>948</v>
      </c>
      <c r="E105" s="126" t="s">
        <v>1006</v>
      </c>
      <c r="F105" s="137">
        <v>10000</v>
      </c>
      <c r="G105" s="137">
        <v>10000</v>
      </c>
      <c r="H105" s="137">
        <v>20000</v>
      </c>
      <c r="I105" s="137">
        <v>40000</v>
      </c>
      <c r="J105" s="137">
        <v>140000</v>
      </c>
      <c r="K105" s="137">
        <v>200000</v>
      </c>
      <c r="L105" s="137">
        <v>400000</v>
      </c>
      <c r="M105" s="137">
        <v>700000</v>
      </c>
      <c r="N105" s="137">
        <v>1000000</v>
      </c>
      <c r="O105" s="137">
        <v>1500000</v>
      </c>
      <c r="P105" s="137">
        <v>2000000</v>
      </c>
      <c r="Q105" s="137">
        <v>3000000</v>
      </c>
      <c r="R105" s="137">
        <v>4000000</v>
      </c>
    </row>
    <row r="106" spans="1:18">
      <c r="A106" s="125"/>
      <c r="B106" s="305" t="s">
        <v>1228</v>
      </c>
      <c r="C106" s="126" t="s">
        <v>1013</v>
      </c>
      <c r="D106" s="126" t="s">
        <v>1014</v>
      </c>
      <c r="E106" s="126" t="s">
        <v>1015</v>
      </c>
      <c r="F106" s="137">
        <v>0</v>
      </c>
      <c r="G106" s="137">
        <v>0</v>
      </c>
      <c r="H106" s="137">
        <v>0</v>
      </c>
      <c r="I106" s="137">
        <v>0</v>
      </c>
      <c r="J106" s="137">
        <v>0</v>
      </c>
      <c r="K106" s="137">
        <v>0</v>
      </c>
      <c r="L106" s="137">
        <v>15000</v>
      </c>
      <c r="M106" s="137">
        <v>20000</v>
      </c>
      <c r="N106" s="137">
        <v>25000</v>
      </c>
      <c r="O106" s="137">
        <v>30000</v>
      </c>
      <c r="P106" s="137">
        <v>35000</v>
      </c>
      <c r="Q106" s="137">
        <v>45000</v>
      </c>
      <c r="R106" s="137">
        <v>55000</v>
      </c>
    </row>
    <row r="107" spans="1:18">
      <c r="A107" s="125"/>
      <c r="B107" s="305" t="s">
        <v>1228</v>
      </c>
      <c r="C107" s="126" t="s">
        <v>1013</v>
      </c>
      <c r="D107" s="126" t="s">
        <v>1016</v>
      </c>
      <c r="E107" s="126" t="s">
        <v>1017</v>
      </c>
      <c r="F107" s="126">
        <v>500</v>
      </c>
      <c r="G107" s="126">
        <v>500</v>
      </c>
      <c r="H107" s="126">
        <v>500</v>
      </c>
      <c r="I107" s="126">
        <v>800</v>
      </c>
      <c r="J107" s="126">
        <v>800</v>
      </c>
      <c r="K107" s="126">
        <v>1200</v>
      </c>
      <c r="L107" s="126">
        <v>1200</v>
      </c>
      <c r="M107" s="126">
        <v>1500</v>
      </c>
      <c r="N107" s="126">
        <v>1500</v>
      </c>
      <c r="O107" s="126">
        <v>2000</v>
      </c>
      <c r="P107" s="126">
        <v>2000</v>
      </c>
      <c r="Q107" s="126">
        <v>2000</v>
      </c>
      <c r="R107" s="126">
        <v>2000</v>
      </c>
    </row>
    <row r="108" spans="1:18">
      <c r="A108" s="125"/>
      <c r="B108" s="305" t="s">
        <v>1228</v>
      </c>
      <c r="C108" s="126" t="s">
        <v>1013</v>
      </c>
      <c r="D108" s="126" t="s">
        <v>1018</v>
      </c>
      <c r="E108" s="126" t="s">
        <v>1006</v>
      </c>
      <c r="F108" s="126">
        <v>750</v>
      </c>
      <c r="G108" s="126">
        <v>750</v>
      </c>
      <c r="H108" s="126">
        <v>1000</v>
      </c>
      <c r="I108" s="126">
        <v>1500</v>
      </c>
      <c r="J108" s="126">
        <v>2500</v>
      </c>
      <c r="K108" s="126">
        <v>3000</v>
      </c>
      <c r="L108" s="126">
        <v>4000</v>
      </c>
      <c r="M108" s="126">
        <v>5000</v>
      </c>
      <c r="N108" s="126">
        <v>6000</v>
      </c>
      <c r="O108" s="126">
        <v>7000</v>
      </c>
      <c r="P108" s="126">
        <v>8000</v>
      </c>
      <c r="Q108" s="126">
        <v>12000</v>
      </c>
      <c r="R108" s="126">
        <v>15000</v>
      </c>
    </row>
    <row r="109" spans="1:18">
      <c r="A109" s="125"/>
      <c r="B109" s="305" t="s">
        <v>1228</v>
      </c>
      <c r="C109" s="126" t="s">
        <v>1013</v>
      </c>
      <c r="D109" s="126" t="s">
        <v>1019</v>
      </c>
      <c r="E109" s="126" t="s">
        <v>1006</v>
      </c>
      <c r="F109" s="126">
        <v>1000</v>
      </c>
      <c r="G109" s="126">
        <v>1000</v>
      </c>
      <c r="H109" s="126">
        <v>1500</v>
      </c>
      <c r="I109" s="126">
        <v>1500</v>
      </c>
      <c r="J109" s="126">
        <v>2000</v>
      </c>
      <c r="K109" s="126">
        <v>2500</v>
      </c>
      <c r="L109" s="126">
        <v>3000</v>
      </c>
      <c r="M109" s="126">
        <v>3000</v>
      </c>
      <c r="N109" s="126">
        <v>3000</v>
      </c>
      <c r="O109" s="126">
        <v>3000</v>
      </c>
      <c r="P109" s="126">
        <v>3000</v>
      </c>
      <c r="Q109" s="126">
        <v>3000</v>
      </c>
      <c r="R109" s="126">
        <v>3000</v>
      </c>
    </row>
    <row r="110" spans="1:18">
      <c r="A110" s="125"/>
      <c r="B110" s="306" t="s">
        <v>1228</v>
      </c>
      <c r="C110" s="297" t="s">
        <v>1013</v>
      </c>
      <c r="D110" s="134" t="s">
        <v>1021</v>
      </c>
      <c r="E110" s="134" t="s">
        <v>1022</v>
      </c>
      <c r="F110" s="134">
        <v>0</v>
      </c>
      <c r="G110" s="134">
        <v>0</v>
      </c>
      <c r="H110" s="134">
        <v>0</v>
      </c>
      <c r="I110" s="134">
        <v>0</v>
      </c>
      <c r="J110" s="134">
        <v>0</v>
      </c>
      <c r="K110" s="134">
        <v>0</v>
      </c>
      <c r="L110" s="138">
        <v>0</v>
      </c>
      <c r="M110" s="138">
        <v>0</v>
      </c>
      <c r="N110" s="138">
        <v>0</v>
      </c>
      <c r="O110" s="138">
        <v>0</v>
      </c>
      <c r="P110" s="138">
        <v>0</v>
      </c>
      <c r="Q110" s="138">
        <v>0</v>
      </c>
      <c r="R110" s="138">
        <v>0</v>
      </c>
    </row>
    <row r="111" spans="1:18">
      <c r="A111" s="125"/>
      <c r="B111" s="64"/>
      <c r="C111" s="64"/>
      <c r="D111" s="64"/>
      <c r="E111" s="64"/>
      <c r="F111" s="64"/>
      <c r="G111" s="64"/>
      <c r="H111" s="64"/>
      <c r="I111" s="64"/>
      <c r="J111" s="64"/>
      <c r="K111" s="64"/>
      <c r="L111" s="64"/>
      <c r="M111" s="64"/>
      <c r="N111" s="64"/>
      <c r="O111" s="64"/>
      <c r="P111" s="64"/>
      <c r="Q111" s="64"/>
      <c r="R111" s="64"/>
    </row>
    <row r="112" spans="1:18">
      <c r="A112" s="125" t="s">
        <v>1808</v>
      </c>
      <c r="B112" s="125" t="s">
        <v>968</v>
      </c>
      <c r="C112" s="64"/>
      <c r="D112" s="64"/>
      <c r="E112" s="64"/>
      <c r="F112" s="130"/>
      <c r="G112" s="130"/>
      <c r="H112" s="130"/>
      <c r="I112" s="130"/>
      <c r="J112" s="130"/>
      <c r="K112" s="130"/>
      <c r="L112" s="130"/>
      <c r="M112" s="130"/>
      <c r="N112" s="130"/>
      <c r="O112" s="130"/>
      <c r="P112" s="130"/>
      <c r="Q112" s="130"/>
      <c r="R112" s="130"/>
    </row>
    <row r="113" spans="1:18">
      <c r="A113" s="125"/>
      <c r="B113" s="304" t="s">
        <v>1229</v>
      </c>
      <c r="C113" s="131" t="s">
        <v>1246</v>
      </c>
      <c r="D113" s="131" t="s">
        <v>1025</v>
      </c>
      <c r="E113" s="131" t="s">
        <v>1026</v>
      </c>
      <c r="F113" s="136">
        <v>3000</v>
      </c>
      <c r="G113" s="136">
        <v>3000</v>
      </c>
      <c r="H113" s="136">
        <v>3000</v>
      </c>
      <c r="I113" s="136">
        <v>3000</v>
      </c>
      <c r="J113" s="136">
        <v>6300</v>
      </c>
      <c r="K113" s="136">
        <v>9000</v>
      </c>
      <c r="L113" s="136">
        <v>12000</v>
      </c>
      <c r="M113" s="136">
        <v>18900</v>
      </c>
      <c r="N113" s="136">
        <v>24000</v>
      </c>
      <c r="O113" s="136">
        <v>27000</v>
      </c>
      <c r="P113" s="136">
        <v>30000</v>
      </c>
      <c r="Q113" s="136">
        <v>36000</v>
      </c>
      <c r="R113" s="136">
        <v>36000</v>
      </c>
    </row>
    <row r="114" spans="1:18">
      <c r="A114" s="125"/>
      <c r="B114" s="305" t="s">
        <v>1230</v>
      </c>
      <c r="C114" s="126" t="s">
        <v>1247</v>
      </c>
      <c r="D114" s="126" t="s">
        <v>1027</v>
      </c>
      <c r="E114" s="126" t="s">
        <v>1007</v>
      </c>
      <c r="F114" s="137">
        <v>2500</v>
      </c>
      <c r="G114" s="137">
        <v>2500</v>
      </c>
      <c r="H114" s="137">
        <v>4000</v>
      </c>
      <c r="I114" s="137">
        <v>7000</v>
      </c>
      <c r="J114" s="137">
        <v>15000</v>
      </c>
      <c r="K114" s="137">
        <v>20000</v>
      </c>
      <c r="L114" s="137">
        <v>30000</v>
      </c>
      <c r="M114" s="137">
        <v>42000</v>
      </c>
      <c r="N114" s="137">
        <v>50000</v>
      </c>
      <c r="O114" s="137">
        <v>75000</v>
      </c>
      <c r="P114" s="137">
        <v>100000</v>
      </c>
      <c r="Q114" s="137">
        <v>150000</v>
      </c>
      <c r="R114" s="137">
        <v>200000</v>
      </c>
    </row>
    <row r="115" spans="1:18">
      <c r="A115" s="125"/>
      <c r="B115" s="305" t="s">
        <v>1230</v>
      </c>
      <c r="C115" s="126" t="s">
        <v>1247</v>
      </c>
      <c r="D115" s="126" t="s">
        <v>1028</v>
      </c>
      <c r="E115" s="126" t="s">
        <v>1029</v>
      </c>
      <c r="F115" s="137">
        <v>3600</v>
      </c>
      <c r="G115" s="137">
        <v>3600</v>
      </c>
      <c r="H115" s="137">
        <v>5300</v>
      </c>
      <c r="I115" s="137">
        <v>8500</v>
      </c>
      <c r="J115" s="137">
        <v>24800</v>
      </c>
      <c r="K115" s="137">
        <v>34600</v>
      </c>
      <c r="L115" s="137">
        <v>67000</v>
      </c>
      <c r="M115" s="137">
        <v>0</v>
      </c>
      <c r="N115" s="137">
        <v>0</v>
      </c>
      <c r="O115" s="137">
        <v>0</v>
      </c>
      <c r="P115" s="137">
        <v>0</v>
      </c>
      <c r="Q115" s="137">
        <v>0</v>
      </c>
      <c r="R115" s="137">
        <v>0</v>
      </c>
    </row>
    <row r="116" spans="1:18">
      <c r="A116" s="125"/>
      <c r="B116" s="305" t="s">
        <v>1230</v>
      </c>
      <c r="C116" s="126" t="s">
        <v>1247</v>
      </c>
      <c r="D116" s="126" t="s">
        <v>969</v>
      </c>
      <c r="E116" s="126" t="s">
        <v>1030</v>
      </c>
      <c r="F116" s="137">
        <v>4000</v>
      </c>
      <c r="G116" s="137">
        <v>4000</v>
      </c>
      <c r="H116" s="137">
        <v>4000</v>
      </c>
      <c r="I116" s="137">
        <v>4000</v>
      </c>
      <c r="J116" s="137">
        <v>7600</v>
      </c>
      <c r="K116" s="137">
        <v>10900</v>
      </c>
      <c r="L116" s="137">
        <v>21700</v>
      </c>
      <c r="M116" s="137">
        <v>0</v>
      </c>
      <c r="N116" s="137">
        <v>0</v>
      </c>
      <c r="O116" s="137">
        <v>0</v>
      </c>
      <c r="P116" s="137">
        <v>0</v>
      </c>
      <c r="Q116" s="137">
        <v>0</v>
      </c>
      <c r="R116" s="137">
        <v>0</v>
      </c>
    </row>
    <row r="117" spans="1:18">
      <c r="A117" s="125"/>
      <c r="B117" s="305" t="s">
        <v>1230</v>
      </c>
      <c r="C117" s="126" t="s">
        <v>1247</v>
      </c>
      <c r="D117" s="126" t="s">
        <v>1031</v>
      </c>
      <c r="E117" s="126" t="s">
        <v>1032</v>
      </c>
      <c r="F117" s="137">
        <v>3500</v>
      </c>
      <c r="G117" s="137">
        <v>3500</v>
      </c>
      <c r="H117" s="137">
        <v>7000</v>
      </c>
      <c r="I117" s="137">
        <v>14000</v>
      </c>
      <c r="J117" s="137">
        <v>42000</v>
      </c>
      <c r="K117" s="137">
        <v>50000</v>
      </c>
      <c r="L117" s="137">
        <v>60000</v>
      </c>
      <c r="M117" s="137">
        <v>0</v>
      </c>
      <c r="N117" s="137">
        <v>0</v>
      </c>
      <c r="O117" s="137">
        <v>0</v>
      </c>
      <c r="P117" s="137">
        <v>0</v>
      </c>
      <c r="Q117" s="137">
        <v>0</v>
      </c>
      <c r="R117" s="137">
        <v>0</v>
      </c>
    </row>
    <row r="118" spans="1:18">
      <c r="A118" s="125"/>
      <c r="B118" s="305" t="s">
        <v>1230</v>
      </c>
      <c r="C118" s="126" t="s">
        <v>1033</v>
      </c>
      <c r="D118" s="126" t="s">
        <v>970</v>
      </c>
      <c r="E118" s="126" t="s">
        <v>1034</v>
      </c>
      <c r="F118" s="137">
        <v>0</v>
      </c>
      <c r="G118" s="137">
        <v>0</v>
      </c>
      <c r="H118" s="137">
        <v>0</v>
      </c>
      <c r="I118" s="137">
        <v>13400</v>
      </c>
      <c r="J118" s="137">
        <v>25100</v>
      </c>
      <c r="K118" s="137">
        <v>30000</v>
      </c>
      <c r="L118" s="137">
        <v>42400</v>
      </c>
      <c r="M118" s="137">
        <v>0</v>
      </c>
      <c r="N118" s="137">
        <v>0</v>
      </c>
      <c r="O118" s="137">
        <v>0</v>
      </c>
      <c r="P118" s="137">
        <v>0</v>
      </c>
      <c r="Q118" s="137">
        <v>0</v>
      </c>
      <c r="R118" s="137">
        <v>0</v>
      </c>
    </row>
    <row r="119" spans="1:18">
      <c r="A119" s="125"/>
      <c r="B119" s="82" t="s">
        <v>1229</v>
      </c>
      <c r="C119" s="64" t="s">
        <v>1246</v>
      </c>
      <c r="D119" s="134" t="s">
        <v>1036</v>
      </c>
      <c r="E119" s="134" t="s">
        <v>1037</v>
      </c>
      <c r="F119" s="138">
        <v>1800</v>
      </c>
      <c r="G119" s="138">
        <v>1800</v>
      </c>
      <c r="H119" s="138">
        <v>1800</v>
      </c>
      <c r="I119" s="138">
        <v>3100</v>
      </c>
      <c r="J119" s="138">
        <v>10800</v>
      </c>
      <c r="K119" s="138">
        <v>15400</v>
      </c>
      <c r="L119" s="138">
        <v>24700</v>
      </c>
      <c r="M119" s="138">
        <v>43000</v>
      </c>
      <c r="N119" s="138">
        <v>62000</v>
      </c>
      <c r="O119" s="138">
        <v>69000</v>
      </c>
      <c r="P119" s="138">
        <v>93000</v>
      </c>
      <c r="Q119" s="138">
        <v>116000</v>
      </c>
      <c r="R119" s="138">
        <v>120000</v>
      </c>
    </row>
    <row r="122" spans="1:18">
      <c r="A122" s="1" t="s">
        <v>1006</v>
      </c>
      <c r="B122" s="1" t="s">
        <v>1038</v>
      </c>
      <c r="C122" s="35"/>
      <c r="D122" s="1"/>
      <c r="E122" s="1"/>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rgb="FFFF0000"/>
  </sheetPr>
  <dimension ref="A2:AB202"/>
  <sheetViews>
    <sheetView topLeftCell="A77" workbookViewId="0">
      <selection activeCell="A95" sqref="A95:XFD95"/>
    </sheetView>
  </sheetViews>
  <sheetFormatPr baseColWidth="10" defaultColWidth="11.42578125" defaultRowHeight="12.75"/>
  <cols>
    <col min="1" max="1" width="3.85546875" style="1" customWidth="1"/>
    <col min="2" max="2" width="10.42578125" style="1" customWidth="1"/>
    <col min="3" max="3" width="32.140625" style="1" customWidth="1"/>
    <col min="4" max="4" width="48.42578125" style="1" bestFit="1" customWidth="1"/>
    <col min="5" max="5" width="3.42578125" style="1" customWidth="1"/>
    <col min="6" max="6" width="11.42578125" style="1" customWidth="1"/>
    <col min="7" max="7" width="12.5703125" style="1" customWidth="1"/>
    <col min="8" max="8" width="15.42578125" style="1" customWidth="1"/>
    <col min="9" max="9" width="13.42578125" style="1" customWidth="1"/>
    <col min="10" max="14" width="11.42578125" style="1" customWidth="1"/>
    <col min="15" max="15" width="11.85546875" style="1" customWidth="1"/>
    <col min="16" max="16" width="11.42578125" style="1" customWidth="1"/>
    <col min="17" max="17" width="15" style="1" customWidth="1"/>
    <col min="18" max="20" width="11.42578125" style="1" customWidth="1"/>
    <col min="21" max="21" width="4.85546875" style="1" customWidth="1"/>
    <col min="22" max="22" width="11.42578125" style="1" customWidth="1"/>
    <col min="23" max="23" width="24" style="1" bestFit="1" customWidth="1"/>
    <col min="24" max="28" width="11.42578125" style="1" customWidth="1"/>
    <col min="29" max="16384" width="11.42578125" style="1"/>
  </cols>
  <sheetData>
    <row r="2" spans="1:28">
      <c r="F2" s="143" t="s">
        <v>259</v>
      </c>
      <c r="G2" s="29" t="s">
        <v>247</v>
      </c>
      <c r="H2" s="29" t="s">
        <v>248</v>
      </c>
      <c r="I2" s="29" t="s">
        <v>249</v>
      </c>
      <c r="J2" s="29" t="s">
        <v>250</v>
      </c>
      <c r="K2" s="29" t="s">
        <v>251</v>
      </c>
      <c r="L2" s="29" t="s">
        <v>252</v>
      </c>
      <c r="M2" s="29" t="s">
        <v>253</v>
      </c>
      <c r="N2" s="29" t="s">
        <v>254</v>
      </c>
      <c r="O2" s="29" t="s">
        <v>666</v>
      </c>
      <c r="P2" s="29" t="s">
        <v>667</v>
      </c>
      <c r="Q2" s="29" t="s">
        <v>668</v>
      </c>
      <c r="R2" s="144" t="s">
        <v>669</v>
      </c>
    </row>
    <row r="3" spans="1:28">
      <c r="F3" s="14" t="s">
        <v>175</v>
      </c>
      <c r="G3" s="18" t="s">
        <v>175</v>
      </c>
      <c r="H3" s="18" t="s">
        <v>175</v>
      </c>
      <c r="I3" s="18" t="s">
        <v>175</v>
      </c>
      <c r="J3" s="18" t="s">
        <v>175</v>
      </c>
      <c r="K3" s="18" t="s">
        <v>175</v>
      </c>
      <c r="L3" s="18" t="s">
        <v>175</v>
      </c>
      <c r="M3" s="18" t="s">
        <v>175</v>
      </c>
      <c r="N3" s="18" t="s">
        <v>175</v>
      </c>
      <c r="O3" s="18" t="s">
        <v>175</v>
      </c>
      <c r="P3" s="18" t="s">
        <v>175</v>
      </c>
      <c r="Q3" s="18" t="s">
        <v>175</v>
      </c>
      <c r="R3" s="13" t="s">
        <v>175</v>
      </c>
    </row>
    <row r="4" spans="1:28">
      <c r="A4" s="125" t="s">
        <v>261</v>
      </c>
      <c r="B4" s="125" t="s">
        <v>986</v>
      </c>
      <c r="C4" s="64"/>
      <c r="D4" s="64"/>
      <c r="E4" s="64"/>
      <c r="F4" s="14"/>
      <c r="G4" s="18"/>
      <c r="H4" s="18"/>
      <c r="I4" s="18"/>
      <c r="J4" s="18"/>
      <c r="K4" s="18"/>
      <c r="L4" s="18"/>
      <c r="M4" s="18"/>
      <c r="N4" s="18"/>
      <c r="O4" s="18"/>
      <c r="P4" s="18"/>
      <c r="Q4" s="18"/>
      <c r="R4" s="13"/>
    </row>
    <row r="5" spans="1:28">
      <c r="A5" s="125"/>
      <c r="B5" s="304" t="s">
        <v>1217</v>
      </c>
      <c r="C5" s="131" t="s">
        <v>1242</v>
      </c>
      <c r="D5" s="131" t="s">
        <v>244</v>
      </c>
      <c r="E5" s="131"/>
      <c r="F5" s="2">
        <f>IF(Investitionskosten!F7="",Investitionskosten!G7,Investitionskosten!F7)</f>
        <v>1500</v>
      </c>
      <c r="G5" s="16">
        <f>IF(Investitionskosten!H7="",Investitionskosten!I7,Investitionskosten!H7)</f>
        <v>1500</v>
      </c>
      <c r="H5" s="16">
        <f>IF(Investitionskosten!J7="",Investitionskosten!K7,Investitionskosten!J7)</f>
        <v>1700</v>
      </c>
      <c r="I5" s="16">
        <f>IF(Investitionskosten!L7="",Investitionskosten!M7,Investitionskosten!L7)</f>
        <v>1700</v>
      </c>
      <c r="J5" s="16">
        <f>IF(Investitionskosten!N7="",Investitionskosten!O7,Investitionskosten!N7)</f>
        <v>2900</v>
      </c>
      <c r="K5" s="16">
        <f>IF(Investitionskosten!P7="",Investitionskosten!Q7,Investitionskosten!P7)</f>
        <v>3300</v>
      </c>
      <c r="L5" s="16">
        <f>IF(Investitionskosten!R7="",Investitionskosten!S7,Investitionskosten!R7)</f>
        <v>3300</v>
      </c>
      <c r="M5" s="16">
        <f>IF(Investitionskosten!T7="",Investitionskosten!U7,Investitionskosten!T7)</f>
        <v>5300</v>
      </c>
      <c r="N5" s="16">
        <f>IF(Investitionskosten!V7="",Investitionskosten!W7,Investitionskosten!V7)</f>
        <v>5300</v>
      </c>
      <c r="O5" s="16">
        <f>IF(Investitionskosten!X7="",Investitionskosten!Y7,Investitionskosten!X7)</f>
        <v>9000</v>
      </c>
      <c r="P5" s="16">
        <f>IF(Investitionskosten!Z7="",Investitionskosten!AA7,Investitionskosten!Z7)</f>
        <v>12000</v>
      </c>
      <c r="Q5" s="16">
        <f>IF(Investitionskosten!AB7="",Investitionskosten!AC7,Investitionskosten!AB7)</f>
        <v>18000</v>
      </c>
      <c r="R5" s="50">
        <f>IF(Investitionskosten!AD7="",Investitionskosten!AE7,Investitionskosten!AD7)</f>
        <v>24000</v>
      </c>
    </row>
    <row r="6" spans="1:28">
      <c r="A6" s="125"/>
      <c r="B6" s="305" t="s">
        <v>1215</v>
      </c>
      <c r="C6" s="126" t="s">
        <v>303</v>
      </c>
      <c r="D6" s="126" t="s">
        <v>988</v>
      </c>
      <c r="E6" s="126"/>
      <c r="F6" s="2">
        <f>IF(Investitionskosten!F8="",Investitionskosten!G8,Investitionskosten!F8)</f>
        <v>9400</v>
      </c>
      <c r="G6" s="16">
        <f>IF(Investitionskosten!H8="",Investitionskosten!I8,Investitionskosten!H8)</f>
        <v>9400</v>
      </c>
      <c r="H6" s="16">
        <f>IF(Investitionskosten!J8="",Investitionskosten!K8,Investitionskosten!J8)</f>
        <v>10400</v>
      </c>
      <c r="I6" s="16">
        <f>IF(Investitionskosten!L8="",Investitionskosten!M8,Investitionskosten!L8)</f>
        <v>15200</v>
      </c>
      <c r="J6" s="16">
        <f>IF(Investitionskosten!N8="",Investitionskosten!O8,Investitionskosten!N8)</f>
        <v>20300</v>
      </c>
      <c r="K6" s="16">
        <f>IF(Investitionskosten!P8="",Investitionskosten!Q8,Investitionskosten!P8)</f>
        <v>32900</v>
      </c>
      <c r="L6" s="16">
        <f>IF(Investitionskosten!R8="",Investitionskosten!S8,Investitionskosten!R8)</f>
        <v>40500</v>
      </c>
      <c r="M6" s="16">
        <f>IF(Investitionskosten!T8="",Investitionskosten!U8,Investitionskosten!T8)</f>
        <v>67600</v>
      </c>
      <c r="N6" s="16">
        <f>IF(Investitionskosten!V8="",Investitionskosten!W8,Investitionskosten!V8)</f>
        <v>99200</v>
      </c>
      <c r="O6" s="16">
        <f>IF(Investitionskosten!X8="",Investitionskosten!Y8,Investitionskosten!X8)</f>
        <v>99100</v>
      </c>
      <c r="P6" s="16">
        <f>IF(Investitionskosten!Z8="",Investitionskosten!AA8,Investitionskosten!Z8)</f>
        <v>120100</v>
      </c>
      <c r="Q6" s="16">
        <f>IF(Investitionskosten!AB8="",Investitionskosten!AC8,Investitionskosten!AB8)</f>
        <v>169100</v>
      </c>
      <c r="R6" s="50">
        <f>IF(Investitionskosten!AD8="",Investitionskosten!AE8,Investitionskosten!AD8)</f>
        <v>215700</v>
      </c>
    </row>
    <row r="7" spans="1:28">
      <c r="A7" s="125"/>
      <c r="B7" s="305" t="s">
        <v>1215</v>
      </c>
      <c r="C7" s="126" t="s">
        <v>303</v>
      </c>
      <c r="D7" s="126" t="s">
        <v>965</v>
      </c>
      <c r="E7" s="126"/>
      <c r="F7" s="2">
        <f>IF(Investitionskosten!F9="",Investitionskosten!G9,Investitionskosten!F9)</f>
        <v>3500</v>
      </c>
      <c r="G7" s="16">
        <f>IF(Investitionskosten!H9="",Investitionskosten!I9,Investitionskosten!H9)</f>
        <v>3500</v>
      </c>
      <c r="H7" s="16">
        <f>IF(Investitionskosten!J9="",Investitionskosten!K9,Investitionskosten!J9)</f>
        <v>3500</v>
      </c>
      <c r="I7" s="16">
        <f>IF(Investitionskosten!L9="",Investitionskosten!M9,Investitionskosten!L9)</f>
        <v>4600</v>
      </c>
      <c r="J7" s="16">
        <f>IF(Investitionskosten!N9="",Investitionskosten!O9,Investitionskosten!N9)</f>
        <v>5100</v>
      </c>
      <c r="K7" s="16">
        <f>IF(Investitionskosten!P9="",Investitionskosten!Q9,Investitionskosten!P9)</f>
        <v>5600</v>
      </c>
      <c r="L7" s="16">
        <f>IF(Investitionskosten!R9="",Investitionskosten!S9,Investitionskosten!R9)</f>
        <v>6600</v>
      </c>
      <c r="M7" s="16">
        <f>IF(Investitionskosten!T9="",Investitionskosten!U9,Investitionskosten!T9)</f>
        <v>7700</v>
      </c>
      <c r="N7" s="16">
        <f>IF(Investitionskosten!V9="",Investitionskosten!W9,Investitionskosten!V9)</f>
        <v>9400</v>
      </c>
      <c r="O7" s="16">
        <f>IF(Investitionskosten!X9="",Investitionskosten!Y9,Investitionskosten!X9)</f>
        <v>12000</v>
      </c>
      <c r="P7" s="16">
        <f>IF(Investitionskosten!Z9="",Investitionskosten!AA9,Investitionskosten!Z9)</f>
        <v>15000</v>
      </c>
      <c r="Q7" s="16">
        <f>IF(Investitionskosten!AB9="",Investitionskosten!AC9,Investitionskosten!AB9)</f>
        <v>24000</v>
      </c>
      <c r="R7" s="50">
        <f>IF(Investitionskosten!AD9="",Investitionskosten!AE9,Investitionskosten!AD9)</f>
        <v>30000</v>
      </c>
    </row>
    <row r="8" spans="1:28">
      <c r="A8" s="125"/>
      <c r="B8" s="305" t="s">
        <v>1215</v>
      </c>
      <c r="C8" s="126" t="s">
        <v>303</v>
      </c>
      <c r="D8" s="126" t="s">
        <v>966</v>
      </c>
      <c r="E8" s="126"/>
      <c r="F8" s="2">
        <f>IF(Investitionskosten!F10="",Investitionskosten!G10,Investitionskosten!F10)</f>
        <v>8500</v>
      </c>
      <c r="G8" s="16">
        <f>IF(Investitionskosten!H10="",Investitionskosten!I10,Investitionskosten!H10)</f>
        <v>8500</v>
      </c>
      <c r="H8" s="16">
        <f>IF(Investitionskosten!J10="",Investitionskosten!K10,Investitionskosten!J10)</f>
        <v>8500</v>
      </c>
      <c r="I8" s="16">
        <f>IF(Investitionskosten!L10="",Investitionskosten!M10,Investitionskosten!L10)</f>
        <v>8700</v>
      </c>
      <c r="J8" s="16">
        <f>IF(Investitionskosten!N10="",Investitionskosten!O10,Investitionskosten!N10)</f>
        <v>8700</v>
      </c>
      <c r="K8" s="16">
        <f>IF(Investitionskosten!P10="",Investitionskosten!Q10,Investitionskosten!P10)</f>
        <v>8700</v>
      </c>
      <c r="L8" s="16">
        <f>IF(Investitionskosten!R10="",Investitionskosten!S10,Investitionskosten!R10)</f>
        <v>13900</v>
      </c>
      <c r="M8" s="16">
        <f>IF(Investitionskosten!T10="",Investitionskosten!U10,Investitionskosten!T10)</f>
        <v>13900</v>
      </c>
      <c r="N8" s="16">
        <f>IF(Investitionskosten!V10="",Investitionskosten!W10,Investitionskosten!V10)</f>
        <v>13900</v>
      </c>
      <c r="O8" s="16">
        <f>IF(Investitionskosten!X10="",Investitionskosten!Y10,Investitionskosten!X10)</f>
        <v>20000</v>
      </c>
      <c r="P8" s="16">
        <f>IF(Investitionskosten!Z10="",Investitionskosten!AA10,Investitionskosten!Z10)</f>
        <v>26000</v>
      </c>
      <c r="Q8" s="16">
        <f>IF(Investitionskosten!AB10="",Investitionskosten!AC10,Investitionskosten!AB10)</f>
        <v>35500</v>
      </c>
      <c r="R8" s="50">
        <f>IF(Investitionskosten!AD10="",Investitionskosten!AE10,Investitionskosten!AD10)</f>
        <v>45000</v>
      </c>
    </row>
    <row r="9" spans="1:28">
      <c r="A9" s="125"/>
      <c r="B9" s="306" t="s">
        <v>1215</v>
      </c>
      <c r="C9" s="297" t="s">
        <v>303</v>
      </c>
      <c r="D9" s="134" t="s">
        <v>186</v>
      </c>
      <c r="E9" s="134"/>
      <c r="F9" s="142">
        <f>IF(Investitionskosten!F11="",Investitionskosten!G11,Investitionskosten!F11)</f>
        <v>4000</v>
      </c>
      <c r="G9" s="93">
        <f>IF(Investitionskosten!H11="",Investitionskosten!I11,Investitionskosten!H11)</f>
        <v>4000</v>
      </c>
      <c r="H9" s="93">
        <f>IF(Investitionskosten!J11="",Investitionskosten!K11,Investitionskosten!J11)</f>
        <v>4200</v>
      </c>
      <c r="I9" s="93">
        <f>IF(Investitionskosten!L11="",Investitionskosten!M11,Investitionskosten!L11)</f>
        <v>4500</v>
      </c>
      <c r="J9" s="93">
        <f>IF(Investitionskosten!N11="",Investitionskosten!O11,Investitionskosten!N11)</f>
        <v>7000</v>
      </c>
      <c r="K9" s="93">
        <f>IF(Investitionskosten!P11="",Investitionskosten!Q11,Investitionskosten!P11)</f>
        <v>10600</v>
      </c>
      <c r="L9" s="93">
        <f>IF(Investitionskosten!R11="",Investitionskosten!S11,Investitionskosten!R11)</f>
        <v>11700</v>
      </c>
      <c r="M9" s="93">
        <f>IF(Investitionskosten!T11="",Investitionskosten!U11,Investitionskosten!T11)</f>
        <v>17100</v>
      </c>
      <c r="N9" s="93">
        <f>IF(Investitionskosten!V11="",Investitionskosten!W11,Investitionskosten!V11)</f>
        <v>21400</v>
      </c>
      <c r="O9" s="93">
        <f>IF(Investitionskosten!X11="",Investitionskosten!Y11,Investitionskosten!X11)</f>
        <v>26000</v>
      </c>
      <c r="P9" s="93">
        <f>IF(Investitionskosten!Z11="",Investitionskosten!AA11,Investitionskosten!Z11)</f>
        <v>32000</v>
      </c>
      <c r="Q9" s="93">
        <f>IF(Investitionskosten!AB11="",Investitionskosten!AC11,Investitionskosten!AB11)</f>
        <v>38000</v>
      </c>
      <c r="R9" s="92">
        <f>IF(Investitionskosten!AD11="",Investitionskosten!AE11,Investitionskosten!AD11)</f>
        <v>48000</v>
      </c>
    </row>
    <row r="10" spans="1:28">
      <c r="A10" s="125"/>
      <c r="B10" s="64"/>
      <c r="C10" s="64"/>
      <c r="D10" s="64"/>
      <c r="E10" s="64"/>
    </row>
    <row r="11" spans="1:28">
      <c r="A11" s="8" t="s">
        <v>990</v>
      </c>
      <c r="B11" s="8" t="s">
        <v>14</v>
      </c>
      <c r="C11" s="64"/>
      <c r="D11" s="64"/>
      <c r="E11" s="64"/>
    </row>
    <row r="12" spans="1:28">
      <c r="A12" s="125"/>
      <c r="B12" s="304" t="s">
        <v>1217</v>
      </c>
      <c r="C12" s="131" t="s">
        <v>1242</v>
      </c>
      <c r="D12" s="131" t="s">
        <v>206</v>
      </c>
      <c r="E12" s="131"/>
      <c r="F12" s="5">
        <f>IF(Investitionskosten!F14="",Investitionskosten!G14,Investitionskosten!F14)</f>
        <v>4000</v>
      </c>
      <c r="G12" s="25">
        <f>IF(Investitionskosten!H14="",Investitionskosten!I14,Investitionskosten!H14)</f>
        <v>4000</v>
      </c>
      <c r="H12" s="25">
        <f>IF(Investitionskosten!J14="",Investitionskosten!K14,Investitionskosten!J14)</f>
        <v>4000</v>
      </c>
      <c r="I12" s="25">
        <f>IF(Investitionskosten!L14="",Investitionskosten!M14,Investitionskosten!L14)</f>
        <v>5000</v>
      </c>
      <c r="J12" s="25">
        <f>IF(Investitionskosten!N14="",Investitionskosten!O14,Investitionskosten!N14)</f>
        <v>6000</v>
      </c>
      <c r="K12" s="25">
        <f>IF(Investitionskosten!P14="",Investitionskosten!Q14,Investitionskosten!P14)</f>
        <v>6000</v>
      </c>
      <c r="L12" s="25">
        <f>IF(Investitionskosten!R14="",Investitionskosten!S14,Investitionskosten!R14)</f>
        <v>8000</v>
      </c>
      <c r="M12" s="25">
        <f>IF(Investitionskosten!T14="",Investitionskosten!U14,Investitionskosten!T14)</f>
        <v>10000</v>
      </c>
      <c r="N12" s="25">
        <f>IF(Investitionskosten!V14="",Investitionskosten!W14,Investitionskosten!V14)</f>
        <v>12000</v>
      </c>
      <c r="O12" s="25">
        <f>IF(Investitionskosten!X14="",Investitionskosten!Y14,Investitionskosten!X14)</f>
        <v>12000</v>
      </c>
      <c r="P12" s="25">
        <f>IF(Investitionskosten!Z14="",Investitionskosten!AA14,Investitionskosten!Z14)</f>
        <v>12000</v>
      </c>
      <c r="Q12" s="25">
        <f>IF(Investitionskosten!AB14="",Investitionskosten!AC14,Investitionskosten!AB14)</f>
        <v>12000</v>
      </c>
      <c r="R12" s="51">
        <f>IF(Investitionskosten!AD14="",Investitionskosten!AE14,Investitionskosten!AD14)</f>
        <v>12000</v>
      </c>
      <c r="U12" s="35"/>
      <c r="V12" s="35"/>
      <c r="W12" s="35"/>
      <c r="X12" s="35"/>
      <c r="Y12" s="35"/>
      <c r="Z12" s="35"/>
      <c r="AA12" s="35"/>
      <c r="AB12" s="35"/>
    </row>
    <row r="13" spans="1:28" ht="15">
      <c r="A13" s="125"/>
      <c r="B13" s="305" t="s">
        <v>1215</v>
      </c>
      <c r="C13" s="126" t="s">
        <v>303</v>
      </c>
      <c r="D13" s="126" t="s">
        <v>238</v>
      </c>
      <c r="E13" s="126"/>
      <c r="F13" s="2">
        <f>IF(Investitionskosten!F15="",Investitionskosten!G15,Investitionskosten!F15)</f>
        <v>5100</v>
      </c>
      <c r="G13" s="16">
        <f>IF(Investitionskosten!H15="",Investitionskosten!I15,Investitionskosten!H15)</f>
        <v>5100</v>
      </c>
      <c r="H13" s="16">
        <f>IF(Investitionskosten!J15="",Investitionskosten!K15,Investitionskosten!J15)</f>
        <v>5600</v>
      </c>
      <c r="I13" s="16">
        <f>IF(Investitionskosten!L15="",Investitionskosten!M15,Investitionskosten!L15)</f>
        <v>6100</v>
      </c>
      <c r="J13" s="16">
        <f>IF(Investitionskosten!N15="",Investitionskosten!O15,Investitionskosten!N15)</f>
        <v>10700</v>
      </c>
      <c r="K13" s="16">
        <f>IF(Investitionskosten!P15="",Investitionskosten!Q15,Investitionskosten!P15)</f>
        <v>15800</v>
      </c>
      <c r="L13" s="16">
        <f>IF(Investitionskosten!R15="",Investitionskosten!S15,Investitionskosten!R15)</f>
        <v>26500</v>
      </c>
      <c r="M13" s="16">
        <f>IF(Investitionskosten!T15="",Investitionskosten!U15,Investitionskosten!T15)</f>
        <v>40800</v>
      </c>
      <c r="N13" s="16">
        <f>IF(Investitionskosten!V15="",Investitionskosten!W15,Investitionskosten!V15)</f>
        <v>66300</v>
      </c>
      <c r="O13" s="16">
        <f>IF(Investitionskosten!X15="",Investitionskosten!Y15,Investitionskosten!X15)</f>
        <v>75000</v>
      </c>
      <c r="P13" s="16">
        <f>IF(Investitionskosten!Z15="",Investitionskosten!AA15,Investitionskosten!Z15)</f>
        <v>100000</v>
      </c>
      <c r="Q13" s="16">
        <f>IF(Investitionskosten!AB15="",Investitionskosten!AC15,Investitionskosten!AB15)</f>
        <v>140000</v>
      </c>
      <c r="R13" s="50">
        <f>IF(Investitionskosten!AD15="",Investitionskosten!AE15,Investitionskosten!AD15)</f>
        <v>185000</v>
      </c>
      <c r="T13" s="21"/>
    </row>
    <row r="14" spans="1:28" ht="15">
      <c r="A14" s="125"/>
      <c r="B14" s="305" t="s">
        <v>1215</v>
      </c>
      <c r="C14" s="126" t="s">
        <v>303</v>
      </c>
      <c r="D14" s="126" t="s">
        <v>965</v>
      </c>
      <c r="E14" s="126"/>
      <c r="F14" s="2">
        <f>IF(Investitionskosten!F16="",Investitionskosten!G16,Investitionskosten!F16)</f>
        <v>3600</v>
      </c>
      <c r="G14" s="16">
        <f>IF(Investitionskosten!H16="",Investitionskosten!I16,Investitionskosten!H16)</f>
        <v>3600</v>
      </c>
      <c r="H14" s="16">
        <f>IF(Investitionskosten!J16="",Investitionskosten!K16,Investitionskosten!J16)</f>
        <v>4600</v>
      </c>
      <c r="I14" s="16">
        <f>IF(Investitionskosten!L16="",Investitionskosten!M16,Investitionskosten!L16)</f>
        <v>4600</v>
      </c>
      <c r="J14" s="16">
        <f>IF(Investitionskosten!N16="",Investitionskosten!O16,Investitionskosten!N16)</f>
        <v>5100</v>
      </c>
      <c r="K14" s="16">
        <f>IF(Investitionskosten!P16="",Investitionskosten!Q16,Investitionskosten!P16)</f>
        <v>5600</v>
      </c>
      <c r="L14" s="16">
        <f>IF(Investitionskosten!R16="",Investitionskosten!S16,Investitionskosten!R16)</f>
        <v>6600</v>
      </c>
      <c r="M14" s="16">
        <f>IF(Investitionskosten!T16="",Investitionskosten!U16,Investitionskosten!T16)</f>
        <v>7700</v>
      </c>
      <c r="N14" s="16">
        <f>IF(Investitionskosten!V16="",Investitionskosten!W16,Investitionskosten!V16)</f>
        <v>9400</v>
      </c>
      <c r="O14" s="16">
        <f>IF(Investitionskosten!X16="",Investitionskosten!Y16,Investitionskosten!X16)</f>
        <v>12000</v>
      </c>
      <c r="P14" s="16">
        <f>IF(Investitionskosten!Z16="",Investitionskosten!AA16,Investitionskosten!Z16)</f>
        <v>15000</v>
      </c>
      <c r="Q14" s="16">
        <f>IF(Investitionskosten!AB16="",Investitionskosten!AC16,Investitionskosten!AB16)</f>
        <v>24000</v>
      </c>
      <c r="R14" s="50">
        <f>IF(Investitionskosten!AD16="",Investitionskosten!AE16,Investitionskosten!AD16)</f>
        <v>30000</v>
      </c>
      <c r="T14" s="21"/>
      <c r="U14" s="35"/>
      <c r="V14" s="28"/>
      <c r="X14" s="35"/>
      <c r="Y14" s="35"/>
      <c r="Z14" s="35"/>
      <c r="AA14" s="35"/>
      <c r="AB14" s="35"/>
    </row>
    <row r="15" spans="1:28">
      <c r="A15" s="125"/>
      <c r="B15" s="305" t="s">
        <v>1215</v>
      </c>
      <c r="C15" s="126" t="s">
        <v>303</v>
      </c>
      <c r="D15" s="126" t="s">
        <v>966</v>
      </c>
      <c r="E15" s="126"/>
      <c r="F15" s="2">
        <f>IF(Investitionskosten!F17="",Investitionskosten!G17,Investitionskosten!F17)</f>
        <v>6000</v>
      </c>
      <c r="G15" s="16">
        <f>IF(Investitionskosten!H17="",Investitionskosten!I17,Investitionskosten!H17)</f>
        <v>6000</v>
      </c>
      <c r="H15" s="16">
        <f>IF(Investitionskosten!J17="",Investitionskosten!K17,Investitionskosten!J17)</f>
        <v>6000</v>
      </c>
      <c r="I15" s="16">
        <f>IF(Investitionskosten!L17="",Investitionskosten!M17,Investitionskosten!L17)</f>
        <v>7500</v>
      </c>
      <c r="J15" s="16">
        <f>IF(Investitionskosten!N17="",Investitionskosten!O17,Investitionskosten!N17)</f>
        <v>8700</v>
      </c>
      <c r="K15" s="16">
        <f>IF(Investitionskosten!P17="",Investitionskosten!Q17,Investitionskosten!P17)</f>
        <v>8700</v>
      </c>
      <c r="L15" s="16">
        <f>IF(Investitionskosten!R17="",Investitionskosten!S17,Investitionskosten!R17)</f>
        <v>13900</v>
      </c>
      <c r="M15" s="16">
        <f>IF(Investitionskosten!T17="",Investitionskosten!U17,Investitionskosten!T17)</f>
        <v>13900</v>
      </c>
      <c r="N15" s="16">
        <f>IF(Investitionskosten!V17="",Investitionskosten!W17,Investitionskosten!V17)</f>
        <v>13900</v>
      </c>
      <c r="O15" s="16">
        <f>IF(Investitionskosten!X17="",Investitionskosten!Y17,Investitionskosten!X17)</f>
        <v>20000</v>
      </c>
      <c r="P15" s="16">
        <f>IF(Investitionskosten!Z17="",Investitionskosten!AA17,Investitionskosten!Z17)</f>
        <v>26000</v>
      </c>
      <c r="Q15" s="16">
        <f>IF(Investitionskosten!AB17="",Investitionskosten!AC17,Investitionskosten!AB17)</f>
        <v>35500</v>
      </c>
      <c r="R15" s="50">
        <f>IF(Investitionskosten!AD17="",Investitionskosten!AE17,Investitionskosten!AD17)</f>
        <v>45000</v>
      </c>
      <c r="T15" s="28"/>
      <c r="U15" s="28"/>
      <c r="X15" s="28"/>
      <c r="Y15" s="28"/>
      <c r="Z15" s="28"/>
      <c r="AA15" s="28"/>
    </row>
    <row r="16" spans="1:28">
      <c r="A16" s="125"/>
      <c r="B16" s="306" t="s">
        <v>1215</v>
      </c>
      <c r="C16" s="297" t="s">
        <v>303</v>
      </c>
      <c r="D16" s="134" t="s">
        <v>186</v>
      </c>
      <c r="E16" s="134"/>
      <c r="F16" s="142">
        <f>IF(Investitionskosten!F18="",Investitionskosten!G18,Investitionskosten!F18)</f>
        <v>4000</v>
      </c>
      <c r="G16" s="93">
        <f>IF(Investitionskosten!H18="",Investitionskosten!I18,Investitionskosten!H18)</f>
        <v>4000</v>
      </c>
      <c r="H16" s="93">
        <f>IF(Investitionskosten!J18="",Investitionskosten!K18,Investitionskosten!J18)</f>
        <v>4200</v>
      </c>
      <c r="I16" s="93">
        <f>IF(Investitionskosten!L18="",Investitionskosten!M18,Investitionskosten!L18)</f>
        <v>4500</v>
      </c>
      <c r="J16" s="93">
        <f>IF(Investitionskosten!N18="",Investitionskosten!O18,Investitionskosten!N18)</f>
        <v>7000</v>
      </c>
      <c r="K16" s="93">
        <f>IF(Investitionskosten!P18="",Investitionskosten!Q18,Investitionskosten!P18)</f>
        <v>10600</v>
      </c>
      <c r="L16" s="93">
        <f>IF(Investitionskosten!R18="",Investitionskosten!S18,Investitionskosten!R18)</f>
        <v>11700</v>
      </c>
      <c r="M16" s="93">
        <f>IF(Investitionskosten!T18="",Investitionskosten!U18,Investitionskosten!T18)</f>
        <v>17100</v>
      </c>
      <c r="N16" s="93">
        <f>IF(Investitionskosten!V18="",Investitionskosten!W18,Investitionskosten!V18)</f>
        <v>21400</v>
      </c>
      <c r="O16" s="93">
        <f>IF(Investitionskosten!X18="",Investitionskosten!Y18,Investitionskosten!X18)</f>
        <v>26000</v>
      </c>
      <c r="P16" s="93">
        <f>IF(Investitionskosten!Z18="",Investitionskosten!AA18,Investitionskosten!Z18)</f>
        <v>32000</v>
      </c>
      <c r="Q16" s="93">
        <f>IF(Investitionskosten!AB18="",Investitionskosten!AC18,Investitionskosten!AB18)</f>
        <v>38000</v>
      </c>
      <c r="R16" s="92">
        <f>IF(Investitionskosten!AD18="",Investitionskosten!AE18,Investitionskosten!AD18)</f>
        <v>48000</v>
      </c>
      <c r="T16" s="28"/>
      <c r="U16" s="28"/>
      <c r="X16" s="28"/>
      <c r="Y16" s="28"/>
      <c r="Z16" s="28"/>
      <c r="AA16" s="28"/>
    </row>
    <row r="17" spans="1:27">
      <c r="A17" s="125"/>
      <c r="B17" s="64"/>
      <c r="C17" s="64"/>
      <c r="D17" s="64"/>
      <c r="E17" s="64"/>
      <c r="T17" s="28"/>
      <c r="U17" s="28"/>
      <c r="X17" s="28"/>
      <c r="Y17" s="28"/>
      <c r="Z17" s="28"/>
      <c r="AA17" s="28"/>
    </row>
    <row r="18" spans="1:27">
      <c r="A18" s="8" t="s">
        <v>991</v>
      </c>
      <c r="B18" s="8" t="s">
        <v>1</v>
      </c>
      <c r="C18" s="124"/>
      <c r="D18" s="64"/>
      <c r="E18" s="64"/>
      <c r="T18" s="28"/>
      <c r="U18" s="28"/>
      <c r="X18" s="28"/>
      <c r="Y18" s="28"/>
      <c r="Z18" s="28"/>
      <c r="AA18" s="28"/>
    </row>
    <row r="19" spans="1:27">
      <c r="A19" s="125"/>
      <c r="B19" s="304" t="s">
        <v>1217</v>
      </c>
      <c r="C19" s="131" t="s">
        <v>1242</v>
      </c>
      <c r="D19" s="131" t="s">
        <v>243</v>
      </c>
      <c r="E19" s="131"/>
      <c r="F19" s="5">
        <f>IF(Investitionskosten!F21="",Investitionskosten!G21,Investitionskosten!F21)</f>
        <v>3000</v>
      </c>
      <c r="G19" s="25">
        <f>IF(Investitionskosten!H21="",Investitionskosten!I21,Investitionskosten!H21)</f>
        <v>3000</v>
      </c>
      <c r="H19" s="25">
        <f>IF(Investitionskosten!J21="",Investitionskosten!K21,Investitionskosten!J21)</f>
        <v>3500</v>
      </c>
      <c r="I19" s="25">
        <f>IF(Investitionskosten!L21="",Investitionskosten!M21,Investitionskosten!L21)</f>
        <v>3500</v>
      </c>
      <c r="J19" s="25">
        <f>IF(Investitionskosten!N21="",Investitionskosten!O21,Investitionskosten!N21)</f>
        <v>3500</v>
      </c>
      <c r="K19" s="25">
        <f>IF(Investitionskosten!P21="",Investitionskosten!Q21,Investitionskosten!P21)</f>
        <v>3600</v>
      </c>
      <c r="L19" s="25">
        <f>IF(Investitionskosten!R21="",Investitionskosten!S21,Investitionskosten!R21)</f>
        <v>4100</v>
      </c>
      <c r="M19" s="25">
        <f>IF(Investitionskosten!T21="",Investitionskosten!U21,Investitionskosten!T21)</f>
        <v>4600</v>
      </c>
      <c r="N19" s="25">
        <f>IF(Investitionskosten!V21="",Investitionskosten!W21,Investitionskosten!V21)</f>
        <v>5600</v>
      </c>
      <c r="O19" s="25">
        <f>IF(Investitionskosten!X21="",Investitionskosten!Y21,Investitionskosten!X21)</f>
        <v>9000</v>
      </c>
      <c r="P19" s="25">
        <f>IF(Investitionskosten!Z21="",Investitionskosten!AA21,Investitionskosten!Z21)</f>
        <v>14000</v>
      </c>
      <c r="Q19" s="25">
        <f>IF(Investitionskosten!AB21="",Investitionskosten!AC21,Investitionskosten!AB21)</f>
        <v>18000</v>
      </c>
      <c r="R19" s="51">
        <f>IF(Investitionskosten!AD21="",Investitionskosten!AE21,Investitionskosten!AD21)</f>
        <v>20000</v>
      </c>
      <c r="T19" s="28"/>
      <c r="U19" s="28"/>
      <c r="X19" s="28"/>
      <c r="Y19" s="28"/>
      <c r="Z19" s="28"/>
      <c r="AA19" s="28"/>
    </row>
    <row r="20" spans="1:27">
      <c r="A20" s="125"/>
      <c r="B20" s="305" t="s">
        <v>1217</v>
      </c>
      <c r="C20" s="131" t="s">
        <v>1242</v>
      </c>
      <c r="D20" s="126" t="s">
        <v>242</v>
      </c>
      <c r="E20" s="126"/>
      <c r="F20" s="2">
        <f>IF(Investitionskosten!F22="",Investitionskosten!G22,Investitionskosten!F22)</f>
        <v>2000</v>
      </c>
      <c r="G20" s="16">
        <f>IF(Investitionskosten!H22="",Investitionskosten!I22,Investitionskosten!H22)</f>
        <v>2000</v>
      </c>
      <c r="H20" s="16">
        <f>IF(Investitionskosten!J22="",Investitionskosten!K22,Investitionskosten!J22)</f>
        <v>3000</v>
      </c>
      <c r="I20" s="16">
        <f>IF(Investitionskosten!L22="",Investitionskosten!M22,Investitionskosten!L22)</f>
        <v>5600</v>
      </c>
      <c r="J20" s="16">
        <f>IF(Investitionskosten!N22="",Investitionskosten!O22,Investitionskosten!N22)</f>
        <v>12000</v>
      </c>
      <c r="K20" s="16">
        <f>IF(Investitionskosten!P22="",Investitionskosten!Q22,Investitionskosten!P22)</f>
        <v>15000</v>
      </c>
      <c r="L20" s="16">
        <f>IF(Investitionskosten!R22="",Investitionskosten!S22,Investitionskosten!R22)</f>
        <v>25000</v>
      </c>
      <c r="M20" s="16">
        <f>IF(Investitionskosten!T22="",Investitionskosten!U22,Investitionskosten!T22)</f>
        <v>35000</v>
      </c>
      <c r="N20" s="16">
        <f>IF(Investitionskosten!V22="",Investitionskosten!W22,Investitionskosten!V22)</f>
        <v>45000</v>
      </c>
      <c r="O20" s="16">
        <f>IF(Investitionskosten!X22="",Investitionskosten!Y22,Investitionskosten!X22)</f>
        <v>60000</v>
      </c>
      <c r="P20" s="16">
        <f>IF(Investitionskosten!Z22="",Investitionskosten!AA22,Investitionskosten!Z22)</f>
        <v>70000</v>
      </c>
      <c r="Q20" s="16">
        <f>IF(Investitionskosten!AB22="",Investitionskosten!AC22,Investitionskosten!AB22)</f>
        <v>90000</v>
      </c>
      <c r="R20" s="50">
        <f>IF(Investitionskosten!AD22="",Investitionskosten!AE22,Investitionskosten!AD22)</f>
        <v>110000</v>
      </c>
      <c r="T20" s="28"/>
      <c r="U20" s="28"/>
      <c r="X20" s="28"/>
      <c r="Y20" s="28"/>
      <c r="Z20" s="28"/>
      <c r="AA20" s="28"/>
    </row>
    <row r="21" spans="1:27">
      <c r="A21" s="125"/>
      <c r="B21" s="305" t="s">
        <v>1215</v>
      </c>
      <c r="C21" s="126" t="s">
        <v>303</v>
      </c>
      <c r="D21" s="126" t="s">
        <v>992</v>
      </c>
      <c r="E21" s="126"/>
      <c r="F21" s="2">
        <f>IF(Investitionskosten!F23="",Investitionskosten!G23,Investitionskosten!F23)</f>
        <v>12000</v>
      </c>
      <c r="G21" s="16">
        <f>IF(Investitionskosten!H23="",Investitionskosten!I23,Investitionskosten!H23)</f>
        <v>12000</v>
      </c>
      <c r="H21" s="16">
        <f>IF(Investitionskosten!J23="",Investitionskosten!K23,Investitionskosten!J23)</f>
        <v>16000</v>
      </c>
      <c r="I21" s="16">
        <f>IF(Investitionskosten!L23="",Investitionskosten!M23,Investitionskosten!L23)</f>
        <v>19000</v>
      </c>
      <c r="J21" s="16">
        <f>IF(Investitionskosten!N23="",Investitionskosten!O23,Investitionskosten!N23)</f>
        <v>31100</v>
      </c>
      <c r="K21" s="16">
        <f>IF(Investitionskosten!P23="",Investitionskosten!Q23,Investitionskosten!P23)</f>
        <v>39000</v>
      </c>
      <c r="L21" s="16">
        <f>IF(Investitionskosten!R23="",Investitionskosten!S23,Investitionskosten!R23)</f>
        <v>67800</v>
      </c>
      <c r="M21" s="16">
        <f>IF(Investitionskosten!T23="",Investitionskosten!U23,Investitionskosten!T23)</f>
        <v>92800</v>
      </c>
      <c r="N21" s="16">
        <f>IF(Investitionskosten!V23="",Investitionskosten!W23,Investitionskosten!V23)</f>
        <v>115300</v>
      </c>
      <c r="O21" s="16">
        <f>IF(Investitionskosten!X23="",Investitionskosten!Y23,Investitionskosten!X23)</f>
        <v>263000</v>
      </c>
      <c r="P21" s="16">
        <f>IF(Investitionskosten!Z23="",Investitionskosten!AA23,Investitionskosten!Z23)</f>
        <v>332000</v>
      </c>
      <c r="Q21" s="16">
        <f>IF(Investitionskosten!AB23="",Investitionskosten!AC23,Investitionskosten!AB23)</f>
        <v>384000</v>
      </c>
      <c r="R21" s="50">
        <f>IF(Investitionskosten!AD23="",Investitionskosten!AE23,Investitionskosten!AD23)</f>
        <v>453000</v>
      </c>
      <c r="T21" s="28"/>
      <c r="U21" s="28"/>
      <c r="X21" s="28"/>
      <c r="Y21" s="28"/>
      <c r="Z21" s="28"/>
      <c r="AA21" s="28"/>
    </row>
    <row r="22" spans="1:27">
      <c r="A22" s="125"/>
      <c r="B22" s="305" t="s">
        <v>1215</v>
      </c>
      <c r="C22" s="126" t="s">
        <v>303</v>
      </c>
      <c r="D22" s="126" t="s">
        <v>965</v>
      </c>
      <c r="E22" s="126"/>
      <c r="F22" s="2">
        <f>IF(Investitionskosten!F24="",Investitionskosten!G24,Investitionskosten!F24)</f>
        <v>4000</v>
      </c>
      <c r="G22" s="16">
        <f>IF(Investitionskosten!H24="",Investitionskosten!I24,Investitionskosten!H24)</f>
        <v>4000</v>
      </c>
      <c r="H22" s="16">
        <f>IF(Investitionskosten!J24="",Investitionskosten!K24,Investitionskosten!J24)</f>
        <v>4500</v>
      </c>
      <c r="I22" s="16">
        <f>IF(Investitionskosten!L24="",Investitionskosten!M24,Investitionskosten!L24)</f>
        <v>4600</v>
      </c>
      <c r="J22" s="16">
        <f>IF(Investitionskosten!N24="",Investitionskosten!O24,Investitionskosten!N24)</f>
        <v>5100</v>
      </c>
      <c r="K22" s="16">
        <f>IF(Investitionskosten!P24="",Investitionskosten!Q24,Investitionskosten!P24)</f>
        <v>5600</v>
      </c>
      <c r="L22" s="16">
        <f>IF(Investitionskosten!R24="",Investitionskosten!S24,Investitionskosten!R24)</f>
        <v>6600</v>
      </c>
      <c r="M22" s="16">
        <f>IF(Investitionskosten!T24="",Investitionskosten!U24,Investitionskosten!T24)</f>
        <v>7700</v>
      </c>
      <c r="N22" s="16">
        <f>IF(Investitionskosten!V24="",Investitionskosten!W24,Investitionskosten!V24)</f>
        <v>9400</v>
      </c>
      <c r="O22" s="16">
        <f>IF(Investitionskosten!X24="",Investitionskosten!Y24,Investitionskosten!X24)</f>
        <v>12000</v>
      </c>
      <c r="P22" s="16">
        <f>IF(Investitionskosten!Z24="",Investitionskosten!AA24,Investitionskosten!Z24)</f>
        <v>15000</v>
      </c>
      <c r="Q22" s="16">
        <f>IF(Investitionskosten!AB24="",Investitionskosten!AC24,Investitionskosten!AB24)</f>
        <v>24000</v>
      </c>
      <c r="R22" s="50">
        <f>IF(Investitionskosten!AD24="",Investitionskosten!AE24,Investitionskosten!AD24)</f>
        <v>30000</v>
      </c>
      <c r="T22" s="28"/>
      <c r="U22" s="28"/>
      <c r="V22" s="28"/>
      <c r="X22" s="28"/>
      <c r="Y22" s="28"/>
      <c r="Z22" s="28"/>
      <c r="AA22" s="28"/>
    </row>
    <row r="23" spans="1:27">
      <c r="A23" s="125"/>
      <c r="B23" s="305" t="s">
        <v>1218</v>
      </c>
      <c r="C23" s="126" t="s">
        <v>1243</v>
      </c>
      <c r="D23" s="126" t="s">
        <v>231</v>
      </c>
      <c r="E23" s="126"/>
      <c r="F23" s="2">
        <f>IF(Investitionskosten!F25="",Investitionskosten!G25,Investitionskosten!F25)</f>
        <v>1500</v>
      </c>
      <c r="G23" s="16">
        <f>IF(Investitionskosten!H25="",Investitionskosten!I25,Investitionskosten!H25)</f>
        <v>1500</v>
      </c>
      <c r="H23" s="16">
        <f>IF(Investitionskosten!J25="",Investitionskosten!K25,Investitionskosten!J25)</f>
        <v>2000</v>
      </c>
      <c r="I23" s="16">
        <f>IF(Investitionskosten!L25="",Investitionskosten!M25,Investitionskosten!L25)</f>
        <v>2500</v>
      </c>
      <c r="J23" s="16">
        <f>IF(Investitionskosten!N25="",Investitionskosten!O25,Investitionskosten!N25)</f>
        <v>4000</v>
      </c>
      <c r="K23" s="16">
        <f>IF(Investitionskosten!P25="",Investitionskosten!Q25,Investitionskosten!P25)</f>
        <v>5000</v>
      </c>
      <c r="L23" s="16">
        <f>IF(Investitionskosten!R25="",Investitionskosten!S25,Investitionskosten!R25)</f>
        <v>5100</v>
      </c>
      <c r="M23" s="16">
        <f>IF(Investitionskosten!T25="",Investitionskosten!U25,Investitionskosten!T25)</f>
        <v>7700</v>
      </c>
      <c r="N23" s="16">
        <f>IF(Investitionskosten!V25="",Investitionskosten!W25,Investitionskosten!V25)</f>
        <v>10200</v>
      </c>
      <c r="O23" s="16">
        <f>IF(Investitionskosten!X25="",Investitionskosten!Y25,Investitionskosten!X25)</f>
        <v>13000</v>
      </c>
      <c r="P23" s="16">
        <f>IF(Investitionskosten!Z25="",Investitionskosten!AA25,Investitionskosten!Z25)</f>
        <v>18000</v>
      </c>
      <c r="Q23" s="16">
        <f>IF(Investitionskosten!AB25="",Investitionskosten!AC25,Investitionskosten!AB25)</f>
        <v>25000</v>
      </c>
      <c r="R23" s="50">
        <f>IF(Investitionskosten!AD25="",Investitionskosten!AE25,Investitionskosten!AD25)</f>
        <v>36000</v>
      </c>
      <c r="T23" s="28"/>
      <c r="U23" s="28"/>
      <c r="X23" s="28"/>
      <c r="Y23" s="28"/>
      <c r="Z23" s="28"/>
      <c r="AA23" s="28"/>
    </row>
    <row r="24" spans="1:27" ht="15">
      <c r="A24" s="125"/>
      <c r="B24" s="305" t="s">
        <v>1215</v>
      </c>
      <c r="C24" s="126" t="s">
        <v>303</v>
      </c>
      <c r="D24" s="126" t="s">
        <v>966</v>
      </c>
      <c r="E24" s="126"/>
      <c r="F24" s="2">
        <f>IF(Investitionskosten!F26="",Investitionskosten!G26,Investitionskosten!F26)</f>
        <v>8500</v>
      </c>
      <c r="G24" s="16">
        <f>IF(Investitionskosten!H26="",Investitionskosten!I26,Investitionskosten!H26)</f>
        <v>8500</v>
      </c>
      <c r="H24" s="16">
        <f>IF(Investitionskosten!J26="",Investitionskosten!K26,Investitionskosten!J26)</f>
        <v>8500</v>
      </c>
      <c r="I24" s="16">
        <f>IF(Investitionskosten!L26="",Investitionskosten!M26,Investitionskosten!L26)</f>
        <v>10000</v>
      </c>
      <c r="J24" s="16">
        <f>IF(Investitionskosten!N26="",Investitionskosten!O26,Investitionskosten!N26)</f>
        <v>12000</v>
      </c>
      <c r="K24" s="16">
        <f>IF(Investitionskosten!P26="",Investitionskosten!Q26,Investitionskosten!P26)</f>
        <v>13900</v>
      </c>
      <c r="L24" s="16">
        <f>IF(Investitionskosten!R26="",Investitionskosten!S26,Investitionskosten!R26)</f>
        <v>13900</v>
      </c>
      <c r="M24" s="16">
        <f>IF(Investitionskosten!T26="",Investitionskosten!U26,Investitionskosten!T26)</f>
        <v>17300</v>
      </c>
      <c r="N24" s="16">
        <f>IF(Investitionskosten!V26="",Investitionskosten!W26,Investitionskosten!V26)</f>
        <v>25500</v>
      </c>
      <c r="O24" s="16">
        <f>IF(Investitionskosten!X26="",Investitionskosten!Y26,Investitionskosten!X26)</f>
        <v>37500</v>
      </c>
      <c r="P24" s="16">
        <f>IF(Investitionskosten!Z26="",Investitionskosten!AA26,Investitionskosten!Z26)</f>
        <v>50000</v>
      </c>
      <c r="Q24" s="16">
        <f>IF(Investitionskosten!AB26="",Investitionskosten!AC26,Investitionskosten!AB26)</f>
        <v>75000</v>
      </c>
      <c r="R24" s="50">
        <f>IF(Investitionskosten!AD26="",Investitionskosten!AE26,Investitionskosten!AD26)</f>
        <v>100000</v>
      </c>
      <c r="T24" s="21"/>
      <c r="V24" s="28"/>
      <c r="X24" s="28"/>
    </row>
    <row r="25" spans="1:27">
      <c r="A25" s="125"/>
      <c r="B25" s="307" t="s">
        <v>1215</v>
      </c>
      <c r="C25" s="297" t="s">
        <v>303</v>
      </c>
      <c r="D25" s="134" t="s">
        <v>186</v>
      </c>
      <c r="E25" s="134"/>
      <c r="F25" s="142">
        <f>IF(Investitionskosten!F27="",Investitionskosten!G27,Investitionskosten!F27)</f>
        <v>4000</v>
      </c>
      <c r="G25" s="93">
        <f>IF(Investitionskosten!H27="",Investitionskosten!I27,Investitionskosten!H27)</f>
        <v>4000</v>
      </c>
      <c r="H25" s="93">
        <f>IF(Investitionskosten!J27="",Investitionskosten!K27,Investitionskosten!J27)</f>
        <v>4200</v>
      </c>
      <c r="I25" s="93">
        <f>IF(Investitionskosten!L27="",Investitionskosten!M27,Investitionskosten!L27)</f>
        <v>4500</v>
      </c>
      <c r="J25" s="93">
        <f>IF(Investitionskosten!N27="",Investitionskosten!O27,Investitionskosten!N27)</f>
        <v>7000</v>
      </c>
      <c r="K25" s="93">
        <f>IF(Investitionskosten!P27="",Investitionskosten!Q27,Investitionskosten!P27)</f>
        <v>10600</v>
      </c>
      <c r="L25" s="93">
        <f>IF(Investitionskosten!R27="",Investitionskosten!S27,Investitionskosten!R27)</f>
        <v>11700</v>
      </c>
      <c r="M25" s="93">
        <f>IF(Investitionskosten!T27="",Investitionskosten!U27,Investitionskosten!T27)</f>
        <v>17100</v>
      </c>
      <c r="N25" s="93">
        <f>IF(Investitionskosten!V27="",Investitionskosten!W27,Investitionskosten!V27)</f>
        <v>21400</v>
      </c>
      <c r="O25" s="93">
        <f>IF(Investitionskosten!X27="",Investitionskosten!Y27,Investitionskosten!X27)</f>
        <v>30000</v>
      </c>
      <c r="P25" s="93">
        <f>IF(Investitionskosten!Z27="",Investitionskosten!AA27,Investitionskosten!Z27)</f>
        <v>37000</v>
      </c>
      <c r="Q25" s="93">
        <f>IF(Investitionskosten!AB27="",Investitionskosten!AC27,Investitionskosten!AB27)</f>
        <v>44000</v>
      </c>
      <c r="R25" s="92">
        <f>IF(Investitionskosten!AD27="",Investitionskosten!AE27,Investitionskosten!AD27)</f>
        <v>55000</v>
      </c>
      <c r="T25" s="28"/>
      <c r="U25" s="28"/>
      <c r="X25" s="28"/>
      <c r="Y25" s="28"/>
      <c r="Z25" s="28"/>
      <c r="AA25" s="28"/>
    </row>
    <row r="26" spans="1:27">
      <c r="A26" s="125"/>
      <c r="B26" s="64"/>
      <c r="C26" s="64"/>
      <c r="D26" s="64"/>
      <c r="E26" s="64"/>
      <c r="T26" s="28"/>
      <c r="U26" s="28"/>
      <c r="X26" s="28"/>
      <c r="Y26" s="28"/>
      <c r="Z26" s="28"/>
      <c r="AA26" s="28"/>
    </row>
    <row r="27" spans="1:27">
      <c r="A27" s="8" t="s">
        <v>993</v>
      </c>
      <c r="B27" s="8" t="s">
        <v>15</v>
      </c>
      <c r="C27" s="124"/>
      <c r="D27" s="64"/>
      <c r="E27" s="64"/>
      <c r="T27" s="28"/>
      <c r="U27" s="28"/>
      <c r="X27" s="28"/>
      <c r="Y27" s="28"/>
      <c r="Z27" s="28"/>
      <c r="AA27" s="28"/>
    </row>
    <row r="28" spans="1:27">
      <c r="A28" s="125"/>
      <c r="B28" s="304" t="s">
        <v>1217</v>
      </c>
      <c r="C28" s="131" t="s">
        <v>1242</v>
      </c>
      <c r="D28" s="131" t="s">
        <v>994</v>
      </c>
      <c r="E28" s="131"/>
      <c r="F28" s="5">
        <f>IF(Investitionskosten!F30="",Investitionskosten!G30,Investitionskosten!F30)</f>
        <v>0</v>
      </c>
      <c r="G28" s="25">
        <f>IF(Investitionskosten!H30="",Investitionskosten!I30,Investitionskosten!H30)</f>
        <v>0</v>
      </c>
      <c r="H28" s="25">
        <f>IF(Investitionskosten!J30="",Investitionskosten!K30,Investitionskosten!J30)</f>
        <v>0</v>
      </c>
      <c r="I28" s="25">
        <f>IF(Investitionskosten!L30="",Investitionskosten!M30,Investitionskosten!L30)</f>
        <v>3500</v>
      </c>
      <c r="J28" s="25">
        <f>IF(Investitionskosten!N30="",Investitionskosten!O30,Investitionskosten!N30)</f>
        <v>3500</v>
      </c>
      <c r="K28" s="25">
        <f>IF(Investitionskosten!P30="",Investitionskosten!Q30,Investitionskosten!P30)</f>
        <v>3600</v>
      </c>
      <c r="L28" s="25">
        <f>IF(Investitionskosten!R30="",Investitionskosten!S30,Investitionskosten!R30)</f>
        <v>4100</v>
      </c>
      <c r="M28" s="25">
        <f>IF(Investitionskosten!T30="",Investitionskosten!U30,Investitionskosten!T30)</f>
        <v>4600</v>
      </c>
      <c r="N28" s="25">
        <f>IF(Investitionskosten!V30="",Investitionskosten!W30,Investitionskosten!V30)</f>
        <v>5600</v>
      </c>
      <c r="O28" s="25">
        <f>IF(Investitionskosten!X30="",Investitionskosten!Y30,Investitionskosten!X30)</f>
        <v>9000</v>
      </c>
      <c r="P28" s="25">
        <f>IF(Investitionskosten!Z30="",Investitionskosten!AA30,Investitionskosten!Z30)</f>
        <v>14000</v>
      </c>
      <c r="Q28" s="25">
        <f>IF(Investitionskosten!AB30="",Investitionskosten!AC30,Investitionskosten!AB30)</f>
        <v>18000</v>
      </c>
      <c r="R28" s="51">
        <f>IF(Investitionskosten!AD30="",Investitionskosten!AE30,Investitionskosten!AD30)</f>
        <v>20000</v>
      </c>
      <c r="T28" s="28"/>
      <c r="V28" s="28"/>
      <c r="X28" s="28"/>
    </row>
    <row r="29" spans="1:27">
      <c r="A29" s="125"/>
      <c r="B29" s="305" t="s">
        <v>1217</v>
      </c>
      <c r="C29" s="131" t="s">
        <v>1242</v>
      </c>
      <c r="D29" s="126" t="s">
        <v>234</v>
      </c>
      <c r="E29" s="126"/>
      <c r="F29" s="2">
        <f>IF(Investitionskosten!F31="",Investitionskosten!G31,Investitionskosten!F31)</f>
        <v>0</v>
      </c>
      <c r="G29" s="16">
        <f>IF(Investitionskosten!H31="",Investitionskosten!I31,Investitionskosten!H31)</f>
        <v>0</v>
      </c>
      <c r="H29" s="16">
        <f>IF(Investitionskosten!J31="",Investitionskosten!K31,Investitionskosten!J31)</f>
        <v>0</v>
      </c>
      <c r="I29" s="16">
        <f>IF(Investitionskosten!L31="",Investitionskosten!M31,Investitionskosten!L31)</f>
        <v>12000</v>
      </c>
      <c r="J29" s="16">
        <f>IF(Investitionskosten!N31="",Investitionskosten!O31,Investitionskosten!N31)</f>
        <v>25800</v>
      </c>
      <c r="K29" s="16">
        <f>IF(Investitionskosten!P31="",Investitionskosten!Q31,Investitionskosten!P31)</f>
        <v>34200</v>
      </c>
      <c r="L29" s="16">
        <f>IF(Investitionskosten!R31="",Investitionskosten!S31,Investitionskosten!R31)</f>
        <v>43300</v>
      </c>
      <c r="M29" s="16">
        <f>IF(Investitionskosten!T31="",Investitionskosten!U31,Investitionskosten!T31)</f>
        <v>55500</v>
      </c>
      <c r="N29" s="16">
        <f>IF(Investitionskosten!V31="",Investitionskosten!W31,Investitionskosten!V31)</f>
        <v>74000</v>
      </c>
      <c r="O29" s="16">
        <f>IF(Investitionskosten!X31="",Investitionskosten!Y31,Investitionskosten!X31)</f>
        <v>98600</v>
      </c>
      <c r="P29" s="16">
        <f>IF(Investitionskosten!Z31="",Investitionskosten!AA31,Investitionskosten!Z31)</f>
        <v>116700</v>
      </c>
      <c r="Q29" s="16">
        <f>IF(Investitionskosten!AB31="",Investitionskosten!AC31,Investitionskosten!AB31)</f>
        <v>154800</v>
      </c>
      <c r="R29" s="50">
        <f>IF(Investitionskosten!AD31="",Investitionskosten!AE31,Investitionskosten!AD31)</f>
        <v>183300</v>
      </c>
      <c r="T29" s="28"/>
      <c r="U29" s="28"/>
      <c r="X29" s="28"/>
      <c r="Y29" s="28"/>
      <c r="Z29" s="28"/>
      <c r="AA29" s="28"/>
    </row>
    <row r="30" spans="1:27">
      <c r="A30" s="125"/>
      <c r="B30" s="305" t="s">
        <v>1215</v>
      </c>
      <c r="C30" s="126" t="s">
        <v>303</v>
      </c>
      <c r="D30" s="126" t="s">
        <v>995</v>
      </c>
      <c r="E30" s="126"/>
      <c r="F30" s="2">
        <f>IF(Investitionskosten!F32="",Investitionskosten!G32,Investitionskosten!F32)</f>
        <v>0</v>
      </c>
      <c r="G30" s="16">
        <f>IF(Investitionskosten!H32="",Investitionskosten!I32,Investitionskosten!H32)</f>
        <v>0</v>
      </c>
      <c r="H30" s="16">
        <f>IF(Investitionskosten!J32="",Investitionskosten!K32,Investitionskosten!J32)</f>
        <v>0</v>
      </c>
      <c r="I30" s="16">
        <f>IF(Investitionskosten!L32="",Investitionskosten!M32,Investitionskosten!L32)</f>
        <v>24500</v>
      </c>
      <c r="J30" s="16">
        <f>IF(Investitionskosten!N32="",Investitionskosten!O32,Investitionskosten!N32)</f>
        <v>42900</v>
      </c>
      <c r="K30" s="16">
        <f>IF(Investitionskosten!P32="",Investitionskosten!Q32,Investitionskosten!P32)</f>
        <v>51200</v>
      </c>
      <c r="L30" s="16">
        <f>IF(Investitionskosten!R32="",Investitionskosten!S32,Investitionskosten!R32)</f>
        <v>86200</v>
      </c>
      <c r="M30" s="16">
        <f>IF(Investitionskosten!T32="",Investitionskosten!U32,Investitionskosten!T32)</f>
        <v>103000</v>
      </c>
      <c r="N30" s="16">
        <f>IF(Investitionskosten!V32="",Investitionskosten!W32,Investitionskosten!V32)</f>
        <v>139700</v>
      </c>
      <c r="O30" s="16">
        <f>IF(Investitionskosten!X32="",Investitionskosten!Y32,Investitionskosten!X32)</f>
        <v>263000</v>
      </c>
      <c r="P30" s="16">
        <f>IF(Investitionskosten!Z32="",Investitionskosten!AA32,Investitionskosten!Z32)</f>
        <v>332000</v>
      </c>
      <c r="Q30" s="16">
        <f>IF(Investitionskosten!AB32="",Investitionskosten!AC32,Investitionskosten!AB32)</f>
        <v>384000</v>
      </c>
      <c r="R30" s="50">
        <f>IF(Investitionskosten!AD32="",Investitionskosten!AE32,Investitionskosten!AD32)</f>
        <v>453000</v>
      </c>
      <c r="T30" s="28"/>
      <c r="U30" s="28"/>
      <c r="X30" s="28"/>
      <c r="Y30" s="28"/>
      <c r="Z30" s="28"/>
      <c r="AA30" s="28"/>
    </row>
    <row r="31" spans="1:27">
      <c r="A31" s="125"/>
      <c r="B31" s="305" t="s">
        <v>1215</v>
      </c>
      <c r="C31" s="126" t="s">
        <v>303</v>
      </c>
      <c r="D31" s="126" t="s">
        <v>965</v>
      </c>
      <c r="E31" s="126"/>
      <c r="F31" s="2">
        <f>IF(Investitionskosten!F33="",Investitionskosten!G33,Investitionskosten!F33)</f>
        <v>0</v>
      </c>
      <c r="G31" s="16">
        <f>IF(Investitionskosten!H33="",Investitionskosten!I33,Investitionskosten!H33)</f>
        <v>0</v>
      </c>
      <c r="H31" s="16">
        <f>IF(Investitionskosten!J33="",Investitionskosten!K33,Investitionskosten!J33)</f>
        <v>0</v>
      </c>
      <c r="I31" s="16">
        <f>IF(Investitionskosten!L33="",Investitionskosten!M33,Investitionskosten!L33)</f>
        <v>3800</v>
      </c>
      <c r="J31" s="16">
        <f>IF(Investitionskosten!N33="",Investitionskosten!O33,Investitionskosten!N33)</f>
        <v>5100</v>
      </c>
      <c r="K31" s="16">
        <f>IF(Investitionskosten!P33="",Investitionskosten!Q33,Investitionskosten!P33)</f>
        <v>5600</v>
      </c>
      <c r="L31" s="16">
        <f>IF(Investitionskosten!R33="",Investitionskosten!S33,Investitionskosten!R33)</f>
        <v>6600</v>
      </c>
      <c r="M31" s="16">
        <f>IF(Investitionskosten!T33="",Investitionskosten!U33,Investitionskosten!T33)</f>
        <v>7700</v>
      </c>
      <c r="N31" s="16">
        <f>IF(Investitionskosten!V33="",Investitionskosten!W33,Investitionskosten!V33)</f>
        <v>9400</v>
      </c>
      <c r="O31" s="16">
        <f>IF(Investitionskosten!X33="",Investitionskosten!Y33,Investitionskosten!X33)</f>
        <v>12000</v>
      </c>
      <c r="P31" s="16">
        <f>IF(Investitionskosten!Z33="",Investitionskosten!AA33,Investitionskosten!Z33)</f>
        <v>15000</v>
      </c>
      <c r="Q31" s="16">
        <f>IF(Investitionskosten!AB33="",Investitionskosten!AC33,Investitionskosten!AB33)</f>
        <v>24000</v>
      </c>
      <c r="R31" s="50">
        <f>IF(Investitionskosten!AD33="",Investitionskosten!AE33,Investitionskosten!AD33)</f>
        <v>30000</v>
      </c>
      <c r="T31" s="28"/>
      <c r="U31" s="28"/>
      <c r="X31" s="28"/>
      <c r="Y31" s="28"/>
      <c r="Z31" s="28"/>
      <c r="AA31" s="28"/>
    </row>
    <row r="32" spans="1:27">
      <c r="A32" s="125"/>
      <c r="B32" s="305" t="s">
        <v>1218</v>
      </c>
      <c r="C32" s="126" t="s">
        <v>1243</v>
      </c>
      <c r="D32" s="126" t="s">
        <v>231</v>
      </c>
      <c r="E32" s="126"/>
      <c r="F32" s="2">
        <f>IF(Investitionskosten!F34="",Investitionskosten!G34,Investitionskosten!F34)</f>
        <v>0</v>
      </c>
      <c r="G32" s="16">
        <f>IF(Investitionskosten!H34="",Investitionskosten!I34,Investitionskosten!H34)</f>
        <v>0</v>
      </c>
      <c r="H32" s="16">
        <f>IF(Investitionskosten!J34="",Investitionskosten!K34,Investitionskosten!J34)</f>
        <v>0</v>
      </c>
      <c r="I32" s="16">
        <f>IF(Investitionskosten!L34="",Investitionskosten!M34,Investitionskosten!L34)</f>
        <v>1200</v>
      </c>
      <c r="J32" s="16">
        <f>IF(Investitionskosten!N34="",Investitionskosten!O34,Investitionskosten!N34)</f>
        <v>2200</v>
      </c>
      <c r="K32" s="16">
        <f>IF(Investitionskosten!P34="",Investitionskosten!Q34,Investitionskosten!P34)</f>
        <v>3100</v>
      </c>
      <c r="L32" s="16">
        <f>IF(Investitionskosten!R34="",Investitionskosten!S34,Investitionskosten!R34)</f>
        <v>5100</v>
      </c>
      <c r="M32" s="16">
        <f>IF(Investitionskosten!T34="",Investitionskosten!U34,Investitionskosten!T34)</f>
        <v>7700</v>
      </c>
      <c r="N32" s="16">
        <f>IF(Investitionskosten!V34="",Investitionskosten!W34,Investitionskosten!V34)</f>
        <v>10200</v>
      </c>
      <c r="O32" s="16">
        <f>IF(Investitionskosten!X34="",Investitionskosten!Y34,Investitionskosten!X34)</f>
        <v>13000</v>
      </c>
      <c r="P32" s="16">
        <f>IF(Investitionskosten!Z34="",Investitionskosten!AA34,Investitionskosten!Z34)</f>
        <v>18000</v>
      </c>
      <c r="Q32" s="16">
        <f>IF(Investitionskosten!AB34="",Investitionskosten!AC34,Investitionskosten!AB34)</f>
        <v>25000</v>
      </c>
      <c r="R32" s="50">
        <f>IF(Investitionskosten!AD34="",Investitionskosten!AE34,Investitionskosten!AD34)</f>
        <v>36000</v>
      </c>
      <c r="T32" s="28"/>
      <c r="U32" s="28"/>
      <c r="X32" s="28"/>
      <c r="Y32" s="28"/>
      <c r="Z32" s="28"/>
      <c r="AA32" s="28"/>
    </row>
    <row r="33" spans="1:27" ht="15">
      <c r="A33" s="125"/>
      <c r="B33" s="305" t="s">
        <v>1215</v>
      </c>
      <c r="C33" s="126" t="s">
        <v>303</v>
      </c>
      <c r="D33" s="126" t="s">
        <v>966</v>
      </c>
      <c r="E33" s="126"/>
      <c r="F33" s="2">
        <f>IF(Investitionskosten!F35="",Investitionskosten!G35,Investitionskosten!F35)</f>
        <v>0</v>
      </c>
      <c r="G33" s="16">
        <f>IF(Investitionskosten!H35="",Investitionskosten!I35,Investitionskosten!H35)</f>
        <v>0</v>
      </c>
      <c r="H33" s="16">
        <f>IF(Investitionskosten!J35="",Investitionskosten!K35,Investitionskosten!J35)</f>
        <v>0</v>
      </c>
      <c r="I33" s="16">
        <f>IF(Investitionskosten!L35="",Investitionskosten!M35,Investitionskosten!L35)</f>
        <v>8400</v>
      </c>
      <c r="J33" s="16">
        <f>IF(Investitionskosten!N35="",Investitionskosten!O35,Investitionskosten!N35)</f>
        <v>8700</v>
      </c>
      <c r="K33" s="16">
        <f>IF(Investitionskosten!P35="",Investitionskosten!Q35,Investitionskosten!P35)</f>
        <v>13900</v>
      </c>
      <c r="L33" s="16">
        <f>IF(Investitionskosten!R35="",Investitionskosten!S35,Investitionskosten!R35)</f>
        <v>13900</v>
      </c>
      <c r="M33" s="16">
        <f>IF(Investitionskosten!T35="",Investitionskosten!U35,Investitionskosten!T35)</f>
        <v>17300</v>
      </c>
      <c r="N33" s="16">
        <f>IF(Investitionskosten!V35="",Investitionskosten!W35,Investitionskosten!V35)</f>
        <v>25500</v>
      </c>
      <c r="O33" s="16">
        <f>IF(Investitionskosten!X35="",Investitionskosten!Y35,Investitionskosten!X35)</f>
        <v>37500</v>
      </c>
      <c r="P33" s="16">
        <f>IF(Investitionskosten!Z35="",Investitionskosten!AA35,Investitionskosten!Z35)</f>
        <v>50000</v>
      </c>
      <c r="Q33" s="16">
        <f>IF(Investitionskosten!AB35="",Investitionskosten!AC35,Investitionskosten!AB35)</f>
        <v>75000</v>
      </c>
      <c r="R33" s="50">
        <f>IF(Investitionskosten!AD35="",Investitionskosten!AE35,Investitionskosten!AD35)</f>
        <v>100000</v>
      </c>
      <c r="T33" s="21"/>
      <c r="U33" s="28"/>
      <c r="X33" s="28"/>
      <c r="Y33" s="28"/>
      <c r="Z33" s="28"/>
      <c r="AA33" s="28"/>
    </row>
    <row r="34" spans="1:27" ht="14.45" customHeight="1">
      <c r="A34" s="125"/>
      <c r="B34" s="307" t="s">
        <v>1215</v>
      </c>
      <c r="C34" s="297" t="s">
        <v>303</v>
      </c>
      <c r="D34" s="134" t="s">
        <v>186</v>
      </c>
      <c r="E34" s="134"/>
      <c r="F34" s="142">
        <f>IF(Investitionskosten!F36="",Investitionskosten!G36,Investitionskosten!F36)</f>
        <v>0</v>
      </c>
      <c r="G34" s="93">
        <f>IF(Investitionskosten!H36="",Investitionskosten!I36,Investitionskosten!H36)</f>
        <v>0</v>
      </c>
      <c r="H34" s="93">
        <f>IF(Investitionskosten!J36="",Investitionskosten!K36,Investitionskosten!J36)</f>
        <v>0</v>
      </c>
      <c r="I34" s="93">
        <f>IF(Investitionskosten!L36="",Investitionskosten!M36,Investitionskosten!L36)</f>
        <v>6500</v>
      </c>
      <c r="J34" s="93">
        <f>IF(Investitionskosten!N36="",Investitionskosten!O36,Investitionskosten!N36)</f>
        <v>7000</v>
      </c>
      <c r="K34" s="93">
        <f>IF(Investitionskosten!P36="",Investitionskosten!Q36,Investitionskosten!P36)</f>
        <v>10600</v>
      </c>
      <c r="L34" s="93">
        <f>IF(Investitionskosten!R36="",Investitionskosten!S36,Investitionskosten!R36)</f>
        <v>11700</v>
      </c>
      <c r="M34" s="93">
        <f>IF(Investitionskosten!T36="",Investitionskosten!U36,Investitionskosten!T36)</f>
        <v>17100</v>
      </c>
      <c r="N34" s="93">
        <f>IF(Investitionskosten!V36="",Investitionskosten!W36,Investitionskosten!V36)</f>
        <v>21400</v>
      </c>
      <c r="O34" s="93">
        <f>IF(Investitionskosten!X36="",Investitionskosten!Y36,Investitionskosten!X36)</f>
        <v>30000</v>
      </c>
      <c r="P34" s="93">
        <f>IF(Investitionskosten!Z36="",Investitionskosten!AA36,Investitionskosten!Z36)</f>
        <v>37000</v>
      </c>
      <c r="Q34" s="93">
        <f>IF(Investitionskosten!AB36="",Investitionskosten!AC36,Investitionskosten!AB36)</f>
        <v>44000</v>
      </c>
      <c r="R34" s="92">
        <f>IF(Investitionskosten!AD36="",Investitionskosten!AE36,Investitionskosten!AD36)</f>
        <v>55000</v>
      </c>
      <c r="T34" s="28"/>
      <c r="V34" s="28"/>
    </row>
    <row r="35" spans="1:27">
      <c r="A35" s="125"/>
      <c r="B35" s="64"/>
      <c r="C35" s="64"/>
      <c r="D35" s="64"/>
      <c r="E35" s="64"/>
      <c r="T35" s="28"/>
      <c r="U35" s="28"/>
      <c r="X35" s="28"/>
      <c r="Y35" s="28"/>
      <c r="Z35" s="28"/>
      <c r="AA35" s="28"/>
    </row>
    <row r="36" spans="1:27">
      <c r="A36" s="8" t="s">
        <v>996</v>
      </c>
      <c r="B36" s="8" t="s">
        <v>141</v>
      </c>
      <c r="C36" s="125"/>
      <c r="D36" s="64"/>
      <c r="E36" s="64"/>
      <c r="T36" s="28"/>
      <c r="U36" s="28"/>
      <c r="X36" s="28"/>
      <c r="Y36" s="28"/>
      <c r="Z36" s="28"/>
      <c r="AA36" s="28"/>
    </row>
    <row r="37" spans="1:27">
      <c r="A37" s="125"/>
      <c r="B37" s="304" t="s">
        <v>1217</v>
      </c>
      <c r="C37" s="131" t="s">
        <v>1242</v>
      </c>
      <c r="D37" s="131" t="s">
        <v>964</v>
      </c>
      <c r="E37" s="131"/>
      <c r="F37" s="5">
        <f>IF(Investitionskosten!F39="",Investitionskosten!G39,Investitionskosten!F39)</f>
        <v>3000</v>
      </c>
      <c r="G37" s="25">
        <f>IF(Investitionskosten!H39="",Investitionskosten!I39,Investitionskosten!H39)</f>
        <v>3000</v>
      </c>
      <c r="H37" s="25">
        <f>IF(Investitionskosten!J39="",Investitionskosten!K39,Investitionskosten!J39)</f>
        <v>4500</v>
      </c>
      <c r="I37" s="25">
        <f>IF(Investitionskosten!L39="",Investitionskosten!M39,Investitionskosten!L39)</f>
        <v>6000</v>
      </c>
      <c r="J37" s="25">
        <f>IF(Investitionskosten!N39="",Investitionskosten!O39,Investitionskosten!N39)</f>
        <v>8000</v>
      </c>
      <c r="K37" s="25">
        <f>IF(Investitionskosten!P39="",Investitionskosten!Q39,Investitionskosten!P39)</f>
        <v>9000</v>
      </c>
      <c r="L37" s="25">
        <f>IF(Investitionskosten!R39="",Investitionskosten!S39,Investitionskosten!R39)</f>
        <v>12000</v>
      </c>
      <c r="M37" s="25">
        <f>IF(Investitionskosten!T39="",Investitionskosten!U39,Investitionskosten!T39)</f>
        <v>0</v>
      </c>
      <c r="N37" s="25">
        <f>IF(Investitionskosten!V39="",Investitionskosten!W39,Investitionskosten!V39)</f>
        <v>0</v>
      </c>
      <c r="O37" s="25">
        <f>IF(Investitionskosten!X39="",Investitionskosten!Y39,Investitionskosten!X39)</f>
        <v>0</v>
      </c>
      <c r="P37" s="25">
        <f>IF(Investitionskosten!Z39="",Investitionskosten!AA39,Investitionskosten!Z39)</f>
        <v>0</v>
      </c>
      <c r="Q37" s="25">
        <f>IF(Investitionskosten!AB39="",Investitionskosten!AC39,Investitionskosten!AB39)</f>
        <v>0</v>
      </c>
      <c r="R37" s="51">
        <f>IF(Investitionskosten!AD39="",Investitionskosten!AE39,Investitionskosten!AD39)</f>
        <v>0</v>
      </c>
      <c r="T37" s="28"/>
      <c r="U37" s="28"/>
      <c r="X37" s="28"/>
      <c r="Y37" s="28"/>
      <c r="Z37" s="28"/>
      <c r="AA37" s="28"/>
    </row>
    <row r="38" spans="1:27">
      <c r="A38" s="125"/>
      <c r="B38" s="305" t="s">
        <v>1215</v>
      </c>
      <c r="C38" s="126" t="s">
        <v>303</v>
      </c>
      <c r="D38" s="126" t="s">
        <v>235</v>
      </c>
      <c r="E38" s="126"/>
      <c r="F38" s="2">
        <f>IF(Investitionskosten!F40="",Investitionskosten!G40,Investitionskosten!F40)</f>
        <v>15800</v>
      </c>
      <c r="G38" s="16">
        <f>IF(Investitionskosten!H40="",Investitionskosten!I40,Investitionskosten!H40)</f>
        <v>15800</v>
      </c>
      <c r="H38" s="16">
        <f>IF(Investitionskosten!J40="",Investitionskosten!K40,Investitionskosten!J40)</f>
        <v>17900</v>
      </c>
      <c r="I38" s="16">
        <f>IF(Investitionskosten!L40="",Investitionskosten!M40,Investitionskosten!L40)</f>
        <v>31000</v>
      </c>
      <c r="J38" s="16">
        <f>IF(Investitionskosten!N40="",Investitionskosten!O40,Investitionskosten!N40)</f>
        <v>75000</v>
      </c>
      <c r="K38" s="16">
        <f>IF(Investitionskosten!P40="",Investitionskosten!Q40,Investitionskosten!P40)</f>
        <v>125000</v>
      </c>
      <c r="L38" s="16">
        <f>IF(Investitionskosten!R40="",Investitionskosten!S40,Investitionskosten!R40)</f>
        <v>252000</v>
      </c>
      <c r="M38" s="16">
        <f>IF(Investitionskosten!T40="",Investitionskosten!U40,Investitionskosten!T40)</f>
        <v>0</v>
      </c>
      <c r="N38" s="16">
        <f>IF(Investitionskosten!V40="",Investitionskosten!W40,Investitionskosten!V40)</f>
        <v>0</v>
      </c>
      <c r="O38" s="16">
        <f>IF(Investitionskosten!X40="",Investitionskosten!Y40,Investitionskosten!X40)</f>
        <v>0</v>
      </c>
      <c r="P38" s="16">
        <f>IF(Investitionskosten!Z40="",Investitionskosten!AA40,Investitionskosten!Z40)</f>
        <v>0</v>
      </c>
      <c r="Q38" s="16">
        <f>IF(Investitionskosten!AB40="",Investitionskosten!AC40,Investitionskosten!AB40)</f>
        <v>0</v>
      </c>
      <c r="R38" s="50">
        <f>IF(Investitionskosten!AD40="",Investitionskosten!AE40,Investitionskosten!AD40)</f>
        <v>0</v>
      </c>
      <c r="T38" s="28"/>
      <c r="U38" s="28"/>
      <c r="V38" s="28"/>
      <c r="X38" s="28"/>
      <c r="Y38" s="28"/>
      <c r="Z38" s="28"/>
      <c r="AA38" s="28"/>
    </row>
    <row r="39" spans="1:27">
      <c r="A39" s="125"/>
      <c r="B39" s="305" t="s">
        <v>1215</v>
      </c>
      <c r="C39" s="126" t="s">
        <v>303</v>
      </c>
      <c r="D39" s="126" t="s">
        <v>965</v>
      </c>
      <c r="E39" s="126"/>
      <c r="F39" s="2">
        <f>IF(Investitionskosten!F41="",Investitionskosten!G41,Investitionskosten!F41)</f>
        <v>3800</v>
      </c>
      <c r="G39" s="16">
        <f>IF(Investitionskosten!H41="",Investitionskosten!I41,Investitionskosten!H41)</f>
        <v>3800</v>
      </c>
      <c r="H39" s="16">
        <f>IF(Investitionskosten!J41="",Investitionskosten!K41,Investitionskosten!J41)</f>
        <v>4000</v>
      </c>
      <c r="I39" s="16">
        <f>IF(Investitionskosten!L41="",Investitionskosten!M41,Investitionskosten!L41)</f>
        <v>4500</v>
      </c>
      <c r="J39" s="16">
        <f>IF(Investitionskosten!N41="",Investitionskosten!O41,Investitionskosten!N41)</f>
        <v>6000</v>
      </c>
      <c r="K39" s="16">
        <f>IF(Investitionskosten!P41="",Investitionskosten!Q41,Investitionskosten!P41)</f>
        <v>7200</v>
      </c>
      <c r="L39" s="16">
        <f>IF(Investitionskosten!R41="",Investitionskosten!S41,Investitionskosten!R41)</f>
        <v>15000</v>
      </c>
      <c r="M39" s="16">
        <f>IF(Investitionskosten!T41="",Investitionskosten!U41,Investitionskosten!T41)</f>
        <v>0</v>
      </c>
      <c r="N39" s="16">
        <f>IF(Investitionskosten!V41="",Investitionskosten!W41,Investitionskosten!V41)</f>
        <v>0</v>
      </c>
      <c r="O39" s="16">
        <f>IF(Investitionskosten!X41="",Investitionskosten!Y41,Investitionskosten!X41)</f>
        <v>0</v>
      </c>
      <c r="P39" s="16">
        <f>IF(Investitionskosten!Z41="",Investitionskosten!AA41,Investitionskosten!Z41)</f>
        <v>0</v>
      </c>
      <c r="Q39" s="16">
        <f>IF(Investitionskosten!AB41="",Investitionskosten!AC41,Investitionskosten!AB41)</f>
        <v>0</v>
      </c>
      <c r="R39" s="50">
        <f>IF(Investitionskosten!AD41="",Investitionskosten!AE41,Investitionskosten!AD41)</f>
        <v>0</v>
      </c>
      <c r="T39" s="28"/>
      <c r="U39" s="28"/>
      <c r="V39" s="28"/>
      <c r="X39" s="28"/>
      <c r="Y39" s="28"/>
      <c r="Z39" s="28"/>
      <c r="AA39" s="28"/>
    </row>
    <row r="40" spans="1:27" ht="14.45" customHeight="1">
      <c r="A40" s="125"/>
      <c r="B40" s="305" t="s">
        <v>1218</v>
      </c>
      <c r="C40" s="126" t="s">
        <v>1243</v>
      </c>
      <c r="D40" s="126" t="s">
        <v>231</v>
      </c>
      <c r="E40" s="126"/>
      <c r="F40" s="2">
        <f>IF(Investitionskosten!F42="",Investitionskosten!G42,Investitionskosten!F42)</f>
        <v>1500</v>
      </c>
      <c r="G40" s="16">
        <f>IF(Investitionskosten!H42="",Investitionskosten!I42,Investitionskosten!H42)</f>
        <v>1500</v>
      </c>
      <c r="H40" s="16">
        <f>IF(Investitionskosten!J42="",Investitionskosten!K42,Investitionskosten!J42)</f>
        <v>2000</v>
      </c>
      <c r="I40" s="16">
        <f>IF(Investitionskosten!L42="",Investitionskosten!M42,Investitionskosten!L42)</f>
        <v>2500</v>
      </c>
      <c r="J40" s="16">
        <f>IF(Investitionskosten!N42="",Investitionskosten!O42,Investitionskosten!N42)</f>
        <v>4000</v>
      </c>
      <c r="K40" s="16">
        <f>IF(Investitionskosten!P42="",Investitionskosten!Q42,Investitionskosten!P42)</f>
        <v>5000</v>
      </c>
      <c r="L40" s="16">
        <f>IF(Investitionskosten!R42="",Investitionskosten!S42,Investitionskosten!R42)</f>
        <v>10000</v>
      </c>
      <c r="M40" s="16">
        <f>IF(Investitionskosten!T42="",Investitionskosten!U42,Investitionskosten!T42)</f>
        <v>0</v>
      </c>
      <c r="N40" s="16">
        <f>IF(Investitionskosten!V42="",Investitionskosten!W42,Investitionskosten!V42)</f>
        <v>0</v>
      </c>
      <c r="O40" s="16">
        <f>IF(Investitionskosten!X42="",Investitionskosten!Y42,Investitionskosten!X42)</f>
        <v>0</v>
      </c>
      <c r="P40" s="16">
        <f>IF(Investitionskosten!Z42="",Investitionskosten!AA42,Investitionskosten!Z42)</f>
        <v>0</v>
      </c>
      <c r="Q40" s="16">
        <f>IF(Investitionskosten!AB42="",Investitionskosten!AC42,Investitionskosten!AB42)</f>
        <v>0</v>
      </c>
      <c r="R40" s="50">
        <f>IF(Investitionskosten!AD42="",Investitionskosten!AE42,Investitionskosten!AD42)</f>
        <v>0</v>
      </c>
      <c r="T40" s="28"/>
      <c r="U40" s="28"/>
      <c r="V40" s="28"/>
      <c r="X40" s="28"/>
      <c r="Y40" s="28"/>
      <c r="Z40" s="28"/>
      <c r="AA40" s="28"/>
    </row>
    <row r="41" spans="1:27">
      <c r="A41" s="125"/>
      <c r="B41" s="305" t="s">
        <v>1215</v>
      </c>
      <c r="C41" s="126" t="s">
        <v>303</v>
      </c>
      <c r="D41" s="126" t="s">
        <v>966</v>
      </c>
      <c r="E41" s="126"/>
      <c r="F41" s="2">
        <f>IF(Investitionskosten!F43="",Investitionskosten!G43,Investitionskosten!F43)</f>
        <v>6000</v>
      </c>
      <c r="G41" s="16">
        <f>IF(Investitionskosten!H43="",Investitionskosten!I43,Investitionskosten!H43)</f>
        <v>6000</v>
      </c>
      <c r="H41" s="16">
        <f>IF(Investitionskosten!J43="",Investitionskosten!K43,Investitionskosten!J43)</f>
        <v>6000</v>
      </c>
      <c r="I41" s="16">
        <f>IF(Investitionskosten!L43="",Investitionskosten!M43,Investitionskosten!L43)</f>
        <v>7500</v>
      </c>
      <c r="J41" s="16">
        <f>IF(Investitionskosten!N43="",Investitionskosten!O43,Investitionskosten!N43)</f>
        <v>15000</v>
      </c>
      <c r="K41" s="16">
        <f>IF(Investitionskosten!P43="",Investitionskosten!Q43,Investitionskosten!P43)</f>
        <v>23000</v>
      </c>
      <c r="L41" s="16">
        <f>IF(Investitionskosten!R43="",Investitionskosten!S43,Investitionskosten!R43)</f>
        <v>46000</v>
      </c>
      <c r="M41" s="16">
        <f>IF(Investitionskosten!T43="",Investitionskosten!U43,Investitionskosten!T43)</f>
        <v>0</v>
      </c>
      <c r="N41" s="16">
        <f>IF(Investitionskosten!V43="",Investitionskosten!W43,Investitionskosten!V43)</f>
        <v>0</v>
      </c>
      <c r="O41" s="16">
        <f>IF(Investitionskosten!X43="",Investitionskosten!Y43,Investitionskosten!X43)</f>
        <v>0</v>
      </c>
      <c r="P41" s="16">
        <f>IF(Investitionskosten!Z43="",Investitionskosten!AA43,Investitionskosten!Z43)</f>
        <v>0</v>
      </c>
      <c r="Q41" s="16">
        <f>IF(Investitionskosten!AB43="",Investitionskosten!AC43,Investitionskosten!AB43)</f>
        <v>0</v>
      </c>
      <c r="R41" s="50">
        <f>IF(Investitionskosten!AD43="",Investitionskosten!AE43,Investitionskosten!AD43)</f>
        <v>0</v>
      </c>
      <c r="T41" s="28"/>
      <c r="U41" s="28"/>
      <c r="V41" s="28"/>
      <c r="X41" s="28"/>
      <c r="Y41" s="28"/>
      <c r="Z41" s="28"/>
      <c r="AA41" s="28"/>
    </row>
    <row r="42" spans="1:27">
      <c r="A42" s="125"/>
      <c r="B42" s="305" t="s">
        <v>1244</v>
      </c>
      <c r="C42" s="126" t="s">
        <v>1245</v>
      </c>
      <c r="D42" s="126" t="s">
        <v>206</v>
      </c>
      <c r="E42" s="126"/>
      <c r="F42" s="2">
        <f>IF(Investitionskosten!F44="",Investitionskosten!G44,Investitionskosten!F44)</f>
        <v>0</v>
      </c>
      <c r="G42" s="16">
        <f>IF(Investitionskosten!H44="",Investitionskosten!I44,Investitionskosten!H44)</f>
        <v>0</v>
      </c>
      <c r="H42" s="16">
        <f>IF(Investitionskosten!J44="",Investitionskosten!K44,Investitionskosten!J44)</f>
        <v>0</v>
      </c>
      <c r="I42" s="16">
        <f>IF(Investitionskosten!L44="",Investitionskosten!M44,Investitionskosten!L44)</f>
        <v>0</v>
      </c>
      <c r="J42" s="16">
        <f>IF(Investitionskosten!N44="",Investitionskosten!O44,Investitionskosten!N44)</f>
        <v>13300</v>
      </c>
      <c r="K42" s="16">
        <f>IF(Investitionskosten!P44="",Investitionskosten!Q44,Investitionskosten!P44)</f>
        <v>21200</v>
      </c>
      <c r="L42" s="16">
        <f>IF(Investitionskosten!R44="",Investitionskosten!S44,Investitionskosten!R44)</f>
        <v>41800</v>
      </c>
      <c r="M42" s="16">
        <f>IF(Investitionskosten!T44="",Investitionskosten!U44,Investitionskosten!T44)</f>
        <v>0</v>
      </c>
      <c r="N42" s="16">
        <f>IF(Investitionskosten!V44="",Investitionskosten!W44,Investitionskosten!V44)</f>
        <v>0</v>
      </c>
      <c r="O42" s="16">
        <f>IF(Investitionskosten!X44="",Investitionskosten!Y44,Investitionskosten!X44)</f>
        <v>0</v>
      </c>
      <c r="P42" s="16">
        <f>IF(Investitionskosten!Z44="",Investitionskosten!AA44,Investitionskosten!Z44)</f>
        <v>0</v>
      </c>
      <c r="Q42" s="16">
        <f>IF(Investitionskosten!AB44="",Investitionskosten!AC44,Investitionskosten!AB44)</f>
        <v>0</v>
      </c>
      <c r="R42" s="50">
        <f>IF(Investitionskosten!AD44="",Investitionskosten!AE44,Investitionskosten!AD44)</f>
        <v>0</v>
      </c>
      <c r="T42" s="28"/>
      <c r="U42" s="28"/>
      <c r="V42" s="28"/>
      <c r="X42" s="28"/>
      <c r="Y42" s="28"/>
      <c r="Z42" s="28"/>
      <c r="AA42" s="28"/>
    </row>
    <row r="43" spans="1:27">
      <c r="A43" s="125"/>
      <c r="B43" s="305" t="s">
        <v>1244</v>
      </c>
      <c r="C43" s="126" t="s">
        <v>1245</v>
      </c>
      <c r="D43" s="126" t="s">
        <v>967</v>
      </c>
      <c r="E43" s="126"/>
      <c r="F43" s="2">
        <f>IF(Investitionskosten!F45="",Investitionskosten!G45,Investitionskosten!F45)</f>
        <v>0</v>
      </c>
      <c r="G43" s="16">
        <f>IF(Investitionskosten!H45="",Investitionskosten!I45,Investitionskosten!H45)</f>
        <v>0</v>
      </c>
      <c r="H43" s="16">
        <f>IF(Investitionskosten!J45="",Investitionskosten!K45,Investitionskosten!J45)</f>
        <v>0</v>
      </c>
      <c r="I43" s="16">
        <f>IF(Investitionskosten!L45="",Investitionskosten!M45,Investitionskosten!L45)</f>
        <v>0</v>
      </c>
      <c r="J43" s="16">
        <f>IF(Investitionskosten!N45="",Investitionskosten!O45,Investitionskosten!N45)</f>
        <v>3400</v>
      </c>
      <c r="K43" s="16">
        <f>IF(Investitionskosten!P45="",Investitionskosten!Q45,Investitionskosten!P45)</f>
        <v>3400</v>
      </c>
      <c r="L43" s="16">
        <f>IF(Investitionskosten!R45="",Investitionskosten!S45,Investitionskosten!R45)</f>
        <v>6000</v>
      </c>
      <c r="M43" s="16">
        <f>IF(Investitionskosten!T45="",Investitionskosten!U45,Investitionskosten!T45)</f>
        <v>0</v>
      </c>
      <c r="N43" s="16">
        <f>IF(Investitionskosten!V45="",Investitionskosten!W45,Investitionskosten!V45)</f>
        <v>0</v>
      </c>
      <c r="O43" s="16">
        <f>IF(Investitionskosten!X45="",Investitionskosten!Y45,Investitionskosten!X45)</f>
        <v>0</v>
      </c>
      <c r="P43" s="16">
        <f>IF(Investitionskosten!Z45="",Investitionskosten!AA45,Investitionskosten!Z45)</f>
        <v>0</v>
      </c>
      <c r="Q43" s="16">
        <f>IF(Investitionskosten!AB45="",Investitionskosten!AC45,Investitionskosten!AB45)</f>
        <v>0</v>
      </c>
      <c r="R43" s="50">
        <f>IF(Investitionskosten!AD45="",Investitionskosten!AE45,Investitionskosten!AD45)</f>
        <v>0</v>
      </c>
      <c r="T43" s="28"/>
      <c r="U43" s="28"/>
      <c r="X43" s="28"/>
      <c r="Y43" s="28"/>
      <c r="Z43" s="28"/>
      <c r="AA43" s="28"/>
    </row>
    <row r="44" spans="1:27" ht="15">
      <c r="A44" s="125"/>
      <c r="B44" s="307" t="s">
        <v>1244</v>
      </c>
      <c r="C44" s="297" t="s">
        <v>1245</v>
      </c>
      <c r="D44" s="134" t="s">
        <v>359</v>
      </c>
      <c r="E44" s="134"/>
      <c r="F44" s="142">
        <f>IF(Investitionskosten!F46="",Investitionskosten!G46,Investitionskosten!F46)</f>
        <v>4500</v>
      </c>
      <c r="G44" s="93">
        <f>IF(Investitionskosten!H46="",Investitionskosten!I46,Investitionskosten!H46)</f>
        <v>4500</v>
      </c>
      <c r="H44" s="93">
        <f>IF(Investitionskosten!J46="",Investitionskosten!K46,Investitionskosten!J46)</f>
        <v>5500</v>
      </c>
      <c r="I44" s="93">
        <f>IF(Investitionskosten!L46="",Investitionskosten!M46,Investitionskosten!L46)</f>
        <v>6000</v>
      </c>
      <c r="J44" s="93">
        <f>IF(Investitionskosten!N46="",Investitionskosten!O46,Investitionskosten!N46)</f>
        <v>10000</v>
      </c>
      <c r="K44" s="93">
        <f>IF(Investitionskosten!P46="",Investitionskosten!Q46,Investitionskosten!P46)</f>
        <v>15000</v>
      </c>
      <c r="L44" s="93">
        <f>IF(Investitionskosten!R46="",Investitionskosten!S46,Investitionskosten!R46)</f>
        <v>20000</v>
      </c>
      <c r="M44" s="93">
        <f>IF(Investitionskosten!T46="",Investitionskosten!U46,Investitionskosten!T46)</f>
        <v>0</v>
      </c>
      <c r="N44" s="93">
        <f>IF(Investitionskosten!V46="",Investitionskosten!W46,Investitionskosten!V46)</f>
        <v>0</v>
      </c>
      <c r="O44" s="93">
        <f>IF(Investitionskosten!X46="",Investitionskosten!Y46,Investitionskosten!X46)</f>
        <v>0</v>
      </c>
      <c r="P44" s="93">
        <f>IF(Investitionskosten!Z46="",Investitionskosten!AA46,Investitionskosten!Z46)</f>
        <v>0</v>
      </c>
      <c r="Q44" s="93">
        <f>IF(Investitionskosten!AB46="",Investitionskosten!AC46,Investitionskosten!AB46)</f>
        <v>0</v>
      </c>
      <c r="R44" s="92">
        <f>IF(Investitionskosten!AD46="",Investitionskosten!AE46,Investitionskosten!AD46)</f>
        <v>0</v>
      </c>
      <c r="T44" s="21"/>
      <c r="V44" s="28"/>
      <c r="X44" s="28"/>
    </row>
    <row r="45" spans="1:27" ht="14.45" customHeight="1">
      <c r="A45" s="125"/>
      <c r="B45" s="64"/>
      <c r="C45" s="64"/>
      <c r="D45" s="64"/>
      <c r="E45" s="64"/>
      <c r="T45" s="28"/>
      <c r="U45" s="28"/>
      <c r="X45" s="28"/>
      <c r="Y45" s="28"/>
      <c r="Z45" s="28"/>
      <c r="AA45" s="28"/>
    </row>
    <row r="46" spans="1:27">
      <c r="A46" s="8" t="s">
        <v>998</v>
      </c>
      <c r="B46" s="8" t="s">
        <v>999</v>
      </c>
      <c r="C46" s="124"/>
      <c r="D46" s="64"/>
      <c r="E46" s="64"/>
      <c r="T46" s="28"/>
      <c r="U46" s="28"/>
      <c r="X46" s="28"/>
      <c r="Y46" s="28"/>
      <c r="Z46" s="28"/>
      <c r="AA46" s="28"/>
    </row>
    <row r="47" spans="1:27" ht="14.45" customHeight="1">
      <c r="A47" s="125"/>
      <c r="B47" s="304" t="s">
        <v>1217</v>
      </c>
      <c r="C47" s="131" t="s">
        <v>1242</v>
      </c>
      <c r="D47" s="131" t="s">
        <v>245</v>
      </c>
      <c r="E47" s="131"/>
      <c r="F47" s="5">
        <f>IF(Investitionskosten!F49="",Investitionskosten!G49,Investitionskosten!F49)</f>
        <v>23500</v>
      </c>
      <c r="G47" s="25">
        <f>IF(Investitionskosten!H49="",Investitionskosten!I49,Investitionskosten!H49)</f>
        <v>23500</v>
      </c>
      <c r="H47" s="25">
        <f>IF(Investitionskosten!J49="",Investitionskosten!K49,Investitionskosten!J49)</f>
        <v>25500</v>
      </c>
      <c r="I47" s="25">
        <f>IF(Investitionskosten!L49="",Investitionskosten!M49,Investitionskosten!L49)</f>
        <v>30600</v>
      </c>
      <c r="J47" s="25">
        <f>IF(Investitionskosten!N49="",Investitionskosten!O49,Investitionskosten!N49)</f>
        <v>37100</v>
      </c>
      <c r="K47" s="25">
        <f>IF(Investitionskosten!P49="",Investitionskosten!Q49,Investitionskosten!P49)</f>
        <v>53000</v>
      </c>
      <c r="L47" s="25">
        <f>IF(Investitionskosten!R49="",Investitionskosten!S49,Investitionskosten!R49)</f>
        <v>106100</v>
      </c>
      <c r="M47" s="25">
        <f>IF(Investitionskosten!T49="",Investitionskosten!U49,Investitionskosten!T49)</f>
        <v>185600</v>
      </c>
      <c r="N47" s="25">
        <f>IF(Investitionskosten!V49="",Investitionskosten!W49,Investitionskosten!V49)</f>
        <v>244800</v>
      </c>
      <c r="O47" s="25">
        <f>IF(Investitionskosten!X49="",Investitionskosten!Y49,Investitionskosten!X49)</f>
        <v>370000</v>
      </c>
      <c r="P47" s="25">
        <f>IF(Investitionskosten!Z49="",Investitionskosten!AA49,Investitionskosten!Z49)</f>
        <v>500000</v>
      </c>
      <c r="Q47" s="25">
        <f>IF(Investitionskosten!AB49="",Investitionskosten!AC49,Investitionskosten!AB49)</f>
        <v>750000</v>
      </c>
      <c r="R47" s="51">
        <f>IF(Investitionskosten!AD49="",Investitionskosten!AE49,Investitionskosten!AD49)</f>
        <v>1000000</v>
      </c>
      <c r="T47" s="28"/>
      <c r="U47" s="28"/>
      <c r="X47" s="28"/>
      <c r="Y47" s="28"/>
      <c r="Z47" s="28"/>
      <c r="AA47" s="28"/>
    </row>
    <row r="48" spans="1:27">
      <c r="A48" s="125"/>
      <c r="B48" s="305" t="s">
        <v>1215</v>
      </c>
      <c r="C48" s="126" t="s">
        <v>303</v>
      </c>
      <c r="D48" s="126" t="s">
        <v>1000</v>
      </c>
      <c r="E48" s="126"/>
      <c r="F48" s="2">
        <f>IF(Investitionskosten!F50="",Investitionskosten!G50,Investitionskosten!F50)</f>
        <v>8800</v>
      </c>
      <c r="G48" s="16">
        <f>IF(Investitionskosten!H50="",Investitionskosten!I50,Investitionskosten!H50)</f>
        <v>8800</v>
      </c>
      <c r="H48" s="16">
        <f>IF(Investitionskosten!J50="",Investitionskosten!K50,Investitionskosten!J50)</f>
        <v>10700</v>
      </c>
      <c r="I48" s="16">
        <f>IF(Investitionskosten!L50="",Investitionskosten!M50,Investitionskosten!L50)</f>
        <v>18400</v>
      </c>
      <c r="J48" s="16">
        <f>IF(Investitionskosten!N50="",Investitionskosten!O50,Investitionskosten!N50)</f>
        <v>45900</v>
      </c>
      <c r="K48" s="16">
        <f>IF(Investitionskosten!P50="",Investitionskosten!Q50,Investitionskosten!P50)</f>
        <v>62200</v>
      </c>
      <c r="L48" s="16">
        <f>IF(Investitionskosten!R50="",Investitionskosten!S50,Investitionskosten!R50)</f>
        <v>79600</v>
      </c>
      <c r="M48" s="16">
        <f>IF(Investitionskosten!T50="",Investitionskosten!U50,Investitionskosten!T50)</f>
        <v>142800</v>
      </c>
      <c r="N48" s="16">
        <f>IF(Investitionskosten!V50="",Investitionskosten!W50,Investitionskosten!V50)</f>
        <v>183600</v>
      </c>
      <c r="O48" s="16">
        <f>IF(Investitionskosten!X50="",Investitionskosten!Y50,Investitionskosten!X50)</f>
        <v>375000</v>
      </c>
      <c r="P48" s="16">
        <f>IF(Investitionskosten!Z50="",Investitionskosten!AA50,Investitionskosten!Z50)</f>
        <v>550000</v>
      </c>
      <c r="Q48" s="16">
        <f>IF(Investitionskosten!AB50="",Investitionskosten!AC50,Investitionskosten!AB50)</f>
        <v>750000</v>
      </c>
      <c r="R48" s="50">
        <f>IF(Investitionskosten!AD50="",Investitionskosten!AE50,Investitionskosten!AD50)</f>
        <v>1000000</v>
      </c>
      <c r="T48" s="28"/>
      <c r="U48" s="28"/>
      <c r="X48" s="28"/>
      <c r="Y48" s="28"/>
      <c r="Z48" s="28"/>
      <c r="AA48" s="28"/>
    </row>
    <row r="49" spans="1:27">
      <c r="A49" s="125"/>
      <c r="B49" s="305" t="s">
        <v>1215</v>
      </c>
      <c r="C49" s="126" t="s">
        <v>303</v>
      </c>
      <c r="D49" s="126" t="s">
        <v>230</v>
      </c>
      <c r="E49" s="126"/>
      <c r="F49" s="2">
        <f>IF(Investitionskosten!F51="",Investitionskosten!G51,Investitionskosten!F51)</f>
        <v>3600</v>
      </c>
      <c r="G49" s="16">
        <f>IF(Investitionskosten!H51="",Investitionskosten!I51,Investitionskosten!H51)</f>
        <v>3600</v>
      </c>
      <c r="H49" s="16">
        <f>IF(Investitionskosten!J51="",Investitionskosten!K51,Investitionskosten!J51)</f>
        <v>4600</v>
      </c>
      <c r="I49" s="16">
        <f>IF(Investitionskosten!L51="",Investitionskosten!M51,Investitionskosten!L51)</f>
        <v>4600</v>
      </c>
      <c r="J49" s="16">
        <f>IF(Investitionskosten!N51="",Investitionskosten!O51,Investitionskosten!N51)</f>
        <v>5100</v>
      </c>
      <c r="K49" s="16">
        <f>IF(Investitionskosten!P51="",Investitionskosten!Q51,Investitionskosten!P51)</f>
        <v>5600</v>
      </c>
      <c r="L49" s="16">
        <f>IF(Investitionskosten!R51="",Investitionskosten!S51,Investitionskosten!R51)</f>
        <v>6600</v>
      </c>
      <c r="M49" s="16">
        <f>IF(Investitionskosten!T51="",Investitionskosten!U51,Investitionskosten!T51)</f>
        <v>7700</v>
      </c>
      <c r="N49" s="16">
        <f>IF(Investitionskosten!V51="",Investitionskosten!W51,Investitionskosten!V51)</f>
        <v>9400</v>
      </c>
      <c r="O49" s="16">
        <f>IF(Investitionskosten!X51="",Investitionskosten!Y51,Investitionskosten!X51)</f>
        <v>12000</v>
      </c>
      <c r="P49" s="16">
        <f>IF(Investitionskosten!Z51="",Investitionskosten!AA51,Investitionskosten!Z51)</f>
        <v>15000</v>
      </c>
      <c r="Q49" s="16">
        <f>IF(Investitionskosten!AB51="",Investitionskosten!AC51,Investitionskosten!AB51)</f>
        <v>24000</v>
      </c>
      <c r="R49" s="50">
        <f>IF(Investitionskosten!AD51="",Investitionskosten!AE51,Investitionskosten!AD51)</f>
        <v>30000</v>
      </c>
      <c r="T49" s="28"/>
      <c r="U49" s="28"/>
      <c r="X49" s="28"/>
      <c r="Y49" s="28"/>
      <c r="Z49" s="28"/>
      <c r="AA49" s="28"/>
    </row>
    <row r="50" spans="1:27" ht="14.45" customHeight="1">
      <c r="A50" s="125"/>
      <c r="B50" s="305" t="s">
        <v>1218</v>
      </c>
      <c r="C50" s="126" t="s">
        <v>1243</v>
      </c>
      <c r="D50" s="126" t="s">
        <v>231</v>
      </c>
      <c r="E50" s="126"/>
      <c r="F50" s="2">
        <f>IF(Investitionskosten!F52="",Investitionskosten!G52,Investitionskosten!F52)</f>
        <v>1500</v>
      </c>
      <c r="G50" s="16">
        <f>IF(Investitionskosten!H52="",Investitionskosten!I52,Investitionskosten!H52)</f>
        <v>1500</v>
      </c>
      <c r="H50" s="16">
        <f>IF(Investitionskosten!J52="",Investitionskosten!K52,Investitionskosten!J52)</f>
        <v>2000</v>
      </c>
      <c r="I50" s="16">
        <f>IF(Investitionskosten!L52="",Investitionskosten!M52,Investitionskosten!L52)</f>
        <v>2500</v>
      </c>
      <c r="J50" s="16">
        <f>IF(Investitionskosten!N52="",Investitionskosten!O52,Investitionskosten!N52)</f>
        <v>4000</v>
      </c>
      <c r="K50" s="16">
        <f>IF(Investitionskosten!P52="",Investitionskosten!Q52,Investitionskosten!P52)</f>
        <v>4500</v>
      </c>
      <c r="L50" s="16">
        <f>IF(Investitionskosten!R52="",Investitionskosten!S52,Investitionskosten!R52)</f>
        <v>5400</v>
      </c>
      <c r="M50" s="16">
        <f>IF(Investitionskosten!T52="",Investitionskosten!U52,Investitionskosten!T52)</f>
        <v>6900</v>
      </c>
      <c r="N50" s="16">
        <f>IF(Investitionskosten!V52="",Investitionskosten!W52,Investitionskosten!V52)</f>
        <v>6900</v>
      </c>
      <c r="O50" s="16">
        <f>IF(Investitionskosten!X52="",Investitionskosten!Y52,Investitionskosten!X52)</f>
        <v>6800</v>
      </c>
      <c r="P50" s="16">
        <f>IF(Investitionskosten!Z52="",Investitionskosten!AA52,Investitionskosten!Z52)</f>
        <v>10200</v>
      </c>
      <c r="Q50" s="16">
        <f>IF(Investitionskosten!AB52="",Investitionskosten!AC52,Investitionskosten!AB52)</f>
        <v>13600</v>
      </c>
      <c r="R50" s="50">
        <f>IF(Investitionskosten!AD52="",Investitionskosten!AE52,Investitionskosten!AD52)</f>
        <v>20000</v>
      </c>
      <c r="T50" s="28"/>
      <c r="U50" s="28"/>
      <c r="X50" s="28"/>
      <c r="Y50" s="28"/>
      <c r="Z50" s="28"/>
      <c r="AA50" s="28"/>
    </row>
    <row r="51" spans="1:27">
      <c r="A51" s="125"/>
      <c r="B51" s="305" t="s">
        <v>1215</v>
      </c>
      <c r="C51" s="126" t="s">
        <v>303</v>
      </c>
      <c r="D51" s="126" t="s">
        <v>237</v>
      </c>
      <c r="E51" s="126"/>
      <c r="F51" s="2">
        <f>IF(Investitionskosten!F53="",Investitionskosten!G53,Investitionskosten!F53)</f>
        <v>5600</v>
      </c>
      <c r="G51" s="16">
        <f>IF(Investitionskosten!H53="",Investitionskosten!I53,Investitionskosten!H53)</f>
        <v>5600</v>
      </c>
      <c r="H51" s="16">
        <f>IF(Investitionskosten!J53="",Investitionskosten!K53,Investitionskosten!J53)</f>
        <v>6100</v>
      </c>
      <c r="I51" s="16">
        <f>IF(Investitionskosten!L53="",Investitionskosten!M53,Investitionskosten!L53)</f>
        <v>6600</v>
      </c>
      <c r="J51" s="16">
        <f>IF(Investitionskosten!N53="",Investitionskosten!O53,Investitionskosten!N53)</f>
        <v>8300</v>
      </c>
      <c r="K51" s="16">
        <f>IF(Investitionskosten!P53="",Investitionskosten!Q53,Investitionskosten!P53)</f>
        <v>11200</v>
      </c>
      <c r="L51" s="16">
        <f>IF(Investitionskosten!R53="",Investitionskosten!S53,Investitionskosten!R53)</f>
        <v>15300</v>
      </c>
      <c r="M51" s="16">
        <f>IF(Investitionskosten!T53="",Investitionskosten!U53,Investitionskosten!T53)</f>
        <v>19900</v>
      </c>
      <c r="N51" s="16">
        <f>IF(Investitionskosten!V53="",Investitionskosten!W53,Investitionskosten!V53)</f>
        <v>26500</v>
      </c>
      <c r="O51" s="16">
        <f>IF(Investitionskosten!X53="",Investitionskosten!Y53,Investitionskosten!X53)</f>
        <v>38000</v>
      </c>
      <c r="P51" s="16">
        <f>IF(Investitionskosten!Z53="",Investitionskosten!AA53,Investitionskosten!Z53)</f>
        <v>50000</v>
      </c>
      <c r="Q51" s="16">
        <f>IF(Investitionskosten!AB53="",Investitionskosten!AC53,Investitionskosten!AB53)</f>
        <v>76000</v>
      </c>
      <c r="R51" s="50">
        <f>IF(Investitionskosten!AD53="",Investitionskosten!AE53,Investitionskosten!AD53)</f>
        <v>100000</v>
      </c>
      <c r="T51" s="28"/>
      <c r="V51" s="28"/>
    </row>
    <row r="52" spans="1:27">
      <c r="A52" s="125"/>
      <c r="B52" s="305" t="s">
        <v>1215</v>
      </c>
      <c r="C52" s="126" t="s">
        <v>303</v>
      </c>
      <c r="D52" s="126" t="s">
        <v>966</v>
      </c>
      <c r="E52" s="126"/>
      <c r="F52" s="2">
        <f>IF(Investitionskosten!F54="",Investitionskosten!G54,Investitionskosten!F54)</f>
        <v>8700</v>
      </c>
      <c r="G52" s="16">
        <f>IF(Investitionskosten!H54="",Investitionskosten!I54,Investitionskosten!H54)</f>
        <v>8700</v>
      </c>
      <c r="H52" s="16">
        <f>IF(Investitionskosten!J54="",Investitionskosten!K54,Investitionskosten!J54)</f>
        <v>8700</v>
      </c>
      <c r="I52" s="16">
        <f>IF(Investitionskosten!L54="",Investitionskosten!M54,Investitionskosten!L54)</f>
        <v>8700</v>
      </c>
      <c r="J52" s="16">
        <f>IF(Investitionskosten!N54="",Investitionskosten!O54,Investitionskosten!N54)</f>
        <v>8700</v>
      </c>
      <c r="K52" s="16">
        <f>IF(Investitionskosten!P54="",Investitionskosten!Q54,Investitionskosten!P54)</f>
        <v>13900</v>
      </c>
      <c r="L52" s="16">
        <f>IF(Investitionskosten!R54="",Investitionskosten!S54,Investitionskosten!R54)</f>
        <v>13900</v>
      </c>
      <c r="M52" s="16">
        <f>IF(Investitionskosten!T54="",Investitionskosten!U54,Investitionskosten!T54)</f>
        <v>17300</v>
      </c>
      <c r="N52" s="16">
        <f>IF(Investitionskosten!V54="",Investitionskosten!W54,Investitionskosten!V54)</f>
        <v>25500</v>
      </c>
      <c r="O52" s="16">
        <f>IF(Investitionskosten!X54="",Investitionskosten!Y54,Investitionskosten!X54)</f>
        <v>34000</v>
      </c>
      <c r="P52" s="16">
        <f>IF(Investitionskosten!Z54="",Investitionskosten!AA54,Investitionskosten!Z54)</f>
        <v>45000</v>
      </c>
      <c r="Q52" s="16">
        <f>IF(Investitionskosten!AB54="",Investitionskosten!AC54,Investitionskosten!AB54)</f>
        <v>68000</v>
      </c>
      <c r="R52" s="50">
        <f>IF(Investitionskosten!AD54="",Investitionskosten!AE54,Investitionskosten!AD54)</f>
        <v>75000</v>
      </c>
      <c r="T52" s="28"/>
      <c r="U52" s="28"/>
      <c r="X52" s="28"/>
      <c r="Y52" s="28"/>
      <c r="Z52" s="28"/>
      <c r="AA52" s="28"/>
    </row>
    <row r="53" spans="1:27">
      <c r="A53" s="125"/>
      <c r="B53" s="305" t="s">
        <v>1244</v>
      </c>
      <c r="C53" s="126" t="s">
        <v>1245</v>
      </c>
      <c r="D53" s="126" t="s">
        <v>206</v>
      </c>
      <c r="E53" s="126"/>
      <c r="F53" s="2">
        <f>IF(Investitionskosten!F55="",Investitionskosten!G55,Investitionskosten!F55)</f>
        <v>0</v>
      </c>
      <c r="G53" s="16">
        <f>IF(Investitionskosten!H55="",Investitionskosten!I55,Investitionskosten!H55)</f>
        <v>0</v>
      </c>
      <c r="H53" s="16">
        <f>IF(Investitionskosten!J55="",Investitionskosten!K55,Investitionskosten!J55)</f>
        <v>0</v>
      </c>
      <c r="I53" s="16">
        <f>IF(Investitionskosten!L55="",Investitionskosten!M55,Investitionskosten!L55)</f>
        <v>0</v>
      </c>
      <c r="J53" s="16">
        <f>IF(Investitionskosten!N55="",Investitionskosten!O55,Investitionskosten!N55)</f>
        <v>13300</v>
      </c>
      <c r="K53" s="16">
        <f>IF(Investitionskosten!P55="",Investitionskosten!Q55,Investitionskosten!P55)</f>
        <v>21200</v>
      </c>
      <c r="L53" s="16">
        <f>IF(Investitionskosten!R55="",Investitionskosten!S55,Investitionskosten!R55)</f>
        <v>41800</v>
      </c>
      <c r="M53" s="16">
        <f>IF(Investitionskosten!T55="",Investitionskosten!U55,Investitionskosten!T55)</f>
        <v>60200</v>
      </c>
      <c r="N53" s="16">
        <f>IF(Investitionskosten!V55="",Investitionskosten!W55,Investitionskosten!V55)</f>
        <v>76500</v>
      </c>
      <c r="O53" s="16">
        <f>IF(Investitionskosten!X55="",Investitionskosten!Y55,Investitionskosten!X55)</f>
        <v>95000</v>
      </c>
      <c r="P53" s="16">
        <f>IF(Investitionskosten!Z55="",Investitionskosten!AA55,Investitionskosten!Z55)</f>
        <v>120000</v>
      </c>
      <c r="Q53" s="16">
        <f>IF(Investitionskosten!AB55="",Investitionskosten!AC55,Investitionskosten!AB55)</f>
        <v>130000</v>
      </c>
      <c r="R53" s="50">
        <f>IF(Investitionskosten!AD55="",Investitionskosten!AE55,Investitionskosten!AD55)</f>
        <v>150000</v>
      </c>
      <c r="T53" s="28"/>
      <c r="U53" s="28"/>
      <c r="X53" s="28"/>
      <c r="Y53" s="28"/>
      <c r="Z53" s="28"/>
      <c r="AA53" s="28"/>
    </row>
    <row r="54" spans="1:27" ht="15">
      <c r="A54" s="125"/>
      <c r="B54" s="305" t="s">
        <v>1244</v>
      </c>
      <c r="C54" s="126" t="s">
        <v>1245</v>
      </c>
      <c r="D54" s="126" t="s">
        <v>967</v>
      </c>
      <c r="E54" s="126"/>
      <c r="F54" s="2">
        <f>IF(Investitionskosten!F56="",Investitionskosten!G56,Investitionskosten!F56)</f>
        <v>0</v>
      </c>
      <c r="G54" s="16">
        <f>IF(Investitionskosten!H56="",Investitionskosten!I56,Investitionskosten!H56)</f>
        <v>0</v>
      </c>
      <c r="H54" s="16">
        <f>IF(Investitionskosten!J56="",Investitionskosten!K56,Investitionskosten!J56)</f>
        <v>0</v>
      </c>
      <c r="I54" s="16">
        <f>IF(Investitionskosten!L56="",Investitionskosten!M56,Investitionskosten!L56)</f>
        <v>0</v>
      </c>
      <c r="J54" s="16">
        <f>IF(Investitionskosten!N56="",Investitionskosten!O56,Investitionskosten!N56)</f>
        <v>3400</v>
      </c>
      <c r="K54" s="16">
        <f>IF(Investitionskosten!P56="",Investitionskosten!Q56,Investitionskosten!P56)</f>
        <v>3400</v>
      </c>
      <c r="L54" s="16">
        <f>IF(Investitionskosten!R56="",Investitionskosten!S56,Investitionskosten!R56)</f>
        <v>6000</v>
      </c>
      <c r="M54" s="16">
        <f>IF(Investitionskosten!T56="",Investitionskosten!U56,Investitionskosten!T56)</f>
        <v>8000</v>
      </c>
      <c r="N54" s="16">
        <f>IF(Investitionskosten!V56="",Investitionskosten!W56,Investitionskosten!V56)</f>
        <v>12000</v>
      </c>
      <c r="O54" s="16">
        <f>IF(Investitionskosten!X56="",Investitionskosten!Y56,Investitionskosten!X56)</f>
        <v>15000</v>
      </c>
      <c r="P54" s="16">
        <f>IF(Investitionskosten!Z56="",Investitionskosten!AA56,Investitionskosten!Z56)</f>
        <v>20000</v>
      </c>
      <c r="Q54" s="16">
        <f>IF(Investitionskosten!AB56="",Investitionskosten!AC56,Investitionskosten!AB56)</f>
        <v>30000</v>
      </c>
      <c r="R54" s="50">
        <f>IF(Investitionskosten!AD56="",Investitionskosten!AE56,Investitionskosten!AD56)</f>
        <v>40000</v>
      </c>
      <c r="T54" s="21"/>
      <c r="V54" s="28"/>
    </row>
    <row r="55" spans="1:27">
      <c r="A55" s="125"/>
      <c r="B55" s="307" t="s">
        <v>1244</v>
      </c>
      <c r="C55" s="297" t="s">
        <v>1245</v>
      </c>
      <c r="D55" s="134" t="s">
        <v>359</v>
      </c>
      <c r="E55" s="134"/>
      <c r="F55" s="142">
        <f>IF(Investitionskosten!F57="",Investitionskosten!G57,Investitionskosten!F57)</f>
        <v>4500</v>
      </c>
      <c r="G55" s="93">
        <f>IF(Investitionskosten!H57="",Investitionskosten!I57,Investitionskosten!H57)</f>
        <v>4500</v>
      </c>
      <c r="H55" s="93">
        <f>IF(Investitionskosten!J57="",Investitionskosten!K57,Investitionskosten!J57)</f>
        <v>5500</v>
      </c>
      <c r="I55" s="93">
        <f>IF(Investitionskosten!L57="",Investitionskosten!M57,Investitionskosten!L57)</f>
        <v>6000</v>
      </c>
      <c r="J55" s="93">
        <f>IF(Investitionskosten!N57="",Investitionskosten!O57,Investitionskosten!N57)</f>
        <v>7000</v>
      </c>
      <c r="K55" s="93">
        <f>IF(Investitionskosten!P57="",Investitionskosten!Q57,Investitionskosten!P57)</f>
        <v>10000</v>
      </c>
      <c r="L55" s="93">
        <f>IF(Investitionskosten!R57="",Investitionskosten!S57,Investitionskosten!R57)</f>
        <v>15000</v>
      </c>
      <c r="M55" s="93">
        <f>IF(Investitionskosten!T57="",Investitionskosten!U57,Investitionskosten!T57)</f>
        <v>18000</v>
      </c>
      <c r="N55" s="93">
        <f>IF(Investitionskosten!V57="",Investitionskosten!W57,Investitionskosten!V57)</f>
        <v>20000</v>
      </c>
      <c r="O55" s="93">
        <f>IF(Investitionskosten!X57="",Investitionskosten!Y57,Investitionskosten!X57)</f>
        <v>23000</v>
      </c>
      <c r="P55" s="93">
        <f>IF(Investitionskosten!Z57="",Investitionskosten!AA57,Investitionskosten!Z57)</f>
        <v>30000</v>
      </c>
      <c r="Q55" s="93">
        <f>IF(Investitionskosten!AB57="",Investitionskosten!AC57,Investitionskosten!AB57)</f>
        <v>40000</v>
      </c>
      <c r="R55" s="92">
        <f>IF(Investitionskosten!AD57="",Investitionskosten!AE57,Investitionskosten!AD57)</f>
        <v>45000</v>
      </c>
      <c r="T55" s="28"/>
      <c r="U55" s="28"/>
      <c r="X55" s="28"/>
      <c r="Y55" s="28"/>
      <c r="Z55" s="28"/>
      <c r="AA55" s="28"/>
    </row>
    <row r="56" spans="1:27">
      <c r="A56" s="125"/>
      <c r="B56" s="64"/>
      <c r="C56" s="64"/>
      <c r="D56" s="64"/>
      <c r="E56" s="64"/>
      <c r="T56" s="28"/>
      <c r="U56" s="28"/>
      <c r="X56" s="28"/>
      <c r="Y56" s="28"/>
      <c r="Z56" s="28"/>
      <c r="AA56" s="28"/>
    </row>
    <row r="57" spans="1:27">
      <c r="A57" s="8" t="s">
        <v>1001</v>
      </c>
      <c r="B57" s="8" t="s">
        <v>143</v>
      </c>
      <c r="C57" s="124"/>
      <c r="D57" s="64"/>
      <c r="E57" s="64"/>
      <c r="T57" s="28"/>
    </row>
    <row r="58" spans="1:27">
      <c r="A58" s="125"/>
      <c r="B58" s="304" t="s">
        <v>1217</v>
      </c>
      <c r="C58" s="131" t="s">
        <v>1242</v>
      </c>
      <c r="D58" s="131" t="s">
        <v>246</v>
      </c>
      <c r="E58" s="131"/>
      <c r="F58" s="5">
        <f>IF(Investitionskosten!F60="",Investitionskosten!G60,Investitionskosten!F60)</f>
        <v>12200</v>
      </c>
      <c r="G58" s="25">
        <f>IF(Investitionskosten!H60="",Investitionskosten!I60,Investitionskosten!H60)</f>
        <v>12200</v>
      </c>
      <c r="H58" s="25">
        <f>IF(Investitionskosten!J60="",Investitionskosten!K60,Investitionskosten!J60)</f>
        <v>22400</v>
      </c>
      <c r="I58" s="25">
        <f>IF(Investitionskosten!L60="",Investitionskosten!M60,Investitionskosten!L60)</f>
        <v>41800</v>
      </c>
      <c r="J58" s="25">
        <f>IF(Investitionskosten!N60="",Investitionskosten!O60,Investitionskosten!N60)</f>
        <v>138700</v>
      </c>
      <c r="K58" s="25">
        <f>IF(Investitionskosten!P60="",Investitionskosten!Q60,Investitionskosten!P60)</f>
        <v>198900</v>
      </c>
      <c r="L58" s="25">
        <f>IF(Investitionskosten!R60="",Investitionskosten!S60,Investitionskosten!R60)</f>
        <v>387600</v>
      </c>
      <c r="M58" s="25">
        <f>IF(Investitionskosten!T60="",Investitionskosten!U60,Investitionskosten!T60)</f>
        <v>683400</v>
      </c>
      <c r="N58" s="25">
        <f>IF(Investitionskosten!V60="",Investitionskosten!W60,Investitionskosten!V60)</f>
        <v>969000</v>
      </c>
      <c r="O58" s="25">
        <f>IF(Investitionskosten!X60="",Investitionskosten!Y60,Investitionskosten!X60)</f>
        <v>1300000</v>
      </c>
      <c r="P58" s="25">
        <f>IF(Investitionskosten!Z60="",Investitionskosten!AA60,Investitionskosten!Z60)</f>
        <v>1750000</v>
      </c>
      <c r="Q58" s="25">
        <f>IF(Investitionskosten!AB60="",Investitionskosten!AC60,Investitionskosten!AB60)</f>
        <v>2550000</v>
      </c>
      <c r="R58" s="51">
        <f>IF(Investitionskosten!AD60="",Investitionskosten!AE60,Investitionskosten!AD60)</f>
        <v>3500000</v>
      </c>
      <c r="T58" s="28"/>
      <c r="U58" s="28"/>
      <c r="X58" s="28"/>
      <c r="Y58" s="28"/>
      <c r="Z58" s="28"/>
      <c r="AA58" s="28"/>
    </row>
    <row r="59" spans="1:27">
      <c r="A59" s="125"/>
      <c r="B59" s="305" t="s">
        <v>1215</v>
      </c>
      <c r="C59" s="126" t="s">
        <v>303</v>
      </c>
      <c r="D59" s="126" t="s">
        <v>235</v>
      </c>
      <c r="E59" s="126"/>
      <c r="F59" s="2">
        <f>IF(Investitionskosten!F61="",Investitionskosten!G61,Investitionskosten!F61)</f>
        <v>8800</v>
      </c>
      <c r="G59" s="16">
        <f>IF(Investitionskosten!H61="",Investitionskosten!I61,Investitionskosten!H61)</f>
        <v>8800</v>
      </c>
      <c r="H59" s="16">
        <f>IF(Investitionskosten!J61="",Investitionskosten!K61,Investitionskosten!J61)</f>
        <v>10700</v>
      </c>
      <c r="I59" s="16">
        <f>IF(Investitionskosten!L61="",Investitionskosten!M61,Investitionskosten!L61)</f>
        <v>18400</v>
      </c>
      <c r="J59" s="16">
        <f>IF(Investitionskosten!N61="",Investitionskosten!O61,Investitionskosten!N61)</f>
        <v>45900</v>
      </c>
      <c r="K59" s="16">
        <f>IF(Investitionskosten!P61="",Investitionskosten!Q61,Investitionskosten!P61)</f>
        <v>62200</v>
      </c>
      <c r="L59" s="16">
        <f>IF(Investitionskosten!R61="",Investitionskosten!S61,Investitionskosten!R61)</f>
        <v>79600</v>
      </c>
      <c r="M59" s="16">
        <f>IF(Investitionskosten!T61="",Investitionskosten!U61,Investitionskosten!T61)</f>
        <v>142800</v>
      </c>
      <c r="N59" s="16">
        <f>IF(Investitionskosten!V61="",Investitionskosten!W61,Investitionskosten!V61)</f>
        <v>183600</v>
      </c>
      <c r="O59" s="16">
        <f>IF(Investitionskosten!X61="",Investitionskosten!Y61,Investitionskosten!X61)</f>
        <v>375000</v>
      </c>
      <c r="P59" s="16">
        <f>IF(Investitionskosten!Z61="",Investitionskosten!AA61,Investitionskosten!Z61)</f>
        <v>550000</v>
      </c>
      <c r="Q59" s="16">
        <f>IF(Investitionskosten!AB61="",Investitionskosten!AC61,Investitionskosten!AB61)</f>
        <v>750000</v>
      </c>
      <c r="R59" s="50">
        <f>IF(Investitionskosten!AD61="",Investitionskosten!AE61,Investitionskosten!AD61)</f>
        <v>1000000</v>
      </c>
      <c r="T59" s="28"/>
      <c r="U59" s="28"/>
      <c r="X59" s="28"/>
      <c r="Y59" s="28"/>
      <c r="Z59" s="28"/>
      <c r="AA59" s="28"/>
    </row>
    <row r="60" spans="1:27">
      <c r="A60" s="125"/>
      <c r="B60" s="305" t="s">
        <v>1215</v>
      </c>
      <c r="C60" s="126" t="s">
        <v>303</v>
      </c>
      <c r="D60" s="126" t="s">
        <v>965</v>
      </c>
      <c r="E60" s="126"/>
      <c r="F60" s="2">
        <f>IF(Investitionskosten!F62="",Investitionskosten!G62,Investitionskosten!F62)</f>
        <v>3600</v>
      </c>
      <c r="G60" s="16">
        <f>IF(Investitionskosten!H62="",Investitionskosten!I62,Investitionskosten!H62)</f>
        <v>3600</v>
      </c>
      <c r="H60" s="16">
        <f>IF(Investitionskosten!J62="",Investitionskosten!K62,Investitionskosten!J62)</f>
        <v>4600</v>
      </c>
      <c r="I60" s="16">
        <f>IF(Investitionskosten!L62="",Investitionskosten!M62,Investitionskosten!L62)</f>
        <v>4600</v>
      </c>
      <c r="J60" s="16">
        <f>IF(Investitionskosten!N62="",Investitionskosten!O62,Investitionskosten!N62)</f>
        <v>5100</v>
      </c>
      <c r="K60" s="16">
        <f>IF(Investitionskosten!P62="",Investitionskosten!Q62,Investitionskosten!P62)</f>
        <v>5600</v>
      </c>
      <c r="L60" s="16">
        <f>IF(Investitionskosten!R62="",Investitionskosten!S62,Investitionskosten!R62)</f>
        <v>6600</v>
      </c>
      <c r="M60" s="16">
        <f>IF(Investitionskosten!T62="",Investitionskosten!U62,Investitionskosten!T62)</f>
        <v>7700</v>
      </c>
      <c r="N60" s="16">
        <f>IF(Investitionskosten!V62="",Investitionskosten!W62,Investitionskosten!V62)</f>
        <v>9400</v>
      </c>
      <c r="O60" s="16">
        <f>IF(Investitionskosten!X62="",Investitionskosten!Y62,Investitionskosten!X62)</f>
        <v>12000</v>
      </c>
      <c r="P60" s="16">
        <f>IF(Investitionskosten!Z62="",Investitionskosten!AA62,Investitionskosten!Z62)</f>
        <v>15000</v>
      </c>
      <c r="Q60" s="16">
        <f>IF(Investitionskosten!AB62="",Investitionskosten!AC62,Investitionskosten!AB62)</f>
        <v>24000</v>
      </c>
      <c r="R60" s="50">
        <f>IF(Investitionskosten!AD62="",Investitionskosten!AE62,Investitionskosten!AD62)</f>
        <v>30000</v>
      </c>
      <c r="T60" s="28"/>
      <c r="U60" s="28"/>
      <c r="X60" s="28"/>
      <c r="Y60" s="28"/>
      <c r="Z60" s="28"/>
      <c r="AA60" s="28"/>
    </row>
    <row r="61" spans="1:27">
      <c r="A61" s="125"/>
      <c r="B61" s="305" t="s">
        <v>1218</v>
      </c>
      <c r="C61" s="126" t="s">
        <v>1243</v>
      </c>
      <c r="D61" s="126" t="s">
        <v>231</v>
      </c>
      <c r="E61" s="126"/>
      <c r="F61" s="2">
        <f>IF(Investitionskosten!F63="",Investitionskosten!G63,Investitionskosten!F63)</f>
        <v>1500</v>
      </c>
      <c r="G61" s="16">
        <f>IF(Investitionskosten!H63="",Investitionskosten!I63,Investitionskosten!H63)</f>
        <v>1500</v>
      </c>
      <c r="H61" s="16">
        <f>IF(Investitionskosten!J63="",Investitionskosten!K63,Investitionskosten!J63)</f>
        <v>2000</v>
      </c>
      <c r="I61" s="16">
        <f>IF(Investitionskosten!L63="",Investitionskosten!M63,Investitionskosten!L63)</f>
        <v>2500</v>
      </c>
      <c r="J61" s="16">
        <f>IF(Investitionskosten!N63="",Investitionskosten!O63,Investitionskosten!N63)</f>
        <v>4000</v>
      </c>
      <c r="K61" s="16">
        <f>IF(Investitionskosten!P63="",Investitionskosten!Q63,Investitionskosten!P63)</f>
        <v>4500</v>
      </c>
      <c r="L61" s="16">
        <f>IF(Investitionskosten!R63="",Investitionskosten!S63,Investitionskosten!R63)</f>
        <v>4600</v>
      </c>
      <c r="M61" s="16">
        <f>IF(Investitionskosten!T63="",Investitionskosten!U63,Investitionskosten!T63)</f>
        <v>6100</v>
      </c>
      <c r="N61" s="16">
        <f>IF(Investitionskosten!V63="",Investitionskosten!W63,Investitionskosten!V63)</f>
        <v>8200</v>
      </c>
      <c r="O61" s="16">
        <f>IF(Investitionskosten!X63="",Investitionskosten!Y63,Investitionskosten!X63)</f>
        <v>6800</v>
      </c>
      <c r="P61" s="16">
        <f>IF(Investitionskosten!Z63="",Investitionskosten!AA63,Investitionskosten!Z63)</f>
        <v>10200</v>
      </c>
      <c r="Q61" s="16">
        <f>IF(Investitionskosten!AB63="",Investitionskosten!AC63,Investitionskosten!AB63)</f>
        <v>13600</v>
      </c>
      <c r="R61" s="50">
        <f>IF(Investitionskosten!AD63="",Investitionskosten!AE63,Investitionskosten!AD63)</f>
        <v>20000</v>
      </c>
      <c r="T61" s="28"/>
      <c r="U61" s="28"/>
      <c r="X61" s="28"/>
      <c r="Y61" s="28"/>
      <c r="Z61" s="28"/>
      <c r="AA61" s="28"/>
    </row>
    <row r="62" spans="1:27">
      <c r="A62" s="125"/>
      <c r="B62" s="305" t="s">
        <v>1215</v>
      </c>
      <c r="C62" s="126" t="s">
        <v>303</v>
      </c>
      <c r="D62" s="126" t="s">
        <v>966</v>
      </c>
      <c r="E62" s="126"/>
      <c r="F62" s="2">
        <f>IF(Investitionskosten!F64="",Investitionskosten!G64,Investitionskosten!F64)</f>
        <v>8700</v>
      </c>
      <c r="G62" s="16">
        <f>IF(Investitionskosten!H64="",Investitionskosten!I64,Investitionskosten!H64)</f>
        <v>8700</v>
      </c>
      <c r="H62" s="16">
        <f>IF(Investitionskosten!J64="",Investitionskosten!K64,Investitionskosten!J64)</f>
        <v>8700</v>
      </c>
      <c r="I62" s="16">
        <f>IF(Investitionskosten!L64="",Investitionskosten!M64,Investitionskosten!L64)</f>
        <v>8700</v>
      </c>
      <c r="J62" s="16">
        <f>IF(Investitionskosten!N64="",Investitionskosten!O64,Investitionskosten!N64)</f>
        <v>8700</v>
      </c>
      <c r="K62" s="16">
        <f>IF(Investitionskosten!P64="",Investitionskosten!Q64,Investitionskosten!P64)</f>
        <v>13900</v>
      </c>
      <c r="L62" s="16">
        <f>IF(Investitionskosten!R64="",Investitionskosten!S64,Investitionskosten!R64)</f>
        <v>13900</v>
      </c>
      <c r="M62" s="16">
        <f>IF(Investitionskosten!T64="",Investitionskosten!U64,Investitionskosten!T64)</f>
        <v>17300</v>
      </c>
      <c r="N62" s="16">
        <f>IF(Investitionskosten!V64="",Investitionskosten!W64,Investitionskosten!V64)</f>
        <v>25500</v>
      </c>
      <c r="O62" s="16">
        <f>IF(Investitionskosten!X64="",Investitionskosten!Y64,Investitionskosten!X64)</f>
        <v>34000</v>
      </c>
      <c r="P62" s="16">
        <f>IF(Investitionskosten!Z64="",Investitionskosten!AA64,Investitionskosten!Z64)</f>
        <v>45000</v>
      </c>
      <c r="Q62" s="16">
        <f>IF(Investitionskosten!AB64="",Investitionskosten!AC64,Investitionskosten!AB64)</f>
        <v>68000</v>
      </c>
      <c r="R62" s="50">
        <f>IF(Investitionskosten!AD64="",Investitionskosten!AE64,Investitionskosten!AD64)</f>
        <v>75000</v>
      </c>
      <c r="T62" s="28"/>
      <c r="V62" s="28"/>
      <c r="X62" s="28"/>
    </row>
    <row r="63" spans="1:27">
      <c r="A63" s="125"/>
      <c r="B63" s="305" t="s">
        <v>1244</v>
      </c>
      <c r="C63" s="126" t="s">
        <v>1245</v>
      </c>
      <c r="D63" s="126" t="s">
        <v>206</v>
      </c>
      <c r="E63" s="126"/>
      <c r="F63" s="2">
        <f>IF(Investitionskosten!F65="",Investitionskosten!G65,Investitionskosten!F65)</f>
        <v>0</v>
      </c>
      <c r="G63" s="16">
        <f>IF(Investitionskosten!H65="",Investitionskosten!I65,Investitionskosten!H65)</f>
        <v>0</v>
      </c>
      <c r="H63" s="16">
        <f>IF(Investitionskosten!J65="",Investitionskosten!K65,Investitionskosten!J65)</f>
        <v>0</v>
      </c>
      <c r="I63" s="16">
        <f>IF(Investitionskosten!L65="",Investitionskosten!M65,Investitionskosten!L65)</f>
        <v>0</v>
      </c>
      <c r="J63" s="16">
        <f>IF(Investitionskosten!N65="",Investitionskosten!O65,Investitionskosten!N65)</f>
        <v>13300</v>
      </c>
      <c r="K63" s="16">
        <f>IF(Investitionskosten!P65="",Investitionskosten!Q65,Investitionskosten!P65)</f>
        <v>21200</v>
      </c>
      <c r="L63" s="16">
        <f>IF(Investitionskosten!R65="",Investitionskosten!S65,Investitionskosten!R65)</f>
        <v>41800</v>
      </c>
      <c r="M63" s="16">
        <f>IF(Investitionskosten!T65="",Investitionskosten!U65,Investitionskosten!T65)</f>
        <v>60200</v>
      </c>
      <c r="N63" s="16">
        <f>IF(Investitionskosten!V65="",Investitionskosten!W65,Investitionskosten!V65)</f>
        <v>76500</v>
      </c>
      <c r="O63" s="16">
        <f>IF(Investitionskosten!X65="",Investitionskosten!Y65,Investitionskosten!X65)</f>
        <v>95000</v>
      </c>
      <c r="P63" s="16">
        <f>IF(Investitionskosten!Z65="",Investitionskosten!AA65,Investitionskosten!Z65)</f>
        <v>120000</v>
      </c>
      <c r="Q63" s="16">
        <f>IF(Investitionskosten!AB65="",Investitionskosten!AC65,Investitionskosten!AB65)</f>
        <v>130000</v>
      </c>
      <c r="R63" s="50">
        <f>IF(Investitionskosten!AD65="",Investitionskosten!AE65,Investitionskosten!AD65)</f>
        <v>150000</v>
      </c>
      <c r="T63" s="28"/>
      <c r="V63" s="28"/>
    </row>
    <row r="64" spans="1:27">
      <c r="A64" s="125"/>
      <c r="B64" s="305" t="s">
        <v>1244</v>
      </c>
      <c r="C64" s="126" t="s">
        <v>1245</v>
      </c>
      <c r="D64" s="126" t="s">
        <v>967</v>
      </c>
      <c r="E64" s="126"/>
      <c r="F64" s="2">
        <f>IF(Investitionskosten!F66="",Investitionskosten!G66,Investitionskosten!F66)</f>
        <v>0</v>
      </c>
      <c r="G64" s="16">
        <f>IF(Investitionskosten!H66="",Investitionskosten!I66,Investitionskosten!H66)</f>
        <v>0</v>
      </c>
      <c r="H64" s="16">
        <f>IF(Investitionskosten!J66="",Investitionskosten!K66,Investitionskosten!J66)</f>
        <v>0</v>
      </c>
      <c r="I64" s="16">
        <f>IF(Investitionskosten!L66="",Investitionskosten!M66,Investitionskosten!L66)</f>
        <v>0</v>
      </c>
      <c r="J64" s="16">
        <f>IF(Investitionskosten!N66="",Investitionskosten!O66,Investitionskosten!N66)</f>
        <v>3400</v>
      </c>
      <c r="K64" s="16">
        <f>IF(Investitionskosten!P66="",Investitionskosten!Q66,Investitionskosten!P66)</f>
        <v>3400</v>
      </c>
      <c r="L64" s="16">
        <f>IF(Investitionskosten!R66="",Investitionskosten!S66,Investitionskosten!R66)</f>
        <v>6000</v>
      </c>
      <c r="M64" s="16">
        <f>IF(Investitionskosten!T66="",Investitionskosten!U66,Investitionskosten!T66)</f>
        <v>8000</v>
      </c>
      <c r="N64" s="16">
        <f>IF(Investitionskosten!V66="",Investitionskosten!W66,Investitionskosten!V66)</f>
        <v>12000</v>
      </c>
      <c r="O64" s="16">
        <f>IF(Investitionskosten!X66="",Investitionskosten!Y66,Investitionskosten!X66)</f>
        <v>15000</v>
      </c>
      <c r="P64" s="16">
        <f>IF(Investitionskosten!Z66="",Investitionskosten!AA66,Investitionskosten!Z66)</f>
        <v>20000</v>
      </c>
      <c r="Q64" s="16">
        <f>IF(Investitionskosten!AB66="",Investitionskosten!AC66,Investitionskosten!AB66)</f>
        <v>30000</v>
      </c>
      <c r="R64" s="50">
        <f>IF(Investitionskosten!AD66="",Investitionskosten!AE66,Investitionskosten!AD66)</f>
        <v>40000</v>
      </c>
      <c r="T64" s="28"/>
      <c r="V64" s="28"/>
    </row>
    <row r="65" spans="1:22">
      <c r="A65" s="125"/>
      <c r="B65" s="307" t="s">
        <v>1244</v>
      </c>
      <c r="C65" s="297" t="s">
        <v>1245</v>
      </c>
      <c r="D65" s="134" t="s">
        <v>359</v>
      </c>
      <c r="E65" s="134"/>
      <c r="F65" s="142">
        <f>IF(Investitionskosten!F67="",Investitionskosten!G67,Investitionskosten!F67)</f>
        <v>4500</v>
      </c>
      <c r="G65" s="93">
        <f>IF(Investitionskosten!H67="",Investitionskosten!I67,Investitionskosten!H67)</f>
        <v>4500</v>
      </c>
      <c r="H65" s="93">
        <f>IF(Investitionskosten!J67="",Investitionskosten!K67,Investitionskosten!J67)</f>
        <v>5500</v>
      </c>
      <c r="I65" s="93">
        <f>IF(Investitionskosten!L67="",Investitionskosten!M67,Investitionskosten!L67)</f>
        <v>6000</v>
      </c>
      <c r="J65" s="93">
        <f>IF(Investitionskosten!N67="",Investitionskosten!O67,Investitionskosten!N67)</f>
        <v>7000</v>
      </c>
      <c r="K65" s="93">
        <f>IF(Investitionskosten!P67="",Investitionskosten!Q67,Investitionskosten!P67)</f>
        <v>10000</v>
      </c>
      <c r="L65" s="93">
        <f>IF(Investitionskosten!R67="",Investitionskosten!S67,Investitionskosten!R67)</f>
        <v>15000</v>
      </c>
      <c r="M65" s="93">
        <f>IF(Investitionskosten!T67="",Investitionskosten!U67,Investitionskosten!T67)</f>
        <v>18000</v>
      </c>
      <c r="N65" s="93">
        <f>IF(Investitionskosten!V67="",Investitionskosten!W67,Investitionskosten!V67)</f>
        <v>20000</v>
      </c>
      <c r="O65" s="93">
        <f>IF(Investitionskosten!X67="",Investitionskosten!Y67,Investitionskosten!X67)</f>
        <v>23000</v>
      </c>
      <c r="P65" s="93">
        <f>IF(Investitionskosten!Z67="",Investitionskosten!AA67,Investitionskosten!Z67)</f>
        <v>30000</v>
      </c>
      <c r="Q65" s="93">
        <f>IF(Investitionskosten!AB67="",Investitionskosten!AC67,Investitionskosten!AB67)</f>
        <v>40000</v>
      </c>
      <c r="R65" s="92">
        <f>IF(Investitionskosten!AD67="",Investitionskosten!AE67,Investitionskosten!AD67)</f>
        <v>45000</v>
      </c>
      <c r="T65" s="28"/>
      <c r="V65" s="28"/>
    </row>
    <row r="66" spans="1:22">
      <c r="A66" s="125"/>
      <c r="B66" s="64"/>
      <c r="C66" s="64"/>
      <c r="D66" s="64"/>
      <c r="E66" s="64"/>
      <c r="T66" s="28"/>
      <c r="V66" s="28"/>
    </row>
    <row r="67" spans="1:22">
      <c r="A67" s="8" t="s">
        <v>1002</v>
      </c>
      <c r="B67" s="8" t="s">
        <v>1810</v>
      </c>
      <c r="C67" s="124"/>
      <c r="D67" s="64"/>
      <c r="E67" s="64"/>
      <c r="T67" s="28"/>
      <c r="V67" s="28"/>
    </row>
    <row r="68" spans="1:22">
      <c r="A68" s="125"/>
      <c r="B68" s="304" t="s">
        <v>1217</v>
      </c>
      <c r="C68" s="131" t="s">
        <v>1242</v>
      </c>
      <c r="D68" s="131" t="s">
        <v>1811</v>
      </c>
      <c r="E68" s="131"/>
      <c r="F68" s="5">
        <f>IF(Investitionskosten!F70="",Investitionskosten!G70,Investitionskosten!F70)</f>
        <v>20800</v>
      </c>
      <c r="G68" s="25">
        <f>IF(Investitionskosten!H70="",Investitionskosten!I70,Investitionskosten!H70)</f>
        <v>20800</v>
      </c>
      <c r="H68" s="25">
        <f>IF(Investitionskosten!J70="",Investitionskosten!K70,Investitionskosten!J70)</f>
        <v>20800</v>
      </c>
      <c r="I68" s="25">
        <f>IF(Investitionskosten!L70="",Investitionskosten!M70,Investitionskosten!L70)</f>
        <v>24100</v>
      </c>
      <c r="J68" s="25">
        <f>IF(Investitionskosten!N70="",Investitionskosten!O70,Investitionskosten!N70)</f>
        <v>63000</v>
      </c>
      <c r="K68" s="25">
        <f>IF(Investitionskosten!P70="",Investitionskosten!Q70,Investitionskosten!P70)</f>
        <v>71100</v>
      </c>
      <c r="L68" s="25">
        <f>IF(Investitionskosten!R70="",Investitionskosten!S70,Investitionskosten!R70)</f>
        <v>142200</v>
      </c>
      <c r="M68" s="25">
        <f>IF(Investitionskosten!T70="",Investitionskosten!U70,Investitionskosten!T70)</f>
        <v>284400</v>
      </c>
      <c r="N68" s="25">
        <f>IF(Investitionskosten!V70="",Investitionskosten!W70,Investitionskosten!V70)</f>
        <v>355500</v>
      </c>
      <c r="O68" s="25">
        <f>IF(Investitionskosten!X70="",Investitionskosten!Y70,Investitionskosten!X70)</f>
        <v>497700</v>
      </c>
      <c r="P68" s="25">
        <f>IF(Investitionskosten!Z70="",Investitionskosten!AA70,Investitionskosten!Z70)</f>
        <v>639900</v>
      </c>
      <c r="Q68" s="25">
        <f>IF(Investitionskosten!AB70="",Investitionskosten!AC70,Investitionskosten!AB70)</f>
        <v>995400</v>
      </c>
      <c r="R68" s="51">
        <f>IF(Investitionskosten!AD70="",Investitionskosten!AE70,Investitionskosten!AD70)</f>
        <v>1279800</v>
      </c>
      <c r="T68" s="28"/>
      <c r="V68" s="28"/>
    </row>
    <row r="69" spans="1:22">
      <c r="A69" s="125"/>
      <c r="B69" s="305" t="s">
        <v>1215</v>
      </c>
      <c r="C69" s="126" t="s">
        <v>303</v>
      </c>
      <c r="D69" s="126" t="s">
        <v>235</v>
      </c>
      <c r="E69" s="126"/>
      <c r="F69" s="2">
        <f>IF(Investitionskosten!F71="",Investitionskosten!G71,Investitionskosten!F71)</f>
        <v>15200</v>
      </c>
      <c r="G69" s="16">
        <f>IF(Investitionskosten!H71="",Investitionskosten!I71,Investitionskosten!H71)</f>
        <v>15200</v>
      </c>
      <c r="H69" s="16">
        <f>IF(Investitionskosten!J71="",Investitionskosten!K71,Investitionskosten!J71)</f>
        <v>15200</v>
      </c>
      <c r="I69" s="16">
        <f>IF(Investitionskosten!L71="",Investitionskosten!M71,Investitionskosten!L71)</f>
        <v>22500</v>
      </c>
      <c r="J69" s="16">
        <f>IF(Investitionskosten!N71="",Investitionskosten!O71,Investitionskosten!N71)</f>
        <v>71000</v>
      </c>
      <c r="K69" s="16">
        <f>IF(Investitionskosten!P71="",Investitionskosten!Q71,Investitionskosten!P71)</f>
        <v>80000</v>
      </c>
      <c r="L69" s="16">
        <f>IF(Investitionskosten!R71="",Investitionskosten!S71,Investitionskosten!R71)</f>
        <v>160000</v>
      </c>
      <c r="M69" s="16">
        <f>IF(Investitionskosten!T71="",Investitionskosten!U71,Investitionskosten!T71)</f>
        <v>280000</v>
      </c>
      <c r="N69" s="16">
        <f>IF(Investitionskosten!V71="",Investitionskosten!W71,Investitionskosten!V71)</f>
        <v>400000</v>
      </c>
      <c r="O69" s="16">
        <f>IF(Investitionskosten!X71="",Investitionskosten!Y71,Investitionskosten!X71)</f>
        <v>600000</v>
      </c>
      <c r="P69" s="16">
        <f>IF(Investitionskosten!Z71="",Investitionskosten!AA71,Investitionskosten!Z71)</f>
        <v>800000</v>
      </c>
      <c r="Q69" s="16">
        <f>IF(Investitionskosten!AB71="",Investitionskosten!AC71,Investitionskosten!AB71)</f>
        <v>1160000</v>
      </c>
      <c r="R69" s="50">
        <f>IF(Investitionskosten!AD71="",Investitionskosten!AE71,Investitionskosten!AD71)</f>
        <v>1560000</v>
      </c>
      <c r="T69" s="28"/>
      <c r="V69" s="28"/>
    </row>
    <row r="70" spans="1:22">
      <c r="A70" s="125"/>
      <c r="B70" s="305" t="s">
        <v>1215</v>
      </c>
      <c r="C70" s="126" t="s">
        <v>303</v>
      </c>
      <c r="D70" s="126" t="s">
        <v>965</v>
      </c>
      <c r="E70" s="126"/>
      <c r="F70" s="2">
        <f>IF(Investitionskosten!F72="",Investitionskosten!G72,Investitionskosten!F72)</f>
        <v>3600</v>
      </c>
      <c r="G70" s="16">
        <f>IF(Investitionskosten!H72="",Investitionskosten!I72,Investitionskosten!H72)</f>
        <v>3600</v>
      </c>
      <c r="H70" s="16">
        <f>IF(Investitionskosten!J72="",Investitionskosten!K72,Investitionskosten!J72)</f>
        <v>4600</v>
      </c>
      <c r="I70" s="16">
        <f>IF(Investitionskosten!L72="",Investitionskosten!M72,Investitionskosten!L72)</f>
        <v>4600</v>
      </c>
      <c r="J70" s="16">
        <f>IF(Investitionskosten!N72="",Investitionskosten!O72,Investitionskosten!N72)</f>
        <v>5100</v>
      </c>
      <c r="K70" s="16">
        <f>IF(Investitionskosten!P72="",Investitionskosten!Q72,Investitionskosten!P72)</f>
        <v>32000</v>
      </c>
      <c r="L70" s="16">
        <f>IF(Investitionskosten!R72="",Investitionskosten!S72,Investitionskosten!R72)</f>
        <v>40000</v>
      </c>
      <c r="M70" s="16">
        <f>IF(Investitionskosten!T72="",Investitionskosten!U72,Investitionskosten!T72)</f>
        <v>62000</v>
      </c>
      <c r="N70" s="16">
        <f>IF(Investitionskosten!V72="",Investitionskosten!W72,Investitionskosten!V72)</f>
        <v>118000</v>
      </c>
      <c r="O70" s="16">
        <f>IF(Investitionskosten!X72="",Investitionskosten!Y72,Investitionskosten!X72)</f>
        <v>175000</v>
      </c>
      <c r="P70" s="16">
        <f>IF(Investitionskosten!Z72="",Investitionskosten!AA72,Investitionskosten!Z72)</f>
        <v>234000</v>
      </c>
      <c r="Q70" s="16">
        <f>IF(Investitionskosten!AB72="",Investitionskosten!AC72,Investitionskosten!AB72)</f>
        <v>254000</v>
      </c>
      <c r="R70" s="50">
        <f>IF(Investitionskosten!AD72="",Investitionskosten!AE72,Investitionskosten!AD72)</f>
        <v>330000</v>
      </c>
      <c r="T70" s="28"/>
      <c r="V70" s="28"/>
    </row>
    <row r="71" spans="1:22">
      <c r="A71" s="125"/>
      <c r="B71" s="305" t="s">
        <v>1218</v>
      </c>
      <c r="C71" s="126" t="s">
        <v>1243</v>
      </c>
      <c r="D71" s="126" t="s">
        <v>231</v>
      </c>
      <c r="E71" s="126"/>
      <c r="F71" s="2">
        <f>IF(Investitionskosten!F73="",Investitionskosten!G73,Investitionskosten!F73)</f>
        <v>1500</v>
      </c>
      <c r="G71" s="16">
        <f>IF(Investitionskosten!H73="",Investitionskosten!I73,Investitionskosten!H73)</f>
        <v>1500</v>
      </c>
      <c r="H71" s="16">
        <f>IF(Investitionskosten!J73="",Investitionskosten!K73,Investitionskosten!J73)</f>
        <v>2000</v>
      </c>
      <c r="I71" s="16">
        <f>IF(Investitionskosten!L73="",Investitionskosten!M73,Investitionskosten!L73)</f>
        <v>2500</v>
      </c>
      <c r="J71" s="16">
        <f>IF(Investitionskosten!N73="",Investitionskosten!O73,Investitionskosten!N73)</f>
        <v>4000</v>
      </c>
      <c r="K71" s="16">
        <f>IF(Investitionskosten!P73="",Investitionskosten!Q73,Investitionskosten!P73)</f>
        <v>4500</v>
      </c>
      <c r="L71" s="16">
        <f>IF(Investitionskosten!R73="",Investitionskosten!S73,Investitionskosten!R73)</f>
        <v>4600</v>
      </c>
      <c r="M71" s="16">
        <f>IF(Investitionskosten!T73="",Investitionskosten!U73,Investitionskosten!T73)</f>
        <v>6100</v>
      </c>
      <c r="N71" s="16">
        <f>IF(Investitionskosten!V73="",Investitionskosten!W73,Investitionskosten!V73)</f>
        <v>8200</v>
      </c>
      <c r="O71" s="16">
        <f>IF(Investitionskosten!X73="",Investitionskosten!Y73,Investitionskosten!X73)</f>
        <v>6800</v>
      </c>
      <c r="P71" s="16">
        <f>IF(Investitionskosten!Z73="",Investitionskosten!AA73,Investitionskosten!Z73)</f>
        <v>10200</v>
      </c>
      <c r="Q71" s="16">
        <f>IF(Investitionskosten!AB73="",Investitionskosten!AC73,Investitionskosten!AB73)</f>
        <v>13600</v>
      </c>
      <c r="R71" s="50">
        <f>IF(Investitionskosten!AD73="",Investitionskosten!AE73,Investitionskosten!AD73)</f>
        <v>20000</v>
      </c>
      <c r="T71" s="28"/>
      <c r="V71" s="28"/>
    </row>
    <row r="72" spans="1:22">
      <c r="A72" s="125"/>
      <c r="B72" s="305" t="s">
        <v>1215</v>
      </c>
      <c r="C72" s="126" t="s">
        <v>303</v>
      </c>
      <c r="D72" s="126" t="s">
        <v>966</v>
      </c>
      <c r="E72" s="126"/>
      <c r="F72" s="2">
        <f>IF(Investitionskosten!F74="",Investitionskosten!G74,Investitionskosten!F74)</f>
        <v>16500</v>
      </c>
      <c r="G72" s="16">
        <f>IF(Investitionskosten!H74="",Investitionskosten!I74,Investitionskosten!H74)</f>
        <v>16500</v>
      </c>
      <c r="H72" s="16">
        <f>IF(Investitionskosten!J74="",Investitionskosten!K74,Investitionskosten!J74)</f>
        <v>16500</v>
      </c>
      <c r="I72" s="16">
        <f>IF(Investitionskosten!L74="",Investitionskosten!M74,Investitionskosten!L74)</f>
        <v>16500</v>
      </c>
      <c r="J72" s="16">
        <f>IF(Investitionskosten!N74="",Investitionskosten!O74,Investitionskosten!N74)</f>
        <v>16500</v>
      </c>
      <c r="K72" s="16">
        <f>IF(Investitionskosten!P74="",Investitionskosten!Q74,Investitionskosten!P74)</f>
        <v>21900</v>
      </c>
      <c r="L72" s="16">
        <f>IF(Investitionskosten!R74="",Investitionskosten!S74,Investitionskosten!R74)</f>
        <v>29900</v>
      </c>
      <c r="M72" s="16">
        <f>IF(Investitionskosten!T74="",Investitionskosten!U74,Investitionskosten!T74)</f>
        <v>49300</v>
      </c>
      <c r="N72" s="16">
        <f>IF(Investitionskosten!V74="",Investitionskosten!W74,Investitionskosten!V74)</f>
        <v>65500</v>
      </c>
      <c r="O72" s="16">
        <f>IF(Investitionskosten!X74="",Investitionskosten!Y74,Investitionskosten!X74)</f>
        <v>90000</v>
      </c>
      <c r="P72" s="16">
        <f>IF(Investitionskosten!Z74="",Investitionskosten!AA74,Investitionskosten!Z74)</f>
        <v>117000</v>
      </c>
      <c r="Q72" s="16">
        <f>IF(Investitionskosten!AB74="",Investitionskosten!AC74,Investitionskosten!AB74)</f>
        <v>180000</v>
      </c>
      <c r="R72" s="50">
        <f>IF(Investitionskosten!AD74="",Investitionskosten!AE74,Investitionskosten!AD74)</f>
        <v>450000</v>
      </c>
      <c r="T72" s="28"/>
      <c r="V72" s="28"/>
    </row>
    <row r="73" spans="1:22">
      <c r="A73" s="125"/>
      <c r="B73" s="305" t="s">
        <v>1244</v>
      </c>
      <c r="C73" s="126" t="s">
        <v>1245</v>
      </c>
      <c r="D73" s="126" t="s">
        <v>206</v>
      </c>
      <c r="E73" s="126"/>
      <c r="F73" s="2">
        <f>IF(Investitionskosten!F75="",Investitionskosten!G75,Investitionskosten!F75)</f>
        <v>0</v>
      </c>
      <c r="G73" s="16">
        <f>IF(Investitionskosten!H75="",Investitionskosten!I75,Investitionskosten!H75)</f>
        <v>0</v>
      </c>
      <c r="H73" s="16">
        <f>IF(Investitionskosten!J75="",Investitionskosten!K75,Investitionskosten!J75)</f>
        <v>0</v>
      </c>
      <c r="I73" s="16">
        <f>IF(Investitionskosten!L75="",Investitionskosten!M75,Investitionskosten!L75)</f>
        <v>0</v>
      </c>
      <c r="J73" s="16">
        <f>IF(Investitionskosten!N75="",Investitionskosten!O75,Investitionskosten!N75)</f>
        <v>13300</v>
      </c>
      <c r="K73" s="16">
        <f>IF(Investitionskosten!P75="",Investitionskosten!Q75,Investitionskosten!P75)</f>
        <v>21200</v>
      </c>
      <c r="L73" s="16">
        <f>IF(Investitionskosten!R75="",Investitionskosten!S75,Investitionskosten!R75)</f>
        <v>41800</v>
      </c>
      <c r="M73" s="16">
        <f>IF(Investitionskosten!T75="",Investitionskosten!U75,Investitionskosten!T75)</f>
        <v>60200</v>
      </c>
      <c r="N73" s="16">
        <f>IF(Investitionskosten!V75="",Investitionskosten!W75,Investitionskosten!V75)</f>
        <v>76500</v>
      </c>
      <c r="O73" s="16">
        <f>IF(Investitionskosten!X75="",Investitionskosten!Y75,Investitionskosten!X75)</f>
        <v>95000</v>
      </c>
      <c r="P73" s="16">
        <f>IF(Investitionskosten!Z75="",Investitionskosten!AA75,Investitionskosten!Z75)</f>
        <v>120000</v>
      </c>
      <c r="Q73" s="16">
        <f>IF(Investitionskosten!AB75="",Investitionskosten!AC75,Investitionskosten!AB75)</f>
        <v>130000</v>
      </c>
      <c r="R73" s="50">
        <f>IF(Investitionskosten!AD75="",Investitionskosten!AE75,Investitionskosten!AD75)</f>
        <v>150000</v>
      </c>
      <c r="T73" s="28"/>
      <c r="V73" s="28"/>
    </row>
    <row r="74" spans="1:22">
      <c r="A74" s="125"/>
      <c r="B74" s="305" t="s">
        <v>1244</v>
      </c>
      <c r="C74" s="126" t="s">
        <v>1245</v>
      </c>
      <c r="D74" s="126" t="s">
        <v>967</v>
      </c>
      <c r="E74" s="126"/>
      <c r="F74" s="2">
        <f>IF(Investitionskosten!F76="",Investitionskosten!G76,Investitionskosten!F76)</f>
        <v>0</v>
      </c>
      <c r="G74" s="16">
        <f>IF(Investitionskosten!H76="",Investitionskosten!I76,Investitionskosten!H76)</f>
        <v>0</v>
      </c>
      <c r="H74" s="16">
        <f>IF(Investitionskosten!J76="",Investitionskosten!K76,Investitionskosten!J76)</f>
        <v>0</v>
      </c>
      <c r="I74" s="16">
        <f>IF(Investitionskosten!L76="",Investitionskosten!M76,Investitionskosten!L76)</f>
        <v>0</v>
      </c>
      <c r="J74" s="16">
        <f>IF(Investitionskosten!N76="",Investitionskosten!O76,Investitionskosten!N76)</f>
        <v>3400</v>
      </c>
      <c r="K74" s="16">
        <f>IF(Investitionskosten!P76="",Investitionskosten!Q76,Investitionskosten!P76)</f>
        <v>3400</v>
      </c>
      <c r="L74" s="16">
        <f>IF(Investitionskosten!R76="",Investitionskosten!S76,Investitionskosten!R76)</f>
        <v>6000</v>
      </c>
      <c r="M74" s="16">
        <f>IF(Investitionskosten!T76="",Investitionskosten!U76,Investitionskosten!T76)</f>
        <v>8000</v>
      </c>
      <c r="N74" s="16">
        <f>IF(Investitionskosten!V76="",Investitionskosten!W76,Investitionskosten!V76)</f>
        <v>12000</v>
      </c>
      <c r="O74" s="16">
        <f>IF(Investitionskosten!X76="",Investitionskosten!Y76,Investitionskosten!X76)</f>
        <v>15000</v>
      </c>
      <c r="P74" s="16">
        <f>IF(Investitionskosten!Z76="",Investitionskosten!AA76,Investitionskosten!Z76)</f>
        <v>20000</v>
      </c>
      <c r="Q74" s="16">
        <f>IF(Investitionskosten!AB76="",Investitionskosten!AC76,Investitionskosten!AB76)</f>
        <v>30000</v>
      </c>
      <c r="R74" s="50">
        <f>IF(Investitionskosten!AD76="",Investitionskosten!AE76,Investitionskosten!AD76)</f>
        <v>40000</v>
      </c>
      <c r="T74" s="28"/>
      <c r="V74" s="28"/>
    </row>
    <row r="75" spans="1:22">
      <c r="A75" s="125"/>
      <c r="B75" s="307" t="s">
        <v>1244</v>
      </c>
      <c r="C75" s="297" t="s">
        <v>1245</v>
      </c>
      <c r="D75" s="134" t="s">
        <v>359</v>
      </c>
      <c r="E75" s="134"/>
      <c r="F75" s="142">
        <f>IF(Investitionskosten!F77="",Investitionskosten!G77,Investitionskosten!F77)</f>
        <v>4500</v>
      </c>
      <c r="G75" s="93">
        <f>IF(Investitionskosten!H77="",Investitionskosten!I77,Investitionskosten!H77)</f>
        <v>4500</v>
      </c>
      <c r="H75" s="93">
        <f>IF(Investitionskosten!J77="",Investitionskosten!K77,Investitionskosten!J77)</f>
        <v>5500</v>
      </c>
      <c r="I75" s="93">
        <f>IF(Investitionskosten!L77="",Investitionskosten!M77,Investitionskosten!L77)</f>
        <v>6000</v>
      </c>
      <c r="J75" s="93">
        <f>IF(Investitionskosten!N77="",Investitionskosten!O77,Investitionskosten!N77)</f>
        <v>7000</v>
      </c>
      <c r="K75" s="93">
        <f>IF(Investitionskosten!P77="",Investitionskosten!Q77,Investitionskosten!P77)</f>
        <v>10000</v>
      </c>
      <c r="L75" s="93">
        <f>IF(Investitionskosten!R77="",Investitionskosten!S77,Investitionskosten!R77)</f>
        <v>15000</v>
      </c>
      <c r="M75" s="93">
        <f>IF(Investitionskosten!T77="",Investitionskosten!U77,Investitionskosten!T77)</f>
        <v>18000</v>
      </c>
      <c r="N75" s="93">
        <f>IF(Investitionskosten!V77="",Investitionskosten!W77,Investitionskosten!V77)</f>
        <v>20000</v>
      </c>
      <c r="O75" s="93">
        <f>IF(Investitionskosten!X77="",Investitionskosten!Y77,Investitionskosten!X77)</f>
        <v>23000</v>
      </c>
      <c r="P75" s="93">
        <f>IF(Investitionskosten!Z77="",Investitionskosten!AA77,Investitionskosten!Z77)</f>
        <v>30000</v>
      </c>
      <c r="Q75" s="93">
        <f>IF(Investitionskosten!AB77="",Investitionskosten!AC77,Investitionskosten!AB77)</f>
        <v>40000</v>
      </c>
      <c r="R75" s="92">
        <f>IF(Investitionskosten!AD77="",Investitionskosten!AE77,Investitionskosten!AD77)</f>
        <v>45000</v>
      </c>
      <c r="T75" s="28"/>
      <c r="V75" s="28"/>
    </row>
    <row r="76" spans="1:22">
      <c r="A76" s="125"/>
      <c r="B76" s="64"/>
      <c r="C76" s="64"/>
      <c r="D76" s="64"/>
      <c r="E76" s="64"/>
      <c r="T76" s="28"/>
      <c r="V76" s="28"/>
    </row>
    <row r="77" spans="1:22" ht="15">
      <c r="A77" s="8" t="s">
        <v>1003</v>
      </c>
      <c r="B77" s="8" t="s">
        <v>32</v>
      </c>
      <c r="C77" s="124"/>
      <c r="D77" s="125"/>
      <c r="E77" s="125"/>
      <c r="T77" s="21"/>
      <c r="V77" s="28"/>
    </row>
    <row r="78" spans="1:22">
      <c r="A78" s="125"/>
      <c r="B78" s="304" t="s">
        <v>1217</v>
      </c>
      <c r="C78" s="131" t="s">
        <v>1242</v>
      </c>
      <c r="D78" s="131" t="s">
        <v>206</v>
      </c>
      <c r="E78" s="131"/>
      <c r="F78" s="5">
        <f>IF(Investitionskosten!F80="",Investitionskosten!G80,Investitionskosten!F80)</f>
        <v>5100</v>
      </c>
      <c r="G78" s="25">
        <f>IF(Investitionskosten!H80="",Investitionskosten!I80,Investitionskosten!H80)</f>
        <v>5100</v>
      </c>
      <c r="H78" s="25">
        <f>IF(Investitionskosten!J80="",Investitionskosten!K80,Investitionskosten!J80)</f>
        <v>10200</v>
      </c>
      <c r="I78" s="25">
        <f>IF(Investitionskosten!L80="",Investitionskosten!M80,Investitionskosten!L80)</f>
        <v>20400</v>
      </c>
      <c r="J78" s="25">
        <f>IF(Investitionskosten!N80="",Investitionskosten!O80,Investitionskosten!N80)</f>
        <v>71400</v>
      </c>
      <c r="K78" s="25">
        <f>IF(Investitionskosten!P80="",Investitionskosten!Q80,Investitionskosten!P80)</f>
        <v>102000</v>
      </c>
      <c r="L78" s="25">
        <f>IF(Investitionskosten!R80="",Investitionskosten!S80,Investitionskosten!R80)</f>
        <v>204000</v>
      </c>
      <c r="M78" s="25">
        <f>IF(Investitionskosten!T80="",Investitionskosten!U80,Investitionskosten!T80)</f>
        <v>357000</v>
      </c>
      <c r="N78" s="25">
        <f>IF(Investitionskosten!V80="",Investitionskosten!W80,Investitionskosten!V80)</f>
        <v>510000</v>
      </c>
      <c r="O78" s="25">
        <f>IF(Investitionskosten!X80="",Investitionskosten!Y80,Investitionskosten!X80)</f>
        <v>750000</v>
      </c>
      <c r="P78" s="25">
        <f>IF(Investitionskosten!Z80="",Investitionskosten!AA80,Investitionskosten!Z80)</f>
        <v>1000000</v>
      </c>
      <c r="Q78" s="25">
        <f>IF(Investitionskosten!AB80="",Investitionskosten!AC80,Investitionskosten!AB80)</f>
        <v>1500000</v>
      </c>
      <c r="R78" s="51">
        <f>IF(Investitionskosten!AD80="",Investitionskosten!AE80,Investitionskosten!AD80)</f>
        <v>2000000</v>
      </c>
      <c r="T78" s="28"/>
    </row>
    <row r="79" spans="1:22">
      <c r="A79" s="125"/>
      <c r="B79" s="305" t="s">
        <v>1215</v>
      </c>
      <c r="C79" s="126" t="s">
        <v>303</v>
      </c>
      <c r="D79" s="126" t="s">
        <v>241</v>
      </c>
      <c r="E79" s="126"/>
      <c r="F79" s="2">
        <f>IF(Investitionskosten!F81="",Investitionskosten!G81,Investitionskosten!F81)</f>
        <v>7000</v>
      </c>
      <c r="G79" s="16">
        <f>IF(Investitionskosten!H81="",Investitionskosten!I81,Investitionskosten!H81)</f>
        <v>7000</v>
      </c>
      <c r="H79" s="16">
        <f>IF(Investitionskosten!J81="",Investitionskosten!K81,Investitionskosten!J81)</f>
        <v>7000</v>
      </c>
      <c r="I79" s="16">
        <f>IF(Investitionskosten!L81="",Investitionskosten!M81,Investitionskosten!L81)</f>
        <v>7300</v>
      </c>
      <c r="J79" s="16">
        <f>IF(Investitionskosten!N81="",Investitionskosten!O81,Investitionskosten!N81)</f>
        <v>13100</v>
      </c>
      <c r="K79" s="16">
        <f>IF(Investitionskosten!P81="",Investitionskosten!Q81,Investitionskosten!P81)</f>
        <v>15800</v>
      </c>
      <c r="L79" s="16">
        <f>IF(Investitionskosten!R81="",Investitionskosten!S81,Investitionskosten!R81)</f>
        <v>21900</v>
      </c>
      <c r="M79" s="16">
        <f>IF(Investitionskosten!T81="",Investitionskosten!U81,Investitionskosten!T81)</f>
        <v>28100</v>
      </c>
      <c r="N79" s="16">
        <f>IF(Investitionskosten!V81="",Investitionskosten!W81,Investitionskosten!V81)</f>
        <v>32100</v>
      </c>
      <c r="O79" s="16">
        <f>IF(Investitionskosten!X81="",Investitionskosten!Y81,Investitionskosten!X81)</f>
        <v>46000</v>
      </c>
      <c r="P79" s="16">
        <f>IF(Investitionskosten!Z81="",Investitionskosten!AA81,Investitionskosten!Z81)</f>
        <v>63000</v>
      </c>
      <c r="Q79" s="16">
        <f>IF(Investitionskosten!AB81="",Investitionskosten!AC81,Investitionskosten!AB81)</f>
        <v>95000</v>
      </c>
      <c r="R79" s="50">
        <f>IF(Investitionskosten!AD81="",Investitionskosten!AE81,Investitionskosten!AD81)</f>
        <v>125000</v>
      </c>
      <c r="T79" s="28"/>
    </row>
    <row r="80" spans="1:22">
      <c r="A80" s="125"/>
      <c r="B80" s="307" t="s">
        <v>1215</v>
      </c>
      <c r="C80" s="297" t="s">
        <v>303</v>
      </c>
      <c r="D80" s="134" t="s">
        <v>966</v>
      </c>
      <c r="E80" s="134"/>
      <c r="F80" s="142">
        <f>IF(Investitionskosten!F82="",Investitionskosten!G82,Investitionskosten!F82)</f>
        <v>2500</v>
      </c>
      <c r="G80" s="93">
        <f>IF(Investitionskosten!H82="",Investitionskosten!I82,Investitionskosten!H82)</f>
        <v>2500</v>
      </c>
      <c r="H80" s="93">
        <f>IF(Investitionskosten!J82="",Investitionskosten!K82,Investitionskosten!J82)</f>
        <v>2500</v>
      </c>
      <c r="I80" s="93">
        <f>IF(Investitionskosten!L82="",Investitionskosten!M82,Investitionskosten!L82)</f>
        <v>2600</v>
      </c>
      <c r="J80" s="93">
        <f>IF(Investitionskosten!N82="",Investitionskosten!O82,Investitionskosten!N82)</f>
        <v>3500</v>
      </c>
      <c r="K80" s="93">
        <f>IF(Investitionskosten!P82="",Investitionskosten!Q82,Investitionskosten!P82)</f>
        <v>4300</v>
      </c>
      <c r="L80" s="93">
        <f>IF(Investitionskosten!R82="",Investitionskosten!S82,Investitionskosten!R82)</f>
        <v>5200</v>
      </c>
      <c r="M80" s="93">
        <f>IF(Investitionskosten!T82="",Investitionskosten!U82,Investitionskosten!T82)</f>
        <v>6900</v>
      </c>
      <c r="N80" s="93">
        <f>IF(Investitionskosten!V82="",Investitionskosten!W82,Investitionskosten!V82)</f>
        <v>8700</v>
      </c>
      <c r="O80" s="93">
        <f>IF(Investitionskosten!X82="",Investitionskosten!Y82,Investitionskosten!X82)</f>
        <v>9500</v>
      </c>
      <c r="P80" s="93">
        <f>IF(Investitionskosten!Z82="",Investitionskosten!AA82,Investitionskosten!Z82)</f>
        <v>14000</v>
      </c>
      <c r="Q80" s="93">
        <f>IF(Investitionskosten!AB82="",Investitionskosten!AC82,Investitionskosten!AB82)</f>
        <v>17000</v>
      </c>
      <c r="R80" s="92">
        <f>IF(Investitionskosten!AD82="",Investitionskosten!AE82,Investitionskosten!AD82)</f>
        <v>25500</v>
      </c>
      <c r="T80" s="28"/>
    </row>
    <row r="81" spans="1:24">
      <c r="A81" s="125"/>
      <c r="B81" s="64"/>
      <c r="C81" s="64"/>
      <c r="D81" s="64"/>
      <c r="E81" s="64"/>
      <c r="T81" s="28"/>
      <c r="V81" s="28"/>
    </row>
    <row r="82" spans="1:24">
      <c r="A82" s="125" t="s">
        <v>1008</v>
      </c>
      <c r="B82" s="125" t="s">
        <v>1058</v>
      </c>
      <c r="C82" s="64"/>
      <c r="D82" s="64"/>
      <c r="E82" s="64"/>
      <c r="T82" s="28"/>
      <c r="V82" s="28"/>
      <c r="X82" s="28"/>
    </row>
    <row r="83" spans="1:24">
      <c r="A83" s="125"/>
      <c r="B83" s="304" t="s">
        <v>1217</v>
      </c>
      <c r="C83" s="131" t="s">
        <v>1242</v>
      </c>
      <c r="D83" s="131" t="s">
        <v>206</v>
      </c>
      <c r="E83" s="131"/>
      <c r="F83" s="4">
        <f>IF(Investitionskosten!F85="",Investitionskosten!G85,Investitionskosten!F85)</f>
        <v>0</v>
      </c>
      <c r="G83" s="61">
        <f>IF(Investitionskosten!H85="",Investitionskosten!I85,Investitionskosten!H85)</f>
        <v>0</v>
      </c>
      <c r="H83" s="61">
        <f>IF(Investitionskosten!J85="",Investitionskosten!K85,Investitionskosten!J85)</f>
        <v>4000</v>
      </c>
      <c r="I83" s="61">
        <f>IF(Investitionskosten!L85="",Investitionskosten!M85,Investitionskosten!L85)</f>
        <v>5000</v>
      </c>
      <c r="J83" s="61">
        <f>IF(Investitionskosten!N85="",Investitionskosten!O85,Investitionskosten!N85)</f>
        <v>6000</v>
      </c>
      <c r="K83" s="61">
        <f>IF(Investitionskosten!P85="",Investitionskosten!Q85,Investitionskosten!P85)</f>
        <v>6000</v>
      </c>
      <c r="L83" s="61">
        <f>IF(Investitionskosten!R85="",Investitionskosten!S85,Investitionskosten!R85)</f>
        <v>8000</v>
      </c>
      <c r="M83" s="61">
        <f>IF(Investitionskosten!T85="",Investitionskosten!U85,Investitionskosten!T85)</f>
        <v>10000</v>
      </c>
      <c r="N83" s="61">
        <f>IF(Investitionskosten!V85="",Investitionskosten!W85,Investitionskosten!V85)</f>
        <v>12000</v>
      </c>
      <c r="O83" s="61">
        <f>IF(Investitionskosten!X85="",Investitionskosten!Y85,Investitionskosten!X85)</f>
        <v>0</v>
      </c>
      <c r="P83" s="61">
        <f>IF(Investitionskosten!Z85="",Investitionskosten!AA85,Investitionskosten!Z85)</f>
        <v>0</v>
      </c>
      <c r="Q83" s="61">
        <f>IF(Investitionskosten!AB85="",Investitionskosten!AC85,Investitionskosten!AB85)</f>
        <v>0</v>
      </c>
      <c r="R83" s="148">
        <f>IF(Investitionskosten!AD85="",Investitionskosten!AE85,Investitionskosten!AD85)</f>
        <v>0</v>
      </c>
      <c r="T83" s="28"/>
      <c r="V83" s="28"/>
      <c r="X83" s="28"/>
    </row>
    <row r="84" spans="1:24">
      <c r="A84" s="125"/>
      <c r="B84" s="305" t="s">
        <v>1215</v>
      </c>
      <c r="C84" s="126" t="s">
        <v>303</v>
      </c>
      <c r="D84" s="126" t="s">
        <v>1336</v>
      </c>
      <c r="E84" s="126"/>
      <c r="F84" s="142">
        <f>IF(Investitionskosten!F86="",Investitionskosten!G86,Investitionskosten!F86)</f>
        <v>0</v>
      </c>
      <c r="G84" s="93">
        <f>IF(Investitionskosten!H86="",Investitionskosten!I86,Investitionskosten!H86)</f>
        <v>0</v>
      </c>
      <c r="H84" s="93">
        <f>IF(Investitionskosten!J86="",Investitionskosten!K86,Investitionskosten!J86)</f>
        <v>25000</v>
      </c>
      <c r="I84" s="93">
        <f>IF(Investitionskosten!L86="",Investitionskosten!M86,Investitionskosten!L86)</f>
        <v>37190</v>
      </c>
      <c r="J84" s="93">
        <f>IF(Investitionskosten!N86="",Investitionskosten!O86,Investitionskosten!N86)</f>
        <v>71720</v>
      </c>
      <c r="K84" s="93">
        <f>IF(Investitionskosten!P86="",Investitionskosten!Q86,Investitionskosten!P86)</f>
        <v>93330</v>
      </c>
      <c r="L84" s="93">
        <f>IF(Investitionskosten!R86="",Investitionskosten!S86,Investitionskosten!R86)</f>
        <v>144140</v>
      </c>
      <c r="M84" s="93">
        <f>IF(Investitionskosten!T86="",Investitionskosten!U86,Investitionskosten!T86)</f>
        <v>320000</v>
      </c>
      <c r="N84" s="93">
        <f>IF(Investitionskosten!V86="",Investitionskosten!W86,Investitionskosten!V86)</f>
        <v>457140</v>
      </c>
      <c r="O84" s="93">
        <f>IF(Investitionskosten!X86="",Investitionskosten!Y86,Investitionskosten!X86)</f>
        <v>0</v>
      </c>
      <c r="P84" s="93">
        <f>IF(Investitionskosten!Z86="",Investitionskosten!AA86,Investitionskosten!Z86)</f>
        <v>0</v>
      </c>
      <c r="Q84" s="93">
        <f>IF(Investitionskosten!AB86="",Investitionskosten!AC86,Investitionskosten!AB86)</f>
        <v>0</v>
      </c>
      <c r="R84" s="92">
        <f>IF(Investitionskosten!AD86="",Investitionskosten!AE86,Investitionskosten!AD86)</f>
        <v>0</v>
      </c>
      <c r="T84" s="28"/>
      <c r="W84" s="8"/>
    </row>
    <row r="85" spans="1:24">
      <c r="A85" s="125"/>
      <c r="B85" s="305" t="s">
        <v>1215</v>
      </c>
      <c r="C85" s="126" t="s">
        <v>303</v>
      </c>
      <c r="D85" s="126" t="s">
        <v>965</v>
      </c>
      <c r="E85" s="126"/>
      <c r="F85" s="142">
        <f>IF(Investitionskosten!F87="",Investitionskosten!G87,Investitionskosten!F87)</f>
        <v>0</v>
      </c>
      <c r="G85" s="93">
        <f>IF(Investitionskosten!H87="",Investitionskosten!I87,Investitionskosten!H87)</f>
        <v>0</v>
      </c>
      <c r="H85" s="93">
        <f>IF(Investitionskosten!J87="",Investitionskosten!K87,Investitionskosten!J87)</f>
        <v>1810</v>
      </c>
      <c r="I85" s="93">
        <f>IF(Investitionskosten!L87="",Investitionskosten!M87,Investitionskosten!L87)</f>
        <v>2240</v>
      </c>
      <c r="J85" s="93">
        <f>IF(Investitionskosten!N87="",Investitionskosten!O87,Investitionskosten!N87)</f>
        <v>3690</v>
      </c>
      <c r="K85" s="93">
        <f>IF(Investitionskosten!P87="",Investitionskosten!Q87,Investitionskosten!P87)</f>
        <v>2560</v>
      </c>
      <c r="L85" s="93">
        <f>IF(Investitionskosten!R87="",Investitionskosten!S87,Investitionskosten!R87)</f>
        <v>3290</v>
      </c>
      <c r="M85" s="93">
        <f>IF(Investitionskosten!T87="",Investitionskosten!U87,Investitionskosten!T87)</f>
        <v>4170</v>
      </c>
      <c r="N85" s="93">
        <f>IF(Investitionskosten!V87="",Investitionskosten!W87,Investitionskosten!V87)</f>
        <v>5950</v>
      </c>
      <c r="O85" s="93">
        <f>IF(Investitionskosten!X87="",Investitionskosten!Y87,Investitionskosten!X87)</f>
        <v>0</v>
      </c>
      <c r="P85" s="93">
        <f>IF(Investitionskosten!Z87="",Investitionskosten!AA87,Investitionskosten!Z87)</f>
        <v>0</v>
      </c>
      <c r="Q85" s="93">
        <f>IF(Investitionskosten!AB87="",Investitionskosten!AC87,Investitionskosten!AB87)</f>
        <v>0</v>
      </c>
      <c r="R85" s="92">
        <f>IF(Investitionskosten!AD87="",Investitionskosten!AE87,Investitionskosten!AD87)</f>
        <v>0</v>
      </c>
      <c r="T85" s="28"/>
      <c r="V85" s="28"/>
    </row>
    <row r="86" spans="1:24">
      <c r="A86" s="125"/>
      <c r="B86" s="305" t="s">
        <v>1218</v>
      </c>
      <c r="C86" s="126" t="s">
        <v>1243</v>
      </c>
      <c r="D86" s="185" t="s">
        <v>231</v>
      </c>
      <c r="E86" s="185"/>
      <c r="F86" s="70">
        <f>IF(Investitionskosten!F88="",Investitionskosten!G88,Investitionskosten!F88)</f>
        <v>0</v>
      </c>
      <c r="G86" s="93">
        <f>IF(Investitionskosten!H88="",Investitionskosten!I88,Investitionskosten!H88)</f>
        <v>0</v>
      </c>
      <c r="H86" s="93">
        <f>IF(Investitionskosten!J88="",Investitionskosten!K88,Investitionskosten!J88)</f>
        <v>3330</v>
      </c>
      <c r="I86" s="93">
        <f>IF(Investitionskosten!L88="",Investitionskosten!M88,Investitionskosten!L88)</f>
        <v>5000</v>
      </c>
      <c r="J86" s="93">
        <f>IF(Investitionskosten!N88="",Investitionskosten!O88,Investitionskosten!N88)</f>
        <v>9170</v>
      </c>
      <c r="K86" s="93">
        <f>IF(Investitionskosten!P88="",Investitionskosten!Q88,Investitionskosten!P88)</f>
        <v>10630</v>
      </c>
      <c r="L86" s="93">
        <f>IF(Investitionskosten!R88="",Investitionskosten!S88,Investitionskosten!R88)</f>
        <v>14030</v>
      </c>
      <c r="M86" s="93">
        <f>IF(Investitionskosten!T88="",Investitionskosten!U88,Investitionskosten!T88)</f>
        <v>17750</v>
      </c>
      <c r="N86" s="93">
        <f>IF(Investitionskosten!V88="",Investitionskosten!W88,Investitionskosten!V88)</f>
        <v>25350</v>
      </c>
      <c r="O86" s="93">
        <f>IF(Investitionskosten!X88="",Investitionskosten!Y88,Investitionskosten!X88)</f>
        <v>0</v>
      </c>
      <c r="P86" s="93">
        <f>IF(Investitionskosten!Z88="",Investitionskosten!AA88,Investitionskosten!Z88)</f>
        <v>0</v>
      </c>
      <c r="Q86" s="93">
        <f>IF(Investitionskosten!AB88="",Investitionskosten!AC88,Investitionskosten!AB88)</f>
        <v>0</v>
      </c>
      <c r="R86" s="92">
        <f>IF(Investitionskosten!AD88="",Investitionskosten!AE88,Investitionskosten!AD88)</f>
        <v>0</v>
      </c>
      <c r="T86" s="28"/>
      <c r="V86" s="28"/>
    </row>
    <row r="87" spans="1:24">
      <c r="A87" s="125"/>
      <c r="B87" s="305" t="s">
        <v>1215</v>
      </c>
      <c r="C87" s="126" t="s">
        <v>303</v>
      </c>
      <c r="D87" s="126" t="s">
        <v>966</v>
      </c>
      <c r="E87" s="126"/>
      <c r="F87" s="142">
        <f>IF(Investitionskosten!F89="",Investitionskosten!G89,Investitionskosten!F89)</f>
        <v>0</v>
      </c>
      <c r="G87" s="93">
        <f>IF(Investitionskosten!H89="",Investitionskosten!I89,Investitionskosten!H89)</f>
        <v>0</v>
      </c>
      <c r="H87" s="93">
        <f>IF(Investitionskosten!J89="",Investitionskosten!K89,Investitionskosten!J89)</f>
        <v>1670</v>
      </c>
      <c r="I87" s="93">
        <f>IF(Investitionskosten!L89="",Investitionskosten!M89,Investitionskosten!L89)</f>
        <v>2980</v>
      </c>
      <c r="J87" s="93">
        <f>IF(Investitionskosten!N89="",Investitionskosten!O89,Investitionskosten!N89)</f>
        <v>3480</v>
      </c>
      <c r="K87" s="93">
        <f>IF(Investitionskosten!P89="",Investitionskosten!Q89,Investitionskosten!P89)</f>
        <v>7500</v>
      </c>
      <c r="L87" s="93">
        <f>IF(Investitionskosten!R89="",Investitionskosten!S89,Investitionskosten!R89)</f>
        <v>13250</v>
      </c>
      <c r="M87" s="93">
        <f>IF(Investitionskosten!T89="",Investitionskosten!U89,Investitionskosten!T89)</f>
        <v>15000</v>
      </c>
      <c r="N87" s="93">
        <f>IF(Investitionskosten!V89="",Investitionskosten!W89,Investitionskosten!V89)</f>
        <v>21430</v>
      </c>
      <c r="O87" s="93">
        <f>IF(Investitionskosten!X89="",Investitionskosten!Y89,Investitionskosten!X89)</f>
        <v>0</v>
      </c>
      <c r="P87" s="93">
        <f>IF(Investitionskosten!Z89="",Investitionskosten!AA89,Investitionskosten!Z89)</f>
        <v>0</v>
      </c>
      <c r="Q87" s="93">
        <f>IF(Investitionskosten!AB89="",Investitionskosten!AC89,Investitionskosten!AB89)</f>
        <v>0</v>
      </c>
      <c r="R87" s="92">
        <f>IF(Investitionskosten!AD89="",Investitionskosten!AE89,Investitionskosten!AD89)</f>
        <v>0</v>
      </c>
      <c r="T87" s="28"/>
      <c r="V87" s="28"/>
      <c r="X87" s="68"/>
    </row>
    <row r="88" spans="1:24">
      <c r="A88" s="125"/>
      <c r="B88" s="305" t="s">
        <v>1244</v>
      </c>
      <c r="C88" s="126" t="s">
        <v>1245</v>
      </c>
      <c r="D88" s="134" t="s">
        <v>1341</v>
      </c>
      <c r="E88" s="134"/>
      <c r="F88" s="142">
        <f>IF(Investitionskosten!F90="",Investitionskosten!G90,Investitionskosten!F90)</f>
        <v>0</v>
      </c>
      <c r="G88" s="93">
        <f>IF(Investitionskosten!H90="",Investitionskosten!I90,Investitionskosten!H90)</f>
        <v>0</v>
      </c>
      <c r="H88" s="93">
        <f>IF(Investitionskosten!J90="",Investitionskosten!K90,Investitionskosten!J90)</f>
        <v>3750</v>
      </c>
      <c r="I88" s="93">
        <f>IF(Investitionskosten!L90="",Investitionskosten!M90,Investitionskosten!L90)</f>
        <v>4970</v>
      </c>
      <c r="J88" s="93">
        <f>IF(Investitionskosten!N90="",Investitionskosten!O90,Investitionskosten!N90)</f>
        <v>10940</v>
      </c>
      <c r="K88" s="93">
        <f>IF(Investitionskosten!P90="",Investitionskosten!Q90,Investitionskosten!P90)</f>
        <v>12780</v>
      </c>
      <c r="L88" s="93">
        <f>IF(Investitionskosten!R90="",Investitionskosten!S90,Investitionskosten!R90)</f>
        <v>22240</v>
      </c>
      <c r="M88" s="93">
        <f>IF(Investitionskosten!T90="",Investitionskosten!U90,Investitionskosten!T90)</f>
        <v>27500</v>
      </c>
      <c r="N88" s="93">
        <f>IF(Investitionskosten!V90="",Investitionskosten!W90,Investitionskosten!V90)</f>
        <v>39290</v>
      </c>
      <c r="O88" s="93">
        <f>IF(Investitionskosten!X90="",Investitionskosten!Y90,Investitionskosten!X90)</f>
        <v>0</v>
      </c>
      <c r="P88" s="93">
        <f>IF(Investitionskosten!Z90="",Investitionskosten!AA90,Investitionskosten!Z90)</f>
        <v>0</v>
      </c>
      <c r="Q88" s="93">
        <f>IF(Investitionskosten!AB90="",Investitionskosten!AC90,Investitionskosten!AB90)</f>
        <v>0</v>
      </c>
      <c r="R88" s="92">
        <f>IF(Investitionskosten!AD90="",Investitionskosten!AE90,Investitionskosten!AD90)</f>
        <v>0</v>
      </c>
      <c r="T88" s="28"/>
      <c r="V88" s="28"/>
      <c r="X88" s="68"/>
    </row>
    <row r="89" spans="1:24">
      <c r="A89" s="125"/>
      <c r="B89" s="305" t="s">
        <v>1215</v>
      </c>
      <c r="C89" s="126" t="s">
        <v>303</v>
      </c>
      <c r="D89" s="126" t="s">
        <v>1340</v>
      </c>
      <c r="E89" s="126"/>
      <c r="F89" s="142">
        <f>IF(Investitionskosten!F91="",Investitionskosten!G91,Investitionskosten!F91)</f>
        <v>0</v>
      </c>
      <c r="G89" s="93">
        <f>IF(Investitionskosten!H91="",Investitionskosten!I91,Investitionskosten!H91)</f>
        <v>0</v>
      </c>
      <c r="H89" s="93">
        <f>IF(Investitionskosten!J91="",Investitionskosten!K91,Investitionskosten!J91)</f>
        <v>3610</v>
      </c>
      <c r="I89" s="93">
        <f>IF(Investitionskosten!L91="",Investitionskosten!M91,Investitionskosten!L91)</f>
        <v>4480</v>
      </c>
      <c r="J89" s="93">
        <f>IF(Investitionskosten!N91="",Investitionskosten!O91,Investitionskosten!N91)</f>
        <v>7390</v>
      </c>
      <c r="K89" s="93">
        <f>IF(Investitionskosten!P91="",Investitionskosten!Q91,Investitionskosten!P91)</f>
        <v>8220</v>
      </c>
      <c r="L89" s="93">
        <f>IF(Investitionskosten!R91="",Investitionskosten!S91,Investitionskosten!R91)</f>
        <v>12540</v>
      </c>
      <c r="M89" s="93">
        <f>IF(Investitionskosten!T91="",Investitionskosten!U91,Investitionskosten!T91)</f>
        <v>15000</v>
      </c>
      <c r="N89" s="93">
        <f>IF(Investitionskosten!V91="",Investitionskosten!W91,Investitionskosten!V91)</f>
        <v>21430</v>
      </c>
      <c r="O89" s="93">
        <f>IF(Investitionskosten!X91="",Investitionskosten!Y91,Investitionskosten!X91)</f>
        <v>0</v>
      </c>
      <c r="P89" s="93">
        <f>IF(Investitionskosten!Z91="",Investitionskosten!AA91,Investitionskosten!Z91)</f>
        <v>0</v>
      </c>
      <c r="Q89" s="93">
        <f>IF(Investitionskosten!AB91="",Investitionskosten!AC91,Investitionskosten!AB91)</f>
        <v>0</v>
      </c>
      <c r="R89" s="92">
        <f>IF(Investitionskosten!AD91="",Investitionskosten!AE91,Investitionskosten!AD91)</f>
        <v>0</v>
      </c>
      <c r="T89" s="28"/>
      <c r="V89" s="28"/>
      <c r="X89" s="68"/>
    </row>
    <row r="90" spans="1:24">
      <c r="A90" s="125"/>
      <c r="B90" s="305" t="s">
        <v>1215</v>
      </c>
      <c r="C90" s="126" t="s">
        <v>303</v>
      </c>
      <c r="D90" s="126" t="s">
        <v>1339</v>
      </c>
      <c r="E90" s="126"/>
      <c r="F90" s="142">
        <f>IF(Investitionskosten!F92="",Investitionskosten!G92,Investitionskosten!F92)</f>
        <v>0</v>
      </c>
      <c r="G90" s="93">
        <f>IF(Investitionskosten!H92="",Investitionskosten!I92,Investitionskosten!H92)</f>
        <v>0</v>
      </c>
      <c r="H90" s="93">
        <f>IF(Investitionskosten!J92="",Investitionskosten!K92,Investitionskosten!J92)</f>
        <v>1040</v>
      </c>
      <c r="I90" s="93">
        <f>IF(Investitionskosten!L92="",Investitionskosten!M92,Investitionskosten!L92)</f>
        <v>1950</v>
      </c>
      <c r="J90" s="93">
        <f>IF(Investitionskosten!N92="",Investitionskosten!O92,Investitionskosten!N92)</f>
        <v>3240</v>
      </c>
      <c r="K90" s="93">
        <f>IF(Investitionskosten!P92="",Investitionskosten!Q92,Investitionskosten!P92)</f>
        <v>4330</v>
      </c>
      <c r="L90" s="93">
        <f>IF(Investitionskosten!R92="",Investitionskosten!S92,Investitionskosten!R92)</f>
        <v>6950</v>
      </c>
      <c r="M90" s="93">
        <f>IF(Investitionskosten!T92="",Investitionskosten!U92,Investitionskosten!T92)</f>
        <v>8000</v>
      </c>
      <c r="N90" s="93">
        <f>IF(Investitionskosten!V92="",Investitionskosten!W92,Investitionskosten!V92)</f>
        <v>11430</v>
      </c>
      <c r="O90" s="93">
        <f>IF(Investitionskosten!X92="",Investitionskosten!Y92,Investitionskosten!X92)</f>
        <v>0</v>
      </c>
      <c r="P90" s="93">
        <f>IF(Investitionskosten!Z92="",Investitionskosten!AA92,Investitionskosten!Z92)</f>
        <v>0</v>
      </c>
      <c r="Q90" s="93">
        <f>IF(Investitionskosten!AB92="",Investitionskosten!AC92,Investitionskosten!AB92)</f>
        <v>0</v>
      </c>
      <c r="R90" s="92">
        <f>IF(Investitionskosten!AD92="",Investitionskosten!AE92,Investitionskosten!AD92)</f>
        <v>0</v>
      </c>
      <c r="T90" s="28"/>
      <c r="V90" s="28"/>
      <c r="X90" s="68"/>
    </row>
    <row r="91" spans="1:24" ht="15">
      <c r="A91" s="125"/>
      <c r="B91" s="307" t="s">
        <v>1215</v>
      </c>
      <c r="C91" s="297" t="s">
        <v>303</v>
      </c>
      <c r="D91" s="134" t="s">
        <v>1338</v>
      </c>
      <c r="E91" s="134"/>
      <c r="F91" s="142">
        <f>IF(Investitionskosten!F93="",Investitionskosten!G93,Investitionskosten!F93)</f>
        <v>0</v>
      </c>
      <c r="G91" s="93">
        <f>IF(Investitionskosten!H93="",Investitionskosten!I93,Investitionskosten!H93)</f>
        <v>0</v>
      </c>
      <c r="H91" s="93">
        <f>IF(Investitionskosten!J93="",Investitionskosten!K93,Investitionskosten!J93)</f>
        <v>2920</v>
      </c>
      <c r="I91" s="93">
        <f>IF(Investitionskosten!L93="",Investitionskosten!M93,Investitionskosten!L93)</f>
        <v>4560</v>
      </c>
      <c r="J91" s="93">
        <f>IF(Investitionskosten!N93="",Investitionskosten!O93,Investitionskosten!N93)</f>
        <v>7730</v>
      </c>
      <c r="K91" s="93">
        <f>IF(Investitionskosten!P93="",Investitionskosten!Q93,Investitionskosten!P93)</f>
        <v>9330</v>
      </c>
      <c r="L91" s="93">
        <f>IF(Investitionskosten!R93="",Investitionskosten!S93,Investitionskosten!R93)</f>
        <v>13250</v>
      </c>
      <c r="M91" s="93">
        <f>IF(Investitionskosten!T93="",Investitionskosten!U93,Investitionskosten!T93)</f>
        <v>15000</v>
      </c>
      <c r="N91" s="93">
        <f>IF(Investitionskosten!V93="",Investitionskosten!W93,Investitionskosten!V93)</f>
        <v>21430</v>
      </c>
      <c r="O91" s="93">
        <f>IF(Investitionskosten!X93="",Investitionskosten!Y93,Investitionskosten!X93)</f>
        <v>0</v>
      </c>
      <c r="P91" s="93">
        <f>IF(Investitionskosten!Z93="",Investitionskosten!AA93,Investitionskosten!Z93)</f>
        <v>0</v>
      </c>
      <c r="Q91" s="93">
        <f>IF(Investitionskosten!AB93="",Investitionskosten!AC93,Investitionskosten!AB93)</f>
        <v>0</v>
      </c>
      <c r="R91" s="92">
        <f>IF(Investitionskosten!AD93="",Investitionskosten!AE93,Investitionskosten!AD93)</f>
        <v>0</v>
      </c>
      <c r="T91" s="21"/>
      <c r="V91" s="28"/>
    </row>
    <row r="92" spans="1:24" ht="15">
      <c r="A92" s="125"/>
      <c r="B92" s="306" t="s">
        <v>1230</v>
      </c>
      <c r="C92" s="134" t="s">
        <v>1033</v>
      </c>
      <c r="D92" s="134" t="s">
        <v>1337</v>
      </c>
      <c r="E92" s="134"/>
      <c r="F92" s="142">
        <f>IF(Investitionskosten!F94="",Investitionskosten!G94,Investitionskosten!F94)</f>
        <v>0</v>
      </c>
      <c r="G92" s="93">
        <f>IF(Investitionskosten!H94="",Investitionskosten!I94,Investitionskosten!H94)</f>
        <v>0</v>
      </c>
      <c r="H92" s="93">
        <f>IF(Investitionskosten!J94="",Investitionskosten!K94,Investitionskosten!J94)</f>
        <v>830</v>
      </c>
      <c r="I92" s="93">
        <f>IF(Investitionskosten!L94="",Investitionskosten!M94,Investitionskosten!L94)</f>
        <v>1090</v>
      </c>
      <c r="J92" s="93">
        <f>IF(Investitionskosten!N94="",Investitionskosten!O94,Investitionskosten!N94)</f>
        <v>2440</v>
      </c>
      <c r="K92" s="93">
        <f>IF(Investitionskosten!P94="",Investitionskosten!Q94,Investitionskosten!P94)</f>
        <v>3000</v>
      </c>
      <c r="L92" s="93">
        <f>IF(Investitionskosten!R94="",Investitionskosten!S94,Investitionskosten!R94)</f>
        <v>4300</v>
      </c>
      <c r="M92" s="93">
        <f>IF(Investitionskosten!T94="",Investitionskosten!U94,Investitionskosten!T94)</f>
        <v>5000</v>
      </c>
      <c r="N92" s="93">
        <f>IF(Investitionskosten!V94="",Investitionskosten!W94,Investitionskosten!V94)</f>
        <v>7140</v>
      </c>
      <c r="O92" s="93">
        <f>IF(Investitionskosten!X94="",Investitionskosten!Y94,Investitionskosten!X94)</f>
        <v>0</v>
      </c>
      <c r="P92" s="93">
        <f>IF(Investitionskosten!Z94="",Investitionskosten!AA94,Investitionskosten!Z94)</f>
        <v>0</v>
      </c>
      <c r="Q92" s="93">
        <f>IF(Investitionskosten!AB94="",Investitionskosten!AC94,Investitionskosten!AB94)</f>
        <v>0</v>
      </c>
      <c r="R92" s="92">
        <f>IF(Investitionskosten!AD94="",Investitionskosten!AE94,Investitionskosten!AD94)</f>
        <v>0</v>
      </c>
      <c r="T92" s="21"/>
      <c r="V92" s="28"/>
    </row>
    <row r="93" spans="1:24">
      <c r="A93" s="125"/>
      <c r="B93" s="64"/>
      <c r="C93" s="64"/>
      <c r="D93" s="64"/>
      <c r="E93" s="64"/>
      <c r="T93" s="28"/>
      <c r="V93" s="28"/>
      <c r="X93" s="68"/>
    </row>
    <row r="94" spans="1:24">
      <c r="A94" s="125"/>
      <c r="B94" s="125" t="s">
        <v>1004</v>
      </c>
      <c r="C94" s="64"/>
      <c r="D94" s="64"/>
      <c r="E94" s="64"/>
      <c r="T94" s="28"/>
      <c r="V94" s="28"/>
      <c r="X94" s="28"/>
    </row>
    <row r="95" spans="1:24">
      <c r="A95" s="125"/>
      <c r="B95" s="304" t="s">
        <v>1248</v>
      </c>
      <c r="C95" s="131" t="s">
        <v>1249</v>
      </c>
      <c r="D95" s="131" t="s">
        <v>942</v>
      </c>
      <c r="E95" s="64"/>
      <c r="F95" s="4">
        <f>IF(Investitionskosten!F97="",Investitionskosten!G97,Investitionskosten!F97)</f>
        <v>1050</v>
      </c>
      <c r="G95" s="61">
        <f>IF(Investitionskosten!H97="",Investitionskosten!I97,Investitionskosten!H97)</f>
        <v>1050</v>
      </c>
      <c r="H95" s="61">
        <f>IF(Investitionskosten!J97="",Investitionskosten!K97,Investitionskosten!J97)</f>
        <v>1100</v>
      </c>
      <c r="I95" s="61">
        <f>IF(Investitionskosten!L97="",Investitionskosten!M97,Investitionskosten!L97)</f>
        <v>1200</v>
      </c>
      <c r="J95" s="61">
        <f>IF(Investitionskosten!N97="",Investitionskosten!O97,Investitionskosten!N97)</f>
        <v>1700</v>
      </c>
      <c r="K95" s="61">
        <f>IF(Investitionskosten!P97="",Investitionskosten!Q97,Investitionskosten!P97)</f>
        <v>2000</v>
      </c>
      <c r="L95" s="61">
        <f>IF(Investitionskosten!R97="",Investitionskosten!S97,Investitionskosten!R97)</f>
        <v>3000</v>
      </c>
      <c r="M95" s="61">
        <f>IF(Investitionskosten!T97="",Investitionskosten!U97,Investitionskosten!T97)</f>
        <v>4500</v>
      </c>
      <c r="N95" s="61">
        <f>IF(Investitionskosten!V97="",Investitionskosten!W97,Investitionskosten!V97)</f>
        <v>6000</v>
      </c>
      <c r="O95" s="61">
        <f>IF(Investitionskosten!X97="",Investitionskosten!Y97,Investitionskosten!X97)</f>
        <v>8500</v>
      </c>
      <c r="P95" s="61">
        <f>IF(Investitionskosten!Z97="",Investitionskosten!AA97,Investitionskosten!Z97)</f>
        <v>11000</v>
      </c>
      <c r="Q95" s="61">
        <f>IF(Investitionskosten!AB97="",Investitionskosten!AC97,Investitionskosten!AB97)</f>
        <v>16000</v>
      </c>
      <c r="R95" s="148">
        <f>IF(Investitionskosten!AD97="",Investitionskosten!AE97,Investitionskosten!AD97)</f>
        <v>21000</v>
      </c>
      <c r="T95" s="28"/>
      <c r="V95" s="28"/>
      <c r="X95" s="28"/>
    </row>
    <row r="96" spans="1:24">
      <c r="A96" s="125"/>
      <c r="B96" s="82" t="s">
        <v>1248</v>
      </c>
      <c r="C96" s="64" t="s">
        <v>1249</v>
      </c>
      <c r="D96" s="134" t="s">
        <v>943</v>
      </c>
      <c r="E96" s="134"/>
      <c r="F96" s="142">
        <f>IF(Investitionskosten!F98="",Investitionskosten!G98,Investitionskosten!F98)</f>
        <v>1400</v>
      </c>
      <c r="G96" s="93">
        <f>IF(Investitionskosten!H98="",Investitionskosten!I98,Investitionskosten!H98)</f>
        <v>1400</v>
      </c>
      <c r="H96" s="93">
        <f>IF(Investitionskosten!J98="",Investitionskosten!K98,Investitionskosten!J98)</f>
        <v>1600</v>
      </c>
      <c r="I96" s="93">
        <f>IF(Investitionskosten!L98="",Investitionskosten!M98,Investitionskosten!L98)</f>
        <v>2000</v>
      </c>
      <c r="J96" s="93">
        <f>IF(Investitionskosten!N98="",Investitionskosten!O98,Investitionskosten!N98)</f>
        <v>3300</v>
      </c>
      <c r="K96" s="93">
        <f>IF(Investitionskosten!P98="",Investitionskosten!Q98,Investitionskosten!P98)</f>
        <v>4200</v>
      </c>
      <c r="L96" s="93">
        <f>IF(Investitionskosten!R98="",Investitionskosten!S98,Investitionskosten!R98)</f>
        <v>6200</v>
      </c>
      <c r="M96" s="93">
        <f>IF(Investitionskosten!T98="",Investitionskosten!U98,Investitionskosten!T98)</f>
        <v>8200</v>
      </c>
      <c r="N96" s="93">
        <f>IF(Investitionskosten!V98="",Investitionskosten!W98,Investitionskosten!V98)</f>
        <v>11200</v>
      </c>
      <c r="O96" s="93">
        <f>IF(Investitionskosten!X98="",Investitionskosten!Y98,Investitionskosten!X98)</f>
        <v>16200</v>
      </c>
      <c r="P96" s="93">
        <f>IF(Investitionskosten!Z98="",Investitionskosten!AA98,Investitionskosten!Z98)</f>
        <v>21200</v>
      </c>
      <c r="Q96" s="93">
        <f>IF(Investitionskosten!AB98="",Investitionskosten!AC98,Investitionskosten!AB98)</f>
        <v>31200</v>
      </c>
      <c r="R96" s="92">
        <f>IF(Investitionskosten!AD98="",Investitionskosten!AE98,Investitionskosten!AD98)</f>
        <v>41200</v>
      </c>
      <c r="T96" s="28"/>
      <c r="V96" s="28"/>
    </row>
    <row r="97" spans="1:22">
      <c r="A97" s="125"/>
      <c r="B97" s="64"/>
      <c r="C97" s="64"/>
      <c r="D97" s="64"/>
      <c r="E97" s="64"/>
      <c r="T97" s="28"/>
      <c r="V97" s="28"/>
    </row>
    <row r="98" spans="1:22">
      <c r="A98" s="125"/>
      <c r="B98" s="125" t="s">
        <v>1009</v>
      </c>
      <c r="C98" s="64"/>
      <c r="D98" s="64"/>
      <c r="E98" s="64"/>
      <c r="T98" s="28"/>
      <c r="V98" s="28"/>
    </row>
    <row r="99" spans="1:22">
      <c r="A99" s="125"/>
      <c r="B99" s="304" t="s">
        <v>1225</v>
      </c>
      <c r="C99" s="131" t="s">
        <v>1250</v>
      </c>
      <c r="D99" s="131" t="s">
        <v>944</v>
      </c>
      <c r="E99" s="64"/>
      <c r="F99" s="4">
        <f>IF(Investitionskosten!F101="",Investitionskosten!G101,Investitionskosten!F101)</f>
        <v>3500</v>
      </c>
      <c r="G99" s="61">
        <f>IF(Investitionskosten!H101="",Investitionskosten!I101,Investitionskosten!H101)</f>
        <v>3500</v>
      </c>
      <c r="H99" s="61">
        <f>IF(Investitionskosten!J101="",Investitionskosten!K101,Investitionskosten!J101)</f>
        <v>3500</v>
      </c>
      <c r="I99" s="61">
        <f>IF(Investitionskosten!L101="",Investitionskosten!M101,Investitionskosten!L101)</f>
        <v>4000</v>
      </c>
      <c r="J99" s="61">
        <f>IF(Investitionskosten!N101="",Investitionskosten!O101,Investitionskosten!N101)</f>
        <v>14000</v>
      </c>
      <c r="K99" s="61">
        <f>IF(Investitionskosten!P101="",Investitionskosten!Q101,Investitionskosten!P101)</f>
        <v>20000</v>
      </c>
      <c r="L99" s="61">
        <f>IF(Investitionskosten!R101="",Investitionskosten!S101,Investitionskosten!R101)</f>
        <v>40000</v>
      </c>
      <c r="M99" s="61">
        <f>IF(Investitionskosten!T101="",Investitionskosten!U101,Investitionskosten!T101)</f>
        <v>70000</v>
      </c>
      <c r="N99" s="61">
        <f>IF(Investitionskosten!V101="",Investitionskosten!W101,Investitionskosten!V101)</f>
        <v>100000</v>
      </c>
      <c r="O99" s="61">
        <f>IF(Investitionskosten!X101="",Investitionskosten!Y101,Investitionskosten!X101)</f>
        <v>150000</v>
      </c>
      <c r="P99" s="61">
        <f>IF(Investitionskosten!Z101="",Investitionskosten!AA101,Investitionskosten!Z101)</f>
        <v>200000</v>
      </c>
      <c r="Q99" s="61">
        <f>IF(Investitionskosten!AB101="",Investitionskosten!AC101,Investitionskosten!AB101)</f>
        <v>300000</v>
      </c>
      <c r="R99" s="148">
        <f>IF(Investitionskosten!AD101="",Investitionskosten!AE101,Investitionskosten!AD101)</f>
        <v>400000</v>
      </c>
      <c r="T99" s="28"/>
      <c r="V99" s="28"/>
    </row>
    <row r="100" spans="1:22">
      <c r="A100" s="125"/>
      <c r="B100" s="304" t="s">
        <v>1225</v>
      </c>
      <c r="C100" s="131" t="s">
        <v>1250</v>
      </c>
      <c r="D100" s="126" t="s">
        <v>1011</v>
      </c>
      <c r="E100" s="134"/>
      <c r="F100" s="142">
        <f>IF(Investitionskosten!F102="",Investitionskosten!G102,Investitionskosten!F102)</f>
        <v>6000</v>
      </c>
      <c r="G100" s="93">
        <f>IF(Investitionskosten!H102="",Investitionskosten!I102,Investitionskosten!H102)</f>
        <v>6000</v>
      </c>
      <c r="H100" s="93">
        <f>IF(Investitionskosten!J102="",Investitionskosten!K102,Investitionskosten!J102)</f>
        <v>7000</v>
      </c>
      <c r="I100" s="93">
        <f>IF(Investitionskosten!L102="",Investitionskosten!M102,Investitionskosten!L102)</f>
        <v>10000</v>
      </c>
      <c r="J100" s="93">
        <f>IF(Investitionskosten!N102="",Investitionskosten!O102,Investitionskosten!N102)</f>
        <v>35000</v>
      </c>
      <c r="K100" s="93">
        <f>IF(Investitionskosten!P102="",Investitionskosten!Q102,Investitionskosten!P102)</f>
        <v>50000</v>
      </c>
      <c r="L100" s="93">
        <f>IF(Investitionskosten!R102="",Investitionskosten!S102,Investitionskosten!R102)</f>
        <v>100000</v>
      </c>
      <c r="M100" s="93">
        <f>IF(Investitionskosten!T102="",Investitionskosten!U102,Investitionskosten!T102)</f>
        <v>175000</v>
      </c>
      <c r="N100" s="93">
        <f>IF(Investitionskosten!V102="",Investitionskosten!W102,Investitionskosten!V102)</f>
        <v>250000</v>
      </c>
      <c r="O100" s="93">
        <f>IF(Investitionskosten!X102="",Investitionskosten!Y102,Investitionskosten!X102)</f>
        <v>375000</v>
      </c>
      <c r="P100" s="93">
        <f>IF(Investitionskosten!Z102="",Investitionskosten!AA102,Investitionskosten!Z102)</f>
        <v>500000</v>
      </c>
      <c r="Q100" s="93">
        <f>IF(Investitionskosten!AB102="",Investitionskosten!AC102,Investitionskosten!AB102)</f>
        <v>750000</v>
      </c>
      <c r="R100" s="92">
        <f>IF(Investitionskosten!AD102="",Investitionskosten!AE102,Investitionskosten!AD102)</f>
        <v>1000000</v>
      </c>
      <c r="T100" s="28"/>
      <c r="V100" s="28"/>
    </row>
    <row r="101" spans="1:22">
      <c r="A101" s="125"/>
      <c r="B101" s="305" t="s">
        <v>1219</v>
      </c>
      <c r="C101" s="126" t="s">
        <v>1012</v>
      </c>
      <c r="D101" s="126" t="s">
        <v>946</v>
      </c>
      <c r="E101" s="134"/>
      <c r="F101" s="142">
        <f>IF(Investitionskosten!F103="",Investitionskosten!G103,Investitionskosten!F103)</f>
        <v>0</v>
      </c>
      <c r="G101" s="93">
        <f>IF(Investitionskosten!H103="",Investitionskosten!I103,Investitionskosten!H103)</f>
        <v>0</v>
      </c>
      <c r="H101" s="93">
        <f>IF(Investitionskosten!J103="",Investitionskosten!K103,Investitionskosten!J103)</f>
        <v>0</v>
      </c>
      <c r="I101" s="93">
        <f>IF(Investitionskosten!L103="",Investitionskosten!M103,Investitionskosten!L103)</f>
        <v>4000</v>
      </c>
      <c r="J101" s="93">
        <f>IF(Investitionskosten!N103="",Investitionskosten!O103,Investitionskosten!N103)</f>
        <v>11200</v>
      </c>
      <c r="K101" s="93">
        <f>IF(Investitionskosten!P103="",Investitionskosten!Q103,Investitionskosten!P103)</f>
        <v>16000</v>
      </c>
      <c r="L101" s="93">
        <f>IF(Investitionskosten!R103="",Investitionskosten!S103,Investitionskosten!R103)</f>
        <v>32000</v>
      </c>
      <c r="M101" s="93">
        <f>IF(Investitionskosten!T103="",Investitionskosten!U103,Investitionskosten!T103)</f>
        <v>56000</v>
      </c>
      <c r="N101" s="93">
        <f>IF(Investitionskosten!V103="",Investitionskosten!W103,Investitionskosten!V103)</f>
        <v>80000</v>
      </c>
      <c r="O101" s="93">
        <f>IF(Investitionskosten!X103="",Investitionskosten!Y103,Investitionskosten!X103)</f>
        <v>120000</v>
      </c>
      <c r="P101" s="93">
        <f>IF(Investitionskosten!Z103="",Investitionskosten!AA103,Investitionskosten!Z103)</f>
        <v>160000</v>
      </c>
      <c r="Q101" s="93">
        <f>IF(Investitionskosten!AB103="",Investitionskosten!AC103,Investitionskosten!AB103)</f>
        <v>240000</v>
      </c>
      <c r="R101" s="92">
        <f>IF(Investitionskosten!AD103="",Investitionskosten!AE103,Investitionskosten!AD103)</f>
        <v>320000</v>
      </c>
      <c r="T101" s="28"/>
      <c r="V101" s="28"/>
    </row>
    <row r="102" spans="1:22">
      <c r="A102" s="125"/>
      <c r="B102" s="305" t="s">
        <v>1219</v>
      </c>
      <c r="C102" s="126" t="s">
        <v>1012</v>
      </c>
      <c r="D102" s="126" t="s">
        <v>947</v>
      </c>
      <c r="E102" s="134"/>
      <c r="F102" s="142">
        <f>IF(Investitionskosten!F104="",Investitionskosten!G104,Investitionskosten!F104)</f>
        <v>5000</v>
      </c>
      <c r="G102" s="93">
        <f>IF(Investitionskosten!H104="",Investitionskosten!I104,Investitionskosten!H104)</f>
        <v>5000</v>
      </c>
      <c r="H102" s="93">
        <f>IF(Investitionskosten!J104="",Investitionskosten!K104,Investitionskosten!J104)</f>
        <v>10000</v>
      </c>
      <c r="I102" s="93">
        <f>IF(Investitionskosten!L104="",Investitionskosten!M104,Investitionskosten!L104)</f>
        <v>20000</v>
      </c>
      <c r="J102" s="93">
        <f>IF(Investitionskosten!N104="",Investitionskosten!O104,Investitionskosten!N104)</f>
        <v>70000</v>
      </c>
      <c r="K102" s="93">
        <f>IF(Investitionskosten!P104="",Investitionskosten!Q104,Investitionskosten!P104)</f>
        <v>100000</v>
      </c>
      <c r="L102" s="93">
        <f>IF(Investitionskosten!R104="",Investitionskosten!S104,Investitionskosten!R104)</f>
        <v>200000</v>
      </c>
      <c r="M102" s="93">
        <f>IF(Investitionskosten!T104="",Investitionskosten!U104,Investitionskosten!T104)</f>
        <v>350000</v>
      </c>
      <c r="N102" s="93">
        <f>IF(Investitionskosten!V104="",Investitionskosten!W104,Investitionskosten!V104)</f>
        <v>500000</v>
      </c>
      <c r="O102" s="93">
        <f>IF(Investitionskosten!X104="",Investitionskosten!Y104,Investitionskosten!X104)</f>
        <v>750000</v>
      </c>
      <c r="P102" s="93">
        <f>IF(Investitionskosten!Z104="",Investitionskosten!AA104,Investitionskosten!Z104)</f>
        <v>1000000</v>
      </c>
      <c r="Q102" s="93">
        <f>IF(Investitionskosten!AB104="",Investitionskosten!AC104,Investitionskosten!AB104)</f>
        <v>1500000</v>
      </c>
      <c r="R102" s="92">
        <f>IF(Investitionskosten!AD104="",Investitionskosten!AE104,Investitionskosten!AD104)</f>
        <v>2000000</v>
      </c>
      <c r="T102" s="28"/>
    </row>
    <row r="103" spans="1:22">
      <c r="A103" s="125"/>
      <c r="B103" s="305" t="s">
        <v>1226</v>
      </c>
      <c r="C103" s="126" t="s">
        <v>948</v>
      </c>
      <c r="D103" s="126" t="s">
        <v>948</v>
      </c>
      <c r="E103" s="134"/>
      <c r="F103" s="142">
        <f>IF(Investitionskosten!F105="",Investitionskosten!G105,Investitionskosten!F105)</f>
        <v>10000</v>
      </c>
      <c r="G103" s="93">
        <f>IF(Investitionskosten!H105="",Investitionskosten!I105,Investitionskosten!H105)</f>
        <v>10000</v>
      </c>
      <c r="H103" s="93">
        <f>IF(Investitionskosten!J105="",Investitionskosten!K105,Investitionskosten!J105)</f>
        <v>20000</v>
      </c>
      <c r="I103" s="93">
        <f>IF(Investitionskosten!L105="",Investitionskosten!M105,Investitionskosten!L105)</f>
        <v>40000</v>
      </c>
      <c r="J103" s="93">
        <f>IF(Investitionskosten!N105="",Investitionskosten!O105,Investitionskosten!N105)</f>
        <v>140000</v>
      </c>
      <c r="K103" s="93">
        <f>IF(Investitionskosten!P105="",Investitionskosten!Q105,Investitionskosten!P105)</f>
        <v>200000</v>
      </c>
      <c r="L103" s="93">
        <f>IF(Investitionskosten!R105="",Investitionskosten!S105,Investitionskosten!R105)</f>
        <v>400000</v>
      </c>
      <c r="M103" s="93">
        <f>IF(Investitionskosten!T105="",Investitionskosten!U105,Investitionskosten!T105)</f>
        <v>700000</v>
      </c>
      <c r="N103" s="93">
        <f>IF(Investitionskosten!V105="",Investitionskosten!W105,Investitionskosten!V105)</f>
        <v>1000000</v>
      </c>
      <c r="O103" s="93">
        <f>IF(Investitionskosten!X105="",Investitionskosten!Y105,Investitionskosten!X105)</f>
        <v>1500000</v>
      </c>
      <c r="P103" s="93">
        <f>IF(Investitionskosten!Z105="",Investitionskosten!AA105,Investitionskosten!Z105)</f>
        <v>2000000</v>
      </c>
      <c r="Q103" s="93">
        <f>IF(Investitionskosten!AB105="",Investitionskosten!AC105,Investitionskosten!AB105)</f>
        <v>3000000</v>
      </c>
      <c r="R103" s="92">
        <f>IF(Investitionskosten!AD105="",Investitionskosten!AE105,Investitionskosten!AD105)</f>
        <v>4000000</v>
      </c>
      <c r="T103" s="28"/>
    </row>
    <row r="104" spans="1:22" ht="15">
      <c r="A104" s="125"/>
      <c r="B104" s="305" t="s">
        <v>1228</v>
      </c>
      <c r="C104" s="126" t="s">
        <v>1013</v>
      </c>
      <c r="D104" s="126" t="s">
        <v>1060</v>
      </c>
      <c r="E104" s="134"/>
      <c r="F104" s="142">
        <f>IF(Investitionskosten!F106="",Investitionskosten!G106,Investitionskosten!F106)</f>
        <v>0</v>
      </c>
      <c r="G104" s="93">
        <f>IF(Investitionskosten!H106="",Investitionskosten!I106,Investitionskosten!H106)</f>
        <v>0</v>
      </c>
      <c r="H104" s="93">
        <f>IF(Investitionskosten!J106="",Investitionskosten!K106,Investitionskosten!J106)</f>
        <v>0</v>
      </c>
      <c r="I104" s="93">
        <f>IF(Investitionskosten!L106="",Investitionskosten!M106,Investitionskosten!L106)</f>
        <v>0</v>
      </c>
      <c r="J104" s="93">
        <f>IF(Investitionskosten!N106="",Investitionskosten!O106,Investitionskosten!N106)</f>
        <v>0</v>
      </c>
      <c r="K104" s="93">
        <f>IF(Investitionskosten!P106="",Investitionskosten!Q106,Investitionskosten!P106)</f>
        <v>0</v>
      </c>
      <c r="L104" s="93">
        <f>IF(Investitionskosten!R106="",Investitionskosten!S106,Investitionskosten!R106)</f>
        <v>15000</v>
      </c>
      <c r="M104" s="93">
        <f>IF(Investitionskosten!T106="",Investitionskosten!U106,Investitionskosten!T106)</f>
        <v>20000</v>
      </c>
      <c r="N104" s="93">
        <f>IF(Investitionskosten!V106="",Investitionskosten!W106,Investitionskosten!V106)</f>
        <v>25000</v>
      </c>
      <c r="O104" s="93">
        <f>IF(Investitionskosten!X106="",Investitionskosten!Y106,Investitionskosten!X106)</f>
        <v>30000</v>
      </c>
      <c r="P104" s="93">
        <f>IF(Investitionskosten!Z106="",Investitionskosten!AA106,Investitionskosten!Z106)</f>
        <v>35000</v>
      </c>
      <c r="Q104" s="93">
        <f>IF(Investitionskosten!AB106="",Investitionskosten!AC106,Investitionskosten!AB106)</f>
        <v>45000</v>
      </c>
      <c r="R104" s="92">
        <f>IF(Investitionskosten!AD106="",Investitionskosten!AE106,Investitionskosten!AD106)</f>
        <v>55000</v>
      </c>
      <c r="T104" s="21"/>
    </row>
    <row r="105" spans="1:22">
      <c r="A105" s="125"/>
      <c r="B105" s="305" t="s">
        <v>1228</v>
      </c>
      <c r="C105" s="126" t="s">
        <v>1013</v>
      </c>
      <c r="D105" s="126" t="s">
        <v>1016</v>
      </c>
      <c r="E105" s="134"/>
      <c r="F105" s="142">
        <f>IF(Investitionskosten!F107="",Investitionskosten!G107,Investitionskosten!F107)</f>
        <v>500</v>
      </c>
      <c r="G105" s="93">
        <f>IF(Investitionskosten!H107="",Investitionskosten!I107,Investitionskosten!H107)</f>
        <v>500</v>
      </c>
      <c r="H105" s="93">
        <f>IF(Investitionskosten!J107="",Investitionskosten!K107,Investitionskosten!J107)</f>
        <v>500</v>
      </c>
      <c r="I105" s="93">
        <f>IF(Investitionskosten!L107="",Investitionskosten!M107,Investitionskosten!L107)</f>
        <v>800</v>
      </c>
      <c r="J105" s="93">
        <f>IF(Investitionskosten!N107="",Investitionskosten!O107,Investitionskosten!N107)</f>
        <v>800</v>
      </c>
      <c r="K105" s="93">
        <f>IF(Investitionskosten!P107="",Investitionskosten!Q107,Investitionskosten!P107)</f>
        <v>1200</v>
      </c>
      <c r="L105" s="93">
        <f>IF(Investitionskosten!R107="",Investitionskosten!S107,Investitionskosten!R107)</f>
        <v>1200</v>
      </c>
      <c r="M105" s="93">
        <f>IF(Investitionskosten!T107="",Investitionskosten!U107,Investitionskosten!T107)</f>
        <v>1500</v>
      </c>
      <c r="N105" s="93">
        <f>IF(Investitionskosten!V107="",Investitionskosten!W107,Investitionskosten!V107)</f>
        <v>1500</v>
      </c>
      <c r="O105" s="93">
        <f>IF(Investitionskosten!X107="",Investitionskosten!Y107,Investitionskosten!X107)</f>
        <v>2000</v>
      </c>
      <c r="P105" s="93">
        <f>IF(Investitionskosten!Z107="",Investitionskosten!AA107,Investitionskosten!Z107)</f>
        <v>2000</v>
      </c>
      <c r="Q105" s="93">
        <f>IF(Investitionskosten!AB107="",Investitionskosten!AC107,Investitionskosten!AB107)</f>
        <v>2000</v>
      </c>
      <c r="R105" s="92">
        <f>IF(Investitionskosten!AD107="",Investitionskosten!AE107,Investitionskosten!AD107)</f>
        <v>2000</v>
      </c>
      <c r="T105" s="28"/>
    </row>
    <row r="106" spans="1:22">
      <c r="A106" s="125"/>
      <c r="B106" s="305" t="s">
        <v>1228</v>
      </c>
      <c r="C106" s="126" t="s">
        <v>1013</v>
      </c>
      <c r="D106" s="126" t="s">
        <v>1018</v>
      </c>
      <c r="E106" s="134"/>
      <c r="F106" s="142">
        <f>IF(Investitionskosten!F108="",Investitionskosten!G108,Investitionskosten!F108)</f>
        <v>750</v>
      </c>
      <c r="G106" s="93">
        <f>IF(Investitionskosten!H108="",Investitionskosten!I108,Investitionskosten!H108)</f>
        <v>750</v>
      </c>
      <c r="H106" s="93">
        <f>IF(Investitionskosten!J108="",Investitionskosten!K108,Investitionskosten!J108)</f>
        <v>1000</v>
      </c>
      <c r="I106" s="93">
        <f>IF(Investitionskosten!L108="",Investitionskosten!M108,Investitionskosten!L108)</f>
        <v>1500</v>
      </c>
      <c r="J106" s="93">
        <f>IF(Investitionskosten!N108="",Investitionskosten!O108,Investitionskosten!N108)</f>
        <v>2500</v>
      </c>
      <c r="K106" s="93">
        <f>IF(Investitionskosten!P108="",Investitionskosten!Q108,Investitionskosten!P108)</f>
        <v>3000</v>
      </c>
      <c r="L106" s="93">
        <f>IF(Investitionskosten!R108="",Investitionskosten!S108,Investitionskosten!R108)</f>
        <v>4000</v>
      </c>
      <c r="M106" s="93">
        <f>IF(Investitionskosten!T108="",Investitionskosten!U108,Investitionskosten!T108)</f>
        <v>5000</v>
      </c>
      <c r="N106" s="93">
        <f>IF(Investitionskosten!V108="",Investitionskosten!W108,Investitionskosten!V108)</f>
        <v>6000</v>
      </c>
      <c r="O106" s="93">
        <f>IF(Investitionskosten!X108="",Investitionskosten!Y108,Investitionskosten!X108)</f>
        <v>7000</v>
      </c>
      <c r="P106" s="93">
        <f>IF(Investitionskosten!Z108="",Investitionskosten!AA108,Investitionskosten!Z108)</f>
        <v>8000</v>
      </c>
      <c r="Q106" s="93">
        <f>IF(Investitionskosten!AB108="",Investitionskosten!AC108,Investitionskosten!AB108)</f>
        <v>12000</v>
      </c>
      <c r="R106" s="92">
        <f>IF(Investitionskosten!AD108="",Investitionskosten!AE108,Investitionskosten!AD108)</f>
        <v>15000</v>
      </c>
      <c r="T106" s="28"/>
    </row>
    <row r="107" spans="1:22">
      <c r="A107" s="125"/>
      <c r="B107" s="305" t="s">
        <v>1228</v>
      </c>
      <c r="C107" s="126" t="s">
        <v>1013</v>
      </c>
      <c r="D107" s="126" t="s">
        <v>1019</v>
      </c>
      <c r="E107" s="134"/>
      <c r="F107" s="142">
        <f>IF(Investitionskosten!F109="",Investitionskosten!G109,Investitionskosten!F109)</f>
        <v>1000</v>
      </c>
      <c r="G107" s="93">
        <f>IF(Investitionskosten!H109="",Investitionskosten!I109,Investitionskosten!H109)</f>
        <v>1000</v>
      </c>
      <c r="H107" s="93">
        <f>IF(Investitionskosten!J109="",Investitionskosten!K109,Investitionskosten!J109)</f>
        <v>1500</v>
      </c>
      <c r="I107" s="93">
        <f>IF(Investitionskosten!L109="",Investitionskosten!M109,Investitionskosten!L109)</f>
        <v>1500</v>
      </c>
      <c r="J107" s="93">
        <f>IF(Investitionskosten!N109="",Investitionskosten!O109,Investitionskosten!N109)</f>
        <v>2000</v>
      </c>
      <c r="K107" s="93">
        <f>IF(Investitionskosten!P109="",Investitionskosten!Q109,Investitionskosten!P109)</f>
        <v>2500</v>
      </c>
      <c r="L107" s="93">
        <f>IF(Investitionskosten!R109="",Investitionskosten!S109,Investitionskosten!R109)</f>
        <v>3000</v>
      </c>
      <c r="M107" s="93">
        <f>IF(Investitionskosten!T109="",Investitionskosten!U109,Investitionskosten!T109)</f>
        <v>3000</v>
      </c>
      <c r="N107" s="93">
        <f>IF(Investitionskosten!V109="",Investitionskosten!W109,Investitionskosten!V109)</f>
        <v>3000</v>
      </c>
      <c r="O107" s="93">
        <f>IF(Investitionskosten!X109="",Investitionskosten!Y109,Investitionskosten!X109)</f>
        <v>3000</v>
      </c>
      <c r="P107" s="93">
        <f>IF(Investitionskosten!Z109="",Investitionskosten!AA109,Investitionskosten!Z109)</f>
        <v>3000</v>
      </c>
      <c r="Q107" s="93">
        <f>IF(Investitionskosten!AB109="",Investitionskosten!AC109,Investitionskosten!AB109)</f>
        <v>3000</v>
      </c>
      <c r="R107" s="92">
        <f>IF(Investitionskosten!AD109="",Investitionskosten!AE109,Investitionskosten!AD109)</f>
        <v>3000</v>
      </c>
      <c r="T107" s="28"/>
    </row>
    <row r="108" spans="1:22">
      <c r="A108" s="125"/>
      <c r="B108" s="306" t="s">
        <v>1228</v>
      </c>
      <c r="C108" s="297" t="s">
        <v>1013</v>
      </c>
      <c r="D108" s="134" t="s">
        <v>1061</v>
      </c>
      <c r="E108" s="134"/>
      <c r="F108" s="142">
        <f>IF(Investitionskosten!F110="",Investitionskosten!G110,Investitionskosten!F110)</f>
        <v>0</v>
      </c>
      <c r="G108" s="93">
        <f>IF(Investitionskosten!H110="",Investitionskosten!I110,Investitionskosten!H110)</f>
        <v>0</v>
      </c>
      <c r="H108" s="93">
        <f>IF(Investitionskosten!J110="",Investitionskosten!K110,Investitionskosten!J110)</f>
        <v>0</v>
      </c>
      <c r="I108" s="93">
        <f>IF(Investitionskosten!L110="",Investitionskosten!M110,Investitionskosten!L110)</f>
        <v>0</v>
      </c>
      <c r="J108" s="93">
        <f>IF(Investitionskosten!N110="",Investitionskosten!O110,Investitionskosten!N110)</f>
        <v>0</v>
      </c>
      <c r="K108" s="93">
        <f>IF(Investitionskosten!P110="",Investitionskosten!Q110,Investitionskosten!P110)</f>
        <v>0</v>
      </c>
      <c r="L108" s="93">
        <f>IF(Investitionskosten!R110="",Investitionskosten!S110,Investitionskosten!R110)</f>
        <v>0</v>
      </c>
      <c r="M108" s="93">
        <f>IF(Investitionskosten!T110="",Investitionskosten!U110,Investitionskosten!T110)</f>
        <v>0</v>
      </c>
      <c r="N108" s="93">
        <f>IF(Investitionskosten!V110="",Investitionskosten!W110,Investitionskosten!V110)</f>
        <v>0</v>
      </c>
      <c r="O108" s="93">
        <f>IF(Investitionskosten!X110="",Investitionskosten!Y110,Investitionskosten!X110)</f>
        <v>0</v>
      </c>
      <c r="P108" s="93">
        <f>IF(Investitionskosten!Z110="",Investitionskosten!AA110,Investitionskosten!Z110)</f>
        <v>0</v>
      </c>
      <c r="Q108" s="93">
        <f>IF(Investitionskosten!AB110="",Investitionskosten!AC110,Investitionskosten!AB110)</f>
        <v>0</v>
      </c>
      <c r="R108" s="92">
        <f>IF(Investitionskosten!AD110="",Investitionskosten!AE110,Investitionskosten!AD110)</f>
        <v>0</v>
      </c>
      <c r="T108" s="28"/>
    </row>
    <row r="109" spans="1:22">
      <c r="A109" s="125"/>
      <c r="B109" s="64"/>
      <c r="C109" s="64"/>
      <c r="D109" s="64"/>
      <c r="E109" s="64"/>
      <c r="T109" s="28"/>
    </row>
    <row r="110" spans="1:22">
      <c r="A110" s="125"/>
      <c r="B110" s="125" t="s">
        <v>968</v>
      </c>
      <c r="C110" s="64"/>
      <c r="D110" s="64"/>
      <c r="E110" s="64"/>
      <c r="T110" s="28"/>
    </row>
    <row r="111" spans="1:22" ht="15">
      <c r="A111" s="125"/>
      <c r="B111" s="304" t="s">
        <v>1229</v>
      </c>
      <c r="C111" s="131" t="s">
        <v>1246</v>
      </c>
      <c r="D111" s="131" t="s">
        <v>1025</v>
      </c>
      <c r="E111" s="64"/>
      <c r="F111" s="4">
        <f>IF(Investitionskosten!F113="",Investitionskosten!G113,Investitionskosten!F113)</f>
        <v>3000</v>
      </c>
      <c r="G111" s="61">
        <f>IF(Investitionskosten!H113="",Investitionskosten!I113,Investitionskosten!H113)</f>
        <v>3000</v>
      </c>
      <c r="H111" s="61">
        <f>IF(Investitionskosten!J113="",Investitionskosten!K113,Investitionskosten!J113)</f>
        <v>3000</v>
      </c>
      <c r="I111" s="61">
        <f>IF(Investitionskosten!L113="",Investitionskosten!M113,Investitionskosten!L113)</f>
        <v>3000</v>
      </c>
      <c r="J111" s="61">
        <f>IF(Investitionskosten!N113="",Investitionskosten!O113,Investitionskosten!N113)</f>
        <v>6300</v>
      </c>
      <c r="K111" s="61">
        <f>IF(Investitionskosten!P113="",Investitionskosten!Q113,Investitionskosten!P113)</f>
        <v>9000</v>
      </c>
      <c r="L111" s="61">
        <f>IF(Investitionskosten!R113="",Investitionskosten!S113,Investitionskosten!R113)</f>
        <v>12000</v>
      </c>
      <c r="M111" s="61">
        <f>IF(Investitionskosten!T113="",Investitionskosten!U113,Investitionskosten!T113)</f>
        <v>18900</v>
      </c>
      <c r="N111" s="61">
        <f>IF(Investitionskosten!V113="",Investitionskosten!W113,Investitionskosten!V113)</f>
        <v>24000</v>
      </c>
      <c r="O111" s="61">
        <f>IF(Investitionskosten!X113="",Investitionskosten!Y113,Investitionskosten!X113)</f>
        <v>27000</v>
      </c>
      <c r="P111" s="61">
        <f>IF(Investitionskosten!Z113="",Investitionskosten!AA113,Investitionskosten!Z113)</f>
        <v>30000</v>
      </c>
      <c r="Q111" s="61">
        <f>IF(Investitionskosten!AB113="",Investitionskosten!AC113,Investitionskosten!AB113)</f>
        <v>36000</v>
      </c>
      <c r="R111" s="148">
        <f>IF(Investitionskosten!AD113="",Investitionskosten!AE113,Investitionskosten!AD113)</f>
        <v>36000</v>
      </c>
      <c r="T111" s="21"/>
    </row>
    <row r="112" spans="1:22">
      <c r="A112" s="125"/>
      <c r="B112" s="305" t="s">
        <v>1230</v>
      </c>
      <c r="C112" s="126" t="s">
        <v>1247</v>
      </c>
      <c r="D112" s="126" t="s">
        <v>1027</v>
      </c>
      <c r="E112" s="134"/>
      <c r="F112" s="142">
        <f>IF(Investitionskosten!F114="",Investitionskosten!G114,Investitionskosten!F114)</f>
        <v>2500</v>
      </c>
      <c r="G112" s="93">
        <f>IF(Investitionskosten!H114="",Investitionskosten!I114,Investitionskosten!H114)</f>
        <v>2500</v>
      </c>
      <c r="H112" s="93">
        <f>IF(Investitionskosten!J114="",Investitionskosten!K114,Investitionskosten!J114)</f>
        <v>4000</v>
      </c>
      <c r="I112" s="93">
        <f>IF(Investitionskosten!L114="",Investitionskosten!M114,Investitionskosten!L114)</f>
        <v>7000</v>
      </c>
      <c r="J112" s="93">
        <f>IF(Investitionskosten!N114="",Investitionskosten!O114,Investitionskosten!N114)</f>
        <v>15000</v>
      </c>
      <c r="K112" s="93">
        <f>IF(Investitionskosten!P114="",Investitionskosten!Q114,Investitionskosten!P114)</f>
        <v>20000</v>
      </c>
      <c r="L112" s="93">
        <f>IF(Investitionskosten!R114="",Investitionskosten!S114,Investitionskosten!R114)</f>
        <v>30000</v>
      </c>
      <c r="M112" s="93">
        <f>IF(Investitionskosten!T114="",Investitionskosten!U114,Investitionskosten!T114)</f>
        <v>42000</v>
      </c>
      <c r="N112" s="93">
        <f>IF(Investitionskosten!V114="",Investitionskosten!W114,Investitionskosten!V114)</f>
        <v>50000</v>
      </c>
      <c r="O112" s="93">
        <f>IF(Investitionskosten!X114="",Investitionskosten!Y114,Investitionskosten!X114)</f>
        <v>75000</v>
      </c>
      <c r="P112" s="93">
        <f>IF(Investitionskosten!Z114="",Investitionskosten!AA114,Investitionskosten!Z114)</f>
        <v>100000</v>
      </c>
      <c r="Q112" s="93">
        <f>IF(Investitionskosten!AB114="",Investitionskosten!AC114,Investitionskosten!AB114)</f>
        <v>150000</v>
      </c>
      <c r="R112" s="92">
        <f>IF(Investitionskosten!AD114="",Investitionskosten!AE114,Investitionskosten!AD114)</f>
        <v>200000</v>
      </c>
      <c r="T112" s="28"/>
    </row>
    <row r="113" spans="1:20">
      <c r="A113" s="125"/>
      <c r="B113" s="305" t="s">
        <v>1230</v>
      </c>
      <c r="C113" s="126" t="s">
        <v>1247</v>
      </c>
      <c r="D113" s="126" t="s">
        <v>1028</v>
      </c>
      <c r="E113" s="134"/>
      <c r="F113" s="142">
        <f>IF(Investitionskosten!F115="",Investitionskosten!G115,Investitionskosten!F115)</f>
        <v>3600</v>
      </c>
      <c r="G113" s="93">
        <f>IF(Investitionskosten!H115="",Investitionskosten!I115,Investitionskosten!H115)</f>
        <v>3600</v>
      </c>
      <c r="H113" s="93">
        <f>IF(Investitionskosten!J115="",Investitionskosten!K115,Investitionskosten!J115)</f>
        <v>5300</v>
      </c>
      <c r="I113" s="93">
        <f>IF(Investitionskosten!L115="",Investitionskosten!M115,Investitionskosten!L115)</f>
        <v>8500</v>
      </c>
      <c r="J113" s="93">
        <f>IF(Investitionskosten!N115="",Investitionskosten!O115,Investitionskosten!N115)</f>
        <v>24800</v>
      </c>
      <c r="K113" s="93">
        <f>IF(Investitionskosten!P115="",Investitionskosten!Q115,Investitionskosten!P115)</f>
        <v>34600</v>
      </c>
      <c r="L113" s="93">
        <f>IF(Investitionskosten!R115="",Investitionskosten!S115,Investitionskosten!R115)</f>
        <v>67000</v>
      </c>
      <c r="M113" s="93">
        <f>IF(Investitionskosten!T115="",Investitionskosten!U115,Investitionskosten!T115)</f>
        <v>0</v>
      </c>
      <c r="N113" s="93">
        <f>IF(Investitionskosten!V115="",Investitionskosten!W115,Investitionskosten!V115)</f>
        <v>0</v>
      </c>
      <c r="O113" s="93">
        <f>IF(Investitionskosten!X115="",Investitionskosten!Y115,Investitionskosten!X115)</f>
        <v>0</v>
      </c>
      <c r="P113" s="93">
        <f>IF(Investitionskosten!Z115="",Investitionskosten!AA115,Investitionskosten!Z115)</f>
        <v>0</v>
      </c>
      <c r="Q113" s="93">
        <f>IF(Investitionskosten!AB115="",Investitionskosten!AC115,Investitionskosten!AB115)</f>
        <v>0</v>
      </c>
      <c r="R113" s="92">
        <f>IF(Investitionskosten!AD115="",Investitionskosten!AE115,Investitionskosten!AD115)</f>
        <v>0</v>
      </c>
      <c r="T113" s="28"/>
    </row>
    <row r="114" spans="1:20">
      <c r="A114" s="125"/>
      <c r="B114" s="305" t="s">
        <v>1230</v>
      </c>
      <c r="C114" s="126" t="s">
        <v>1247</v>
      </c>
      <c r="D114" s="126" t="s">
        <v>969</v>
      </c>
      <c r="E114" s="134"/>
      <c r="F114" s="142">
        <f>IF(Investitionskosten!F116="",Investitionskosten!G116,Investitionskosten!F116)</f>
        <v>4000</v>
      </c>
      <c r="G114" s="93">
        <f>IF(Investitionskosten!H116="",Investitionskosten!I116,Investitionskosten!H116)</f>
        <v>4000</v>
      </c>
      <c r="H114" s="93">
        <f>IF(Investitionskosten!J116="",Investitionskosten!K116,Investitionskosten!J116)</f>
        <v>4000</v>
      </c>
      <c r="I114" s="93">
        <f>IF(Investitionskosten!L116="",Investitionskosten!M116,Investitionskosten!L116)</f>
        <v>4000</v>
      </c>
      <c r="J114" s="93">
        <f>IF(Investitionskosten!N116="",Investitionskosten!O116,Investitionskosten!N116)</f>
        <v>7600</v>
      </c>
      <c r="K114" s="93">
        <f>IF(Investitionskosten!P116="",Investitionskosten!Q116,Investitionskosten!P116)</f>
        <v>10900</v>
      </c>
      <c r="L114" s="93">
        <f>IF(Investitionskosten!R116="",Investitionskosten!S116,Investitionskosten!R116)</f>
        <v>21700</v>
      </c>
      <c r="M114" s="93">
        <f>IF(Investitionskosten!T116="",Investitionskosten!U116,Investitionskosten!T116)</f>
        <v>0</v>
      </c>
      <c r="N114" s="93">
        <f>IF(Investitionskosten!V116="",Investitionskosten!W116,Investitionskosten!V116)</f>
        <v>0</v>
      </c>
      <c r="O114" s="93">
        <f>IF(Investitionskosten!X116="",Investitionskosten!Y116,Investitionskosten!X116)</f>
        <v>0</v>
      </c>
      <c r="P114" s="93">
        <f>IF(Investitionskosten!Z116="",Investitionskosten!AA116,Investitionskosten!Z116)</f>
        <v>0</v>
      </c>
      <c r="Q114" s="93">
        <f>IF(Investitionskosten!AB116="",Investitionskosten!AC116,Investitionskosten!AB116)</f>
        <v>0</v>
      </c>
      <c r="R114" s="92">
        <f>IF(Investitionskosten!AD116="",Investitionskosten!AE116,Investitionskosten!AD116)</f>
        <v>0</v>
      </c>
      <c r="T114" s="28"/>
    </row>
    <row r="115" spans="1:20">
      <c r="A115" s="125"/>
      <c r="B115" s="305" t="s">
        <v>1230</v>
      </c>
      <c r="C115" s="126" t="s">
        <v>1247</v>
      </c>
      <c r="D115" s="126" t="s">
        <v>1031</v>
      </c>
      <c r="E115" s="134"/>
      <c r="F115" s="142">
        <f>IF(Investitionskosten!F117="",Investitionskosten!G117,Investitionskosten!F117)</f>
        <v>3500</v>
      </c>
      <c r="G115" s="93">
        <f>IF(Investitionskosten!H117="",Investitionskosten!I117,Investitionskosten!H117)</f>
        <v>3500</v>
      </c>
      <c r="H115" s="93">
        <f>IF(Investitionskosten!J117="",Investitionskosten!K117,Investitionskosten!J117)</f>
        <v>7000</v>
      </c>
      <c r="I115" s="93">
        <f>IF(Investitionskosten!L117="",Investitionskosten!M117,Investitionskosten!L117)</f>
        <v>14000</v>
      </c>
      <c r="J115" s="93">
        <f>IF(Investitionskosten!N117="",Investitionskosten!O117,Investitionskosten!N117)</f>
        <v>42000</v>
      </c>
      <c r="K115" s="93">
        <f>IF(Investitionskosten!P117="",Investitionskosten!Q117,Investitionskosten!P117)</f>
        <v>50000</v>
      </c>
      <c r="L115" s="93">
        <f>IF(Investitionskosten!R117="",Investitionskosten!S117,Investitionskosten!R117)</f>
        <v>60000</v>
      </c>
      <c r="M115" s="93">
        <f>IF(Investitionskosten!T117="",Investitionskosten!U117,Investitionskosten!T117)</f>
        <v>0</v>
      </c>
      <c r="N115" s="93">
        <f>IF(Investitionskosten!V117="",Investitionskosten!W117,Investitionskosten!V117)</f>
        <v>0</v>
      </c>
      <c r="O115" s="93">
        <f>IF(Investitionskosten!X117="",Investitionskosten!Y117,Investitionskosten!X117)</f>
        <v>0</v>
      </c>
      <c r="P115" s="93">
        <f>IF(Investitionskosten!Z117="",Investitionskosten!AA117,Investitionskosten!Z117)</f>
        <v>0</v>
      </c>
      <c r="Q115" s="93">
        <f>IF(Investitionskosten!AB117="",Investitionskosten!AC117,Investitionskosten!AB117)</f>
        <v>0</v>
      </c>
      <c r="R115" s="92">
        <f>IF(Investitionskosten!AD117="",Investitionskosten!AE117,Investitionskosten!AD117)</f>
        <v>0</v>
      </c>
      <c r="T115" s="28"/>
    </row>
    <row r="116" spans="1:20">
      <c r="A116" s="125"/>
      <c r="B116" s="305" t="s">
        <v>1230</v>
      </c>
      <c r="C116" s="126" t="s">
        <v>1033</v>
      </c>
      <c r="D116" s="126" t="s">
        <v>1059</v>
      </c>
      <c r="E116" s="134"/>
      <c r="F116" s="142">
        <f>IF(Investitionskosten!F118="",Investitionskosten!G118,Investitionskosten!F118)</f>
        <v>0</v>
      </c>
      <c r="G116" s="93">
        <f>IF(Investitionskosten!H118="",Investitionskosten!I118,Investitionskosten!H118)</f>
        <v>0</v>
      </c>
      <c r="H116" s="93">
        <f>IF(Investitionskosten!J118="",Investitionskosten!K118,Investitionskosten!J118)</f>
        <v>0</v>
      </c>
      <c r="I116" s="93">
        <f>IF(Investitionskosten!L118="",Investitionskosten!M118,Investitionskosten!L118)</f>
        <v>13400</v>
      </c>
      <c r="J116" s="93">
        <f>IF(Investitionskosten!N118="",Investitionskosten!O118,Investitionskosten!N118)</f>
        <v>25100</v>
      </c>
      <c r="K116" s="93">
        <f>IF(Investitionskosten!P118="",Investitionskosten!Q118,Investitionskosten!P118)</f>
        <v>30000</v>
      </c>
      <c r="L116" s="93">
        <f>IF(Investitionskosten!R118="",Investitionskosten!S118,Investitionskosten!R118)</f>
        <v>42400</v>
      </c>
      <c r="M116" s="93">
        <f>IF(Investitionskosten!T118="",Investitionskosten!U118,Investitionskosten!T118)</f>
        <v>0</v>
      </c>
      <c r="N116" s="93">
        <f>IF(Investitionskosten!V118="",Investitionskosten!W118,Investitionskosten!V118)</f>
        <v>0</v>
      </c>
      <c r="O116" s="93">
        <f>IF(Investitionskosten!X118="",Investitionskosten!Y118,Investitionskosten!X118)</f>
        <v>0</v>
      </c>
      <c r="P116" s="93">
        <f>IF(Investitionskosten!Z118="",Investitionskosten!AA118,Investitionskosten!Z118)</f>
        <v>0</v>
      </c>
      <c r="Q116" s="93">
        <f>IF(Investitionskosten!AB118="",Investitionskosten!AC118,Investitionskosten!AB118)</f>
        <v>0</v>
      </c>
      <c r="R116" s="92">
        <f>IF(Investitionskosten!AD118="",Investitionskosten!AE118,Investitionskosten!AD118)</f>
        <v>0</v>
      </c>
      <c r="T116" s="28"/>
    </row>
    <row r="117" spans="1:20">
      <c r="A117" s="125"/>
      <c r="B117" s="82" t="s">
        <v>1229</v>
      </c>
      <c r="C117" s="64" t="s">
        <v>1246</v>
      </c>
      <c r="D117" s="134" t="s">
        <v>1036</v>
      </c>
      <c r="E117" s="134"/>
      <c r="F117" s="142">
        <f>IF(Investitionskosten!F119="",Investitionskosten!G119,Investitionskosten!F119)</f>
        <v>1800</v>
      </c>
      <c r="G117" s="93">
        <f>IF(Investitionskosten!H119="",Investitionskosten!I119,Investitionskosten!H119)</f>
        <v>1800</v>
      </c>
      <c r="H117" s="93">
        <f>IF(Investitionskosten!J119="",Investitionskosten!K119,Investitionskosten!J119)</f>
        <v>1800</v>
      </c>
      <c r="I117" s="93">
        <f>IF(Investitionskosten!L119="",Investitionskosten!M119,Investitionskosten!L119)</f>
        <v>3100</v>
      </c>
      <c r="J117" s="93">
        <f>IF(Investitionskosten!N119="",Investitionskosten!O119,Investitionskosten!N119)</f>
        <v>10800</v>
      </c>
      <c r="K117" s="93">
        <f>IF(Investitionskosten!P119="",Investitionskosten!Q119,Investitionskosten!P119)</f>
        <v>15400</v>
      </c>
      <c r="L117" s="93">
        <f>IF(Investitionskosten!R119="",Investitionskosten!S119,Investitionskosten!R119)</f>
        <v>24700</v>
      </c>
      <c r="M117" s="93">
        <f>IF(Investitionskosten!T119="",Investitionskosten!U119,Investitionskosten!T119)</f>
        <v>43000</v>
      </c>
      <c r="N117" s="93">
        <f>IF(Investitionskosten!V119="",Investitionskosten!W119,Investitionskosten!V119)</f>
        <v>62000</v>
      </c>
      <c r="O117" s="93">
        <f>IF(Investitionskosten!X119="",Investitionskosten!Y119,Investitionskosten!X119)</f>
        <v>69000</v>
      </c>
      <c r="P117" s="93">
        <f>IF(Investitionskosten!Z119="",Investitionskosten!AA119,Investitionskosten!Z119)</f>
        <v>93000</v>
      </c>
      <c r="Q117" s="93">
        <f>IF(Investitionskosten!AB119="",Investitionskosten!AC119,Investitionskosten!AB119)</f>
        <v>116000</v>
      </c>
      <c r="R117" s="92">
        <f>IF(Investitionskosten!AD119="",Investitionskosten!AE119,Investitionskosten!AD119)</f>
        <v>120000</v>
      </c>
      <c r="T117" s="28"/>
    </row>
    <row r="118" spans="1:20" ht="15">
      <c r="A118" s="127"/>
      <c r="B118" s="127"/>
      <c r="C118" s="127"/>
      <c r="D118" s="127"/>
      <c r="E118" s="64"/>
      <c r="T118" s="28"/>
    </row>
    <row r="119" spans="1:20" ht="15">
      <c r="A119" s="127"/>
      <c r="B119" s="149" t="s">
        <v>1817</v>
      </c>
      <c r="C119" s="127"/>
      <c r="D119" s="127"/>
      <c r="E119" s="64"/>
      <c r="T119" s="28"/>
    </row>
    <row r="120" spans="1:20" ht="15">
      <c r="A120" s="127"/>
      <c r="B120" s="544" t="s">
        <v>1820</v>
      </c>
      <c r="C120" s="539" t="s">
        <v>1176</v>
      </c>
      <c r="D120" s="539"/>
      <c r="E120" s="131"/>
      <c r="F120" s="5">
        <f>IF(Investitionskosten!F122="",Investitionskosten!G122,Investitionskosten!F122)</f>
        <v>0.05</v>
      </c>
      <c r="G120" s="25">
        <f>IF(Investitionskosten!H122="",Investitionskosten!I122,Investitionskosten!H122)</f>
        <v>0.05</v>
      </c>
      <c r="H120" s="25">
        <f>IF(Investitionskosten!J122="",Investitionskosten!K122,Investitionskosten!J122)</f>
        <v>0.05</v>
      </c>
      <c r="I120" s="25">
        <f>IF(Investitionskosten!L122="",Investitionskosten!M122,Investitionskosten!L122)</f>
        <v>0.05</v>
      </c>
      <c r="J120" s="25">
        <f>IF(Investitionskosten!N122="",Investitionskosten!O122,Investitionskosten!N122)</f>
        <v>0.1</v>
      </c>
      <c r="K120" s="25">
        <f>IF(Investitionskosten!P122="",Investitionskosten!Q122,Investitionskosten!P122)</f>
        <v>0.1</v>
      </c>
      <c r="L120" s="25">
        <f>IF(Investitionskosten!R122="",Investitionskosten!S122,Investitionskosten!R122)</f>
        <v>0.15</v>
      </c>
      <c r="M120" s="25">
        <f>IF(Investitionskosten!T122="",Investitionskosten!U122,Investitionskosten!T122)</f>
        <v>0.15</v>
      </c>
      <c r="N120" s="25">
        <f>IF(Investitionskosten!V122="",Investitionskosten!W122,Investitionskosten!V122)</f>
        <v>0.15</v>
      </c>
      <c r="O120" s="25">
        <f>IF(Investitionskosten!X122="",Investitionskosten!Y122,Investitionskosten!X122)</f>
        <v>0.15</v>
      </c>
      <c r="P120" s="25">
        <f>IF(Investitionskosten!Z122="",Investitionskosten!AA122,Investitionskosten!Z122)</f>
        <v>0.15</v>
      </c>
      <c r="Q120" s="25">
        <f>IF(Investitionskosten!AB122="",Investitionskosten!AC122,Investitionskosten!AB122)</f>
        <v>0.15</v>
      </c>
      <c r="R120" s="51">
        <f>IF(Investitionskosten!AD122="",Investitionskosten!AE122,Investitionskosten!AD122)</f>
        <v>0.15</v>
      </c>
      <c r="T120" s="28"/>
    </row>
    <row r="121" spans="1:20" ht="15">
      <c r="A121" s="127"/>
      <c r="B121" s="127"/>
      <c r="C121" s="127"/>
      <c r="D121" s="127"/>
      <c r="E121" s="64"/>
      <c r="T121" s="28"/>
    </row>
    <row r="122" spans="1:20" ht="15">
      <c r="A122" s="149" t="s">
        <v>1008</v>
      </c>
      <c r="B122" s="8" t="str">
        <f ca="1">Sprache!$E$239</f>
        <v>Thermische Solaranlage</v>
      </c>
      <c r="C122" s="149"/>
      <c r="D122" s="127"/>
      <c r="E122" s="64"/>
      <c r="T122" s="28"/>
    </row>
    <row r="123" spans="1:20">
      <c r="B123" s="287" t="s">
        <v>1254</v>
      </c>
      <c r="C123" s="55" t="s">
        <v>1255</v>
      </c>
      <c r="D123" s="55" t="s">
        <v>353</v>
      </c>
      <c r="E123" s="131"/>
      <c r="F123" s="5"/>
      <c r="G123" s="25"/>
      <c r="H123" s="25"/>
      <c r="I123" s="51"/>
      <c r="T123" s="28"/>
    </row>
    <row r="124" spans="1:20" ht="15">
      <c r="A124" s="127"/>
      <c r="B124" s="178" t="s">
        <v>1254</v>
      </c>
      <c r="C124" s="55" t="s">
        <v>1255</v>
      </c>
      <c r="D124" s="71" t="s">
        <v>724</v>
      </c>
      <c r="E124" s="185"/>
      <c r="F124" s="2"/>
      <c r="G124" s="16">
        <f>IF(Investitionskosten!F126="",Investitionskosten!G126,Investitionskosten!F126)</f>
        <v>1950</v>
      </c>
      <c r="H124" s="16" t="str">
        <f ca="1">IF(Investitionskosten!H126="",Investitionskosten!I126,Investitionskosten!H126)</f>
        <v>Fr./m² (Kollektorfläche)</v>
      </c>
      <c r="I124" s="50"/>
      <c r="T124" s="28"/>
    </row>
    <row r="125" spans="1:20">
      <c r="B125" s="178" t="s">
        <v>1254</v>
      </c>
      <c r="C125" s="55" t="s">
        <v>1255</v>
      </c>
      <c r="D125" s="71" t="s">
        <v>725</v>
      </c>
      <c r="E125" s="185"/>
      <c r="F125" s="2"/>
      <c r="G125" s="16">
        <f>IF(Investitionskosten!F127="",Investitionskosten!G127,Investitionskosten!F127)</f>
        <v>1812</v>
      </c>
      <c r="H125" s="16" t="str">
        <f ca="1">IF(Investitionskosten!H127="",Investitionskosten!I127,Investitionskosten!H127)</f>
        <v>Fr./m² (Kollektorfläche)</v>
      </c>
      <c r="I125" s="50"/>
      <c r="T125" s="28"/>
    </row>
    <row r="126" spans="1:20">
      <c r="B126" s="286" t="s">
        <v>1254</v>
      </c>
      <c r="C126" s="1" t="s">
        <v>1255</v>
      </c>
      <c r="D126" s="63" t="s">
        <v>726</v>
      </c>
      <c r="E126" s="297"/>
      <c r="F126" s="70"/>
      <c r="G126" s="60">
        <f>IF(Investitionskosten!F128="",Investitionskosten!G128,Investitionskosten!F128)</f>
        <v>1700</v>
      </c>
      <c r="H126" s="60" t="str">
        <f ca="1">IF(Investitionskosten!H128="",Investitionskosten!I128,Investitionskosten!H128)</f>
        <v>Fr./m² (Kollektorfläche)</v>
      </c>
      <c r="I126" s="6"/>
      <c r="T126" s="28"/>
    </row>
    <row r="127" spans="1:20">
      <c r="E127" s="64"/>
      <c r="T127" s="28"/>
    </row>
    <row r="128" spans="1:20">
      <c r="A128" s="8" t="str">
        <f>ROMAN(11)</f>
        <v>XI</v>
      </c>
      <c r="B128" s="8" t="str">
        <f ca="1">Sprache!E270</f>
        <v>PV-Anlage</v>
      </c>
      <c r="E128" s="64"/>
      <c r="G128" s="1" t="str">
        <f ca="1">IF(Investitionskosten!F130="",Investitionskosten!G130,Investitionskosten!F130)</f>
        <v>Kosten pro kWp</v>
      </c>
      <c r="H128" s="1">
        <f>IF(Investitionskosten!H130="",Investitionskosten!I130,Investitionskosten!H130)</f>
        <v>0</v>
      </c>
      <c r="I128" s="1" t="str">
        <f ca="1">IF(Investitionskosten!J130="",Investitionskosten!K130,Investitionskosten!J130)</f>
        <v>Mehrauf. Elektrokasten</v>
      </c>
      <c r="T128" s="28"/>
    </row>
    <row r="129" spans="2:20">
      <c r="B129" s="287" t="s">
        <v>1223</v>
      </c>
      <c r="C129" s="55" t="s">
        <v>1251</v>
      </c>
      <c r="D129" s="55" t="s">
        <v>737</v>
      </c>
      <c r="E129" s="131"/>
      <c r="F129" s="5"/>
      <c r="G129" s="25">
        <f>IF(Investitionskosten!F131="",Investitionskosten!G131,Investitionskosten!F131)</f>
        <v>3000</v>
      </c>
      <c r="H129" s="25" t="str">
        <f>IF(Investitionskosten!H131="",Investitionskosten!I131,Investitionskosten!H131)</f>
        <v>Fr./kWp</v>
      </c>
      <c r="I129" s="25">
        <f>IF(Investitionskosten!J131="",Investitionskosten!K131,Investitionskosten!J131)</f>
        <v>40</v>
      </c>
      <c r="J129" s="51" t="str">
        <f>IF(Investitionskosten!L131="",Investitionskosten!O131,Investitionskosten!L131)</f>
        <v>Fr.</v>
      </c>
      <c r="T129" s="28"/>
    </row>
    <row r="130" spans="2:20">
      <c r="B130" s="178" t="s">
        <v>1223</v>
      </c>
      <c r="C130" s="71" t="s">
        <v>1251</v>
      </c>
      <c r="D130" s="71" t="s">
        <v>738</v>
      </c>
      <c r="E130" s="185"/>
      <c r="F130" s="2"/>
      <c r="G130" s="16">
        <f>IF(Investitionskosten!F132="",Investitionskosten!G132,Investitionskosten!F132)</f>
        <v>2200</v>
      </c>
      <c r="H130" s="16" t="str">
        <f>IF(Investitionskosten!H132="",Investitionskosten!I132,Investitionskosten!H132)</f>
        <v>Fr./kWp</v>
      </c>
      <c r="I130" s="16">
        <f>IF(Investitionskosten!J132="",Investitionskosten!K132,Investitionskosten!J132)</f>
        <v>80</v>
      </c>
      <c r="J130" s="50" t="str">
        <f>IF(Investitionskosten!L132="",Investitionskosten!O132,Investitionskosten!L132)</f>
        <v>Fr.</v>
      </c>
    </row>
    <row r="131" spans="2:20">
      <c r="B131" s="178" t="s">
        <v>1223</v>
      </c>
      <c r="C131" s="71" t="s">
        <v>1251</v>
      </c>
      <c r="D131" s="71" t="s">
        <v>739</v>
      </c>
      <c r="E131" s="185"/>
      <c r="F131" s="2"/>
      <c r="G131" s="16">
        <f>IF(Investitionskosten!F133="",Investitionskosten!G133,Investitionskosten!F133)</f>
        <v>1600</v>
      </c>
      <c r="H131" s="16" t="str">
        <f>IF(Investitionskosten!H133="",Investitionskosten!I133,Investitionskosten!H133)</f>
        <v>Fr./kWp</v>
      </c>
      <c r="I131" s="16">
        <f>IF(Investitionskosten!J133="",Investitionskosten!K133,Investitionskosten!J133)</f>
        <v>120</v>
      </c>
      <c r="J131" s="50" t="str">
        <f>IF(Investitionskosten!L133="",Investitionskosten!O133,Investitionskosten!L133)</f>
        <v>Fr.</v>
      </c>
      <c r="T131" s="28"/>
    </row>
    <row r="132" spans="2:20">
      <c r="B132" s="286" t="s">
        <v>1223</v>
      </c>
      <c r="C132" s="63" t="s">
        <v>1251</v>
      </c>
      <c r="D132" s="63" t="s">
        <v>736</v>
      </c>
      <c r="E132" s="297"/>
      <c r="F132" s="70"/>
      <c r="G132" s="60">
        <f>IF(Investitionskosten!F134="",Investitionskosten!G134,Investitionskosten!F134)</f>
        <v>1300</v>
      </c>
      <c r="H132" s="60" t="str">
        <f>IF(Investitionskosten!H134="",Investitionskosten!I134,Investitionskosten!H134)</f>
        <v>Fr./kWp</v>
      </c>
      <c r="I132" s="60">
        <f>IF(Investitionskosten!J134="",Investitionskosten!K134,Investitionskosten!J134)</f>
        <v>1250</v>
      </c>
      <c r="J132" s="6" t="str">
        <f>IF(Investitionskosten!L134="",Investitionskosten!O134,Investitionskosten!L134)</f>
        <v>Fr.</v>
      </c>
      <c r="T132" s="28"/>
    </row>
    <row r="133" spans="2:20">
      <c r="B133" s="35"/>
      <c r="E133" s="64"/>
      <c r="T133" s="28"/>
    </row>
    <row r="134" spans="2:20">
      <c r="B134" s="304" t="s">
        <v>1244</v>
      </c>
      <c r="C134" s="55" t="s">
        <v>739</v>
      </c>
      <c r="D134" s="55" t="s">
        <v>811</v>
      </c>
      <c r="E134" s="131"/>
      <c r="F134" s="5"/>
      <c r="G134" s="25">
        <f>IF(Investitionskosten!F136="",Investitionskosten!G136,Investitionskosten!F136)</f>
        <v>0</v>
      </c>
      <c r="H134" s="25" t="str">
        <f>IF(Investitionskosten!H136="",Investitionskosten!I136,Investitionskosten!H136)</f>
        <v>Fr.</v>
      </c>
      <c r="I134" s="25"/>
      <c r="J134" s="51"/>
      <c r="T134" s="28"/>
    </row>
    <row r="135" spans="2:20">
      <c r="E135" s="64"/>
      <c r="T135" s="28"/>
    </row>
    <row r="136" spans="2:20">
      <c r="E136" s="64"/>
      <c r="T136" s="28"/>
    </row>
    <row r="137" spans="2:20">
      <c r="E137" s="64"/>
      <c r="T137" s="28"/>
    </row>
    <row r="138" spans="2:20">
      <c r="E138" s="64"/>
    </row>
    <row r="139" spans="2:20" ht="12.75" customHeight="1">
      <c r="E139" s="64"/>
    </row>
    <row r="140" spans="2:20" ht="14.25" customHeight="1">
      <c r="E140" s="64"/>
    </row>
    <row r="141" spans="2:20" ht="14.25" customHeight="1">
      <c r="E141" s="64"/>
    </row>
    <row r="142" spans="2:20" ht="14.25" customHeight="1">
      <c r="E142" s="64"/>
    </row>
    <row r="143" spans="2:20" ht="14.25" customHeight="1">
      <c r="E143" s="64"/>
    </row>
    <row r="144" spans="2:20" ht="14.25" customHeight="1">
      <c r="E144" s="64"/>
    </row>
    <row r="145" spans="1:7" ht="14.25" customHeight="1"/>
    <row r="146" spans="1:7" ht="14.25" customHeight="1"/>
    <row r="147" spans="1:7" ht="14.25" customHeight="1"/>
    <row r="148" spans="1:7" ht="14.25" customHeight="1"/>
    <row r="149" spans="1:7" ht="14.25" customHeight="1"/>
    <row r="155" spans="1:7" ht="15">
      <c r="A155"/>
    </row>
    <row r="156" spans="1:7">
      <c r="B156" s="35"/>
      <c r="C156" s="82"/>
      <c r="F156" s="35"/>
      <c r="G156" s="82"/>
    </row>
    <row r="157" spans="1:7">
      <c r="B157" s="35"/>
      <c r="C157" s="35"/>
      <c r="F157" s="140"/>
      <c r="G157" s="140"/>
    </row>
    <row r="162" spans="1:15" ht="15">
      <c r="A162"/>
    </row>
    <row r="163" spans="1:15" ht="15">
      <c r="A163"/>
    </row>
    <row r="164" spans="1:15" ht="15">
      <c r="A164"/>
    </row>
    <row r="165" spans="1:15" ht="15">
      <c r="A165"/>
    </row>
    <row r="166" spans="1:15" ht="15">
      <c r="C166" s="35"/>
      <c r="E166"/>
      <c r="F166"/>
      <c r="O166"/>
    </row>
    <row r="167" spans="1:15" ht="15">
      <c r="C167" s="35"/>
      <c r="D167" s="35"/>
      <c r="E167" s="35"/>
      <c r="F167" s="35"/>
      <c r="G167" s="35"/>
      <c r="H167" s="35"/>
      <c r="I167" s="21"/>
      <c r="J167" s="21"/>
      <c r="K167" s="21"/>
      <c r="L167" s="21"/>
      <c r="M167" s="21"/>
      <c r="N167" s="21"/>
      <c r="O167" s="21"/>
    </row>
    <row r="168" spans="1:15" ht="15">
      <c r="C168" s="35"/>
      <c r="D168" s="35"/>
      <c r="E168" s="35"/>
      <c r="F168" s="35"/>
      <c r="G168" s="35"/>
      <c r="H168" s="35"/>
      <c r="I168" s="21"/>
      <c r="J168" s="21"/>
      <c r="K168" s="21"/>
      <c r="L168" s="21"/>
      <c r="M168" s="21"/>
      <c r="N168" s="21"/>
      <c r="O168" s="21"/>
    </row>
    <row r="169" spans="1:15">
      <c r="D169" s="35"/>
      <c r="E169" s="35"/>
      <c r="F169" s="35"/>
      <c r="G169" s="35"/>
      <c r="H169" s="35"/>
      <c r="I169" s="35"/>
      <c r="J169" s="35"/>
      <c r="K169" s="35"/>
      <c r="L169" s="35"/>
      <c r="M169" s="35"/>
      <c r="N169" s="35"/>
      <c r="O169" s="35"/>
    </row>
    <row r="183" spans="1:8" ht="15">
      <c r="A183"/>
      <c r="D183" s="8"/>
    </row>
    <row r="185" spans="1:8">
      <c r="C185" s="35"/>
      <c r="H185" s="35"/>
    </row>
    <row r="186" spans="1:8">
      <c r="C186" s="35"/>
    </row>
    <row r="189" spans="1:8" ht="15">
      <c r="A189"/>
    </row>
    <row r="190" spans="1:8" ht="15">
      <c r="A190"/>
    </row>
    <row r="192" spans="1:8" ht="15">
      <c r="A192"/>
      <c r="D192" s="21"/>
      <c r="E192" s="35"/>
      <c r="F192" s="21"/>
    </row>
    <row r="193" spans="1:6" ht="15">
      <c r="C193" s="35"/>
      <c r="D193" s="21"/>
      <c r="E193" s="83"/>
      <c r="F193" s="21"/>
    </row>
    <row r="194" spans="1:6">
      <c r="C194" s="35"/>
    </row>
    <row r="199" spans="1:6">
      <c r="A199" s="8"/>
    </row>
    <row r="201" spans="1:6">
      <c r="D201" s="141"/>
      <c r="E201" s="141"/>
    </row>
    <row r="202" spans="1:6">
      <c r="D202" s="28"/>
      <c r="E202" s="35"/>
    </row>
  </sheetData>
  <phoneticPr fontId="28" type="noConversion"/>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53A9E-D34A-4E7A-826C-12B4AA5284F9}">
  <sheetPr codeName="Tabelle15">
    <tabColor rgb="FFFF0000"/>
  </sheetPr>
  <dimension ref="B1:AG66"/>
  <sheetViews>
    <sheetView topLeftCell="A4" workbookViewId="0"/>
  </sheetViews>
  <sheetFormatPr baseColWidth="10" defaultColWidth="11.42578125" defaultRowHeight="12.75"/>
  <cols>
    <col min="1" max="2" width="3.5703125" style="1" customWidth="1"/>
    <col min="3" max="5" width="10" style="1" customWidth="1"/>
    <col min="6" max="17" width="11.42578125" style="1"/>
    <col min="18" max="20" width="2.5703125" style="1" customWidth="1"/>
    <col min="21" max="21" width="11.85546875" style="1" customWidth="1"/>
    <col min="22" max="16384" width="11.42578125" style="1"/>
  </cols>
  <sheetData>
    <row r="1" spans="2:33" s="8" customFormat="1" ht="15.75">
      <c r="B1" s="57" t="s">
        <v>870</v>
      </c>
      <c r="S1" s="145"/>
    </row>
    <row r="2" spans="2:33">
      <c r="S2" s="146"/>
    </row>
    <row r="3" spans="2:33" ht="15" customHeight="1">
      <c r="E3" s="35" t="s">
        <v>247</v>
      </c>
      <c r="F3" s="35" t="s">
        <v>247</v>
      </c>
      <c r="G3" s="35" t="s">
        <v>248</v>
      </c>
      <c r="H3" s="35" t="s">
        <v>249</v>
      </c>
      <c r="I3" s="35" t="s">
        <v>250</v>
      </c>
      <c r="J3" s="35" t="s">
        <v>251</v>
      </c>
      <c r="K3" s="35" t="s">
        <v>252</v>
      </c>
      <c r="L3" s="35" t="s">
        <v>253</v>
      </c>
      <c r="M3" s="35" t="s">
        <v>254</v>
      </c>
      <c r="N3" s="35" t="s">
        <v>666</v>
      </c>
      <c r="O3" s="35" t="s">
        <v>667</v>
      </c>
      <c r="P3" s="35" t="s">
        <v>668</v>
      </c>
      <c r="Q3" s="35" t="s">
        <v>669</v>
      </c>
      <c r="S3" s="146"/>
      <c r="U3" s="35" t="s">
        <v>259</v>
      </c>
      <c r="V3" s="35" t="s">
        <v>247</v>
      </c>
      <c r="W3" s="35" t="s">
        <v>248</v>
      </c>
      <c r="X3" s="35" t="s">
        <v>249</v>
      </c>
      <c r="Y3" s="35" t="s">
        <v>250</v>
      </c>
      <c r="Z3" s="35" t="s">
        <v>251</v>
      </c>
      <c r="AA3" s="35" t="s">
        <v>252</v>
      </c>
      <c r="AB3" s="35" t="s">
        <v>253</v>
      </c>
      <c r="AC3" s="35" t="s">
        <v>254</v>
      </c>
      <c r="AD3" s="35" t="s">
        <v>666</v>
      </c>
      <c r="AE3" s="35" t="s">
        <v>667</v>
      </c>
      <c r="AF3" s="35" t="s">
        <v>668</v>
      </c>
      <c r="AG3" s="35" t="s">
        <v>669</v>
      </c>
    </row>
    <row r="4" spans="2:33">
      <c r="E4" s="35" t="s">
        <v>175</v>
      </c>
      <c r="F4" s="35" t="s">
        <v>175</v>
      </c>
      <c r="G4" s="35" t="s">
        <v>175</v>
      </c>
      <c r="H4" s="35" t="s">
        <v>175</v>
      </c>
      <c r="I4" s="35" t="s">
        <v>175</v>
      </c>
      <c r="J4" s="35" t="s">
        <v>175</v>
      </c>
      <c r="K4" s="35" t="s">
        <v>175</v>
      </c>
      <c r="L4" s="35" t="s">
        <v>175</v>
      </c>
      <c r="M4" s="35" t="s">
        <v>175</v>
      </c>
      <c r="N4" s="35" t="s">
        <v>175</v>
      </c>
      <c r="O4" s="35" t="s">
        <v>175</v>
      </c>
      <c r="P4" s="35" t="s">
        <v>175</v>
      </c>
      <c r="Q4" s="35" t="s">
        <v>175</v>
      </c>
      <c r="S4" s="146"/>
      <c r="U4" s="35" t="s">
        <v>175</v>
      </c>
      <c r="V4" s="35" t="s">
        <v>175</v>
      </c>
      <c r="W4" s="35" t="s">
        <v>175</v>
      </c>
      <c r="X4" s="35" t="s">
        <v>175</v>
      </c>
      <c r="Y4" s="35" t="s">
        <v>175</v>
      </c>
      <c r="Z4" s="35" t="s">
        <v>175</v>
      </c>
      <c r="AA4" s="35" t="s">
        <v>175</v>
      </c>
      <c r="AB4" s="35" t="s">
        <v>175</v>
      </c>
      <c r="AC4" s="35" t="s">
        <v>175</v>
      </c>
      <c r="AD4" s="35" t="s">
        <v>175</v>
      </c>
      <c r="AE4" s="35" t="s">
        <v>175</v>
      </c>
      <c r="AF4" s="35" t="s">
        <v>175</v>
      </c>
      <c r="AG4" s="35" t="s">
        <v>175</v>
      </c>
    </row>
    <row r="5" spans="2:33">
      <c r="E5" s="35" t="s">
        <v>863</v>
      </c>
      <c r="F5" s="35" t="s">
        <v>863</v>
      </c>
      <c r="G5" s="35" t="s">
        <v>863</v>
      </c>
      <c r="H5" s="35" t="s">
        <v>863</v>
      </c>
      <c r="I5" s="35" t="s">
        <v>863</v>
      </c>
      <c r="J5" s="35" t="s">
        <v>863</v>
      </c>
      <c r="K5" s="35" t="s">
        <v>863</v>
      </c>
      <c r="L5" s="35" t="s">
        <v>863</v>
      </c>
      <c r="M5" s="35" t="s">
        <v>863</v>
      </c>
      <c r="N5" s="35" t="s">
        <v>863</v>
      </c>
      <c r="O5" s="35" t="s">
        <v>863</v>
      </c>
      <c r="P5" s="35" t="s">
        <v>863</v>
      </c>
      <c r="Q5" s="35" t="s">
        <v>863</v>
      </c>
      <c r="S5" s="146"/>
      <c r="U5" s="35" t="s">
        <v>1056</v>
      </c>
      <c r="V5" s="35" t="s">
        <v>1056</v>
      </c>
      <c r="W5" s="35" t="s">
        <v>1056</v>
      </c>
      <c r="X5" s="35" t="s">
        <v>1056</v>
      </c>
      <c r="Y5" s="35" t="s">
        <v>1056</v>
      </c>
      <c r="Z5" s="35" t="s">
        <v>1056</v>
      </c>
      <c r="AA5" s="35" t="s">
        <v>1056</v>
      </c>
      <c r="AB5" s="35" t="s">
        <v>1056</v>
      </c>
      <c r="AC5" s="35" t="s">
        <v>1056</v>
      </c>
      <c r="AD5" s="35" t="s">
        <v>1056</v>
      </c>
      <c r="AE5" s="35" t="s">
        <v>1056</v>
      </c>
      <c r="AF5" s="35" t="s">
        <v>1056</v>
      </c>
      <c r="AG5" s="35" t="s">
        <v>1056</v>
      </c>
    </row>
    <row r="6" spans="2:33">
      <c r="C6" s="8" t="s">
        <v>0</v>
      </c>
      <c r="S6" s="146"/>
    </row>
    <row r="7" spans="2:33">
      <c r="C7" s="1" t="s">
        <v>255</v>
      </c>
      <c r="E7" s="68">
        <v>360</v>
      </c>
      <c r="F7" s="68">
        <v>360</v>
      </c>
      <c r="G7" s="68">
        <v>360</v>
      </c>
      <c r="H7" s="68">
        <v>510</v>
      </c>
      <c r="I7" s="68">
        <v>530</v>
      </c>
      <c r="J7" s="68">
        <v>530</v>
      </c>
      <c r="K7" s="68">
        <v>630</v>
      </c>
      <c r="L7" s="68">
        <v>750</v>
      </c>
      <c r="M7" s="68">
        <v>900</v>
      </c>
      <c r="N7" s="68">
        <v>1400</v>
      </c>
      <c r="O7" s="68">
        <v>1750</v>
      </c>
      <c r="P7" s="68">
        <v>2000</v>
      </c>
      <c r="Q7" s="68">
        <v>2200</v>
      </c>
      <c r="S7" s="146"/>
      <c r="U7" s="1">
        <f>IF(Unterhaltskosten!F7="",Unterhaltskosten!G7,Unterhaltskosten!F7)</f>
        <v>360</v>
      </c>
      <c r="V7" s="1">
        <f>IF(Unterhaltskosten!H7="",Unterhaltskosten!I7,Unterhaltskosten!H7)</f>
        <v>360</v>
      </c>
      <c r="W7" s="1">
        <f>IF(Unterhaltskosten!J7="",Unterhaltskosten!K7,Unterhaltskosten!J7)</f>
        <v>360</v>
      </c>
      <c r="X7" s="1">
        <f>IF(Unterhaltskosten!L7="",Unterhaltskosten!M7,Unterhaltskosten!L7)</f>
        <v>510</v>
      </c>
      <c r="Y7" s="1">
        <f>IF(Unterhaltskosten!N7="",Unterhaltskosten!O7,Unterhaltskosten!N7)</f>
        <v>530</v>
      </c>
      <c r="Z7" s="1">
        <f>IF(Unterhaltskosten!P7="",Unterhaltskosten!Q7,Unterhaltskosten!P7)</f>
        <v>530</v>
      </c>
      <c r="AA7" s="1">
        <f>IF(Unterhaltskosten!R7="",Unterhaltskosten!S7,Unterhaltskosten!R7)</f>
        <v>630</v>
      </c>
      <c r="AB7" s="1">
        <f>IF(Unterhaltskosten!T7="",Unterhaltskosten!U7,Unterhaltskosten!T7)</f>
        <v>750</v>
      </c>
      <c r="AC7" s="1">
        <f>IF(Unterhaltskosten!V7="",Unterhaltskosten!W7,Unterhaltskosten!V7)</f>
        <v>900</v>
      </c>
      <c r="AD7" s="1">
        <f>IF(Unterhaltskosten!X7="",Unterhaltskosten!Y7,Unterhaltskosten!X7)</f>
        <v>1400</v>
      </c>
      <c r="AE7" s="1">
        <f>IF(Unterhaltskosten!Z7="",Unterhaltskosten!AA7,Unterhaltskosten!Z7)</f>
        <v>1750</v>
      </c>
      <c r="AF7" s="1">
        <f>IF(Unterhaltskosten!AB7="",Unterhaltskosten!AC7,Unterhaltskosten!AB7)</f>
        <v>2000</v>
      </c>
      <c r="AG7" s="1">
        <f>IF(Unterhaltskosten!AD7="",Unterhaltskosten!AE7,Unterhaltskosten!AD7)</f>
        <v>2200</v>
      </c>
    </row>
    <row r="8" spans="2:33">
      <c r="C8" s="1" t="s">
        <v>256</v>
      </c>
      <c r="E8" s="68">
        <v>170</v>
      </c>
      <c r="F8" s="68">
        <v>170</v>
      </c>
      <c r="G8" s="68">
        <v>170</v>
      </c>
      <c r="H8" s="68">
        <v>170</v>
      </c>
      <c r="I8" s="68">
        <v>240</v>
      </c>
      <c r="J8" s="68">
        <v>280</v>
      </c>
      <c r="K8" s="68">
        <v>370</v>
      </c>
      <c r="L8" s="68">
        <v>470</v>
      </c>
      <c r="M8" s="68">
        <v>570</v>
      </c>
      <c r="N8" s="68">
        <v>600</v>
      </c>
      <c r="O8" s="68">
        <v>750</v>
      </c>
      <c r="P8" s="68">
        <v>750</v>
      </c>
      <c r="Q8" s="68">
        <v>1000</v>
      </c>
      <c r="S8" s="146"/>
      <c r="U8" s="1">
        <f>IF(Unterhaltskosten!F8="",Unterhaltskosten!G8,Unterhaltskosten!F8)</f>
        <v>170</v>
      </c>
      <c r="V8" s="1">
        <f>IF(Unterhaltskosten!H8="",Unterhaltskosten!I8,Unterhaltskosten!H8)</f>
        <v>170</v>
      </c>
      <c r="W8" s="1">
        <f>IF(Unterhaltskosten!J8="",Unterhaltskosten!K8,Unterhaltskosten!J8)</f>
        <v>170</v>
      </c>
      <c r="X8" s="1">
        <f>IF(Unterhaltskosten!L8="",Unterhaltskosten!M8,Unterhaltskosten!L8)</f>
        <v>170</v>
      </c>
      <c r="Y8" s="1">
        <f>IF(Unterhaltskosten!N8="",Unterhaltskosten!O8,Unterhaltskosten!N8)</f>
        <v>240</v>
      </c>
      <c r="Z8" s="1">
        <f>IF(Unterhaltskosten!P8="",Unterhaltskosten!Q8,Unterhaltskosten!P8)</f>
        <v>280</v>
      </c>
      <c r="AA8" s="1">
        <f>IF(Unterhaltskosten!R8="",Unterhaltskosten!S8,Unterhaltskosten!R8)</f>
        <v>370</v>
      </c>
      <c r="AB8" s="1">
        <f>IF(Unterhaltskosten!T8="",Unterhaltskosten!U8,Unterhaltskosten!T8)</f>
        <v>470</v>
      </c>
      <c r="AC8" s="1">
        <f>IF(Unterhaltskosten!V8="",Unterhaltskosten!W8,Unterhaltskosten!V8)</f>
        <v>570</v>
      </c>
      <c r="AD8" s="1">
        <f>IF(Unterhaltskosten!X8="",Unterhaltskosten!Y8,Unterhaltskosten!X8)</f>
        <v>600</v>
      </c>
      <c r="AE8" s="1">
        <f>IF(Unterhaltskosten!Z8="",Unterhaltskosten!AA8,Unterhaltskosten!Z8)</f>
        <v>750</v>
      </c>
      <c r="AF8" s="1">
        <f>IF(Unterhaltskosten!AB8="",Unterhaltskosten!AC8,Unterhaltskosten!AB8)</f>
        <v>750</v>
      </c>
      <c r="AG8" s="1">
        <f>IF(Unterhaltskosten!AD8="",Unterhaltskosten!AE8,Unterhaltskosten!AD8)</f>
        <v>1000</v>
      </c>
    </row>
    <row r="9" spans="2:33">
      <c r="S9" s="146"/>
    </row>
    <row r="10" spans="2:33">
      <c r="C10" s="8" t="s">
        <v>14</v>
      </c>
      <c r="S10" s="146"/>
    </row>
    <row r="11" spans="2:33">
      <c r="C11" s="1" t="s">
        <v>255</v>
      </c>
      <c r="E11" s="68">
        <v>530</v>
      </c>
      <c r="F11" s="68">
        <v>530</v>
      </c>
      <c r="G11" s="68">
        <v>530</v>
      </c>
      <c r="H11" s="68">
        <v>530</v>
      </c>
      <c r="I11" s="68">
        <v>700</v>
      </c>
      <c r="J11" s="68">
        <v>700</v>
      </c>
      <c r="K11" s="68">
        <v>890</v>
      </c>
      <c r="L11" s="68">
        <v>890</v>
      </c>
      <c r="M11" s="68">
        <v>1100</v>
      </c>
      <c r="N11" s="68">
        <v>2000</v>
      </c>
      <c r="O11" s="68">
        <v>2000</v>
      </c>
      <c r="P11" s="68">
        <v>2500</v>
      </c>
      <c r="Q11" s="68">
        <v>2500</v>
      </c>
      <c r="S11" s="146"/>
      <c r="U11" s="1">
        <f>IF(Unterhaltskosten!F11="",Unterhaltskosten!G11,Unterhaltskosten!F11)</f>
        <v>530</v>
      </c>
      <c r="V11" s="1">
        <f>IF(Unterhaltskosten!H11="",Unterhaltskosten!I11,Unterhaltskosten!H11)</f>
        <v>530</v>
      </c>
      <c r="W11" s="1">
        <f>IF(Unterhaltskosten!J11="",Unterhaltskosten!K11,Unterhaltskosten!J11)</f>
        <v>530</v>
      </c>
      <c r="X11" s="1">
        <f>IF(Unterhaltskosten!L11="",Unterhaltskosten!M11,Unterhaltskosten!L11)</f>
        <v>530</v>
      </c>
      <c r="Y11" s="1">
        <f>IF(Unterhaltskosten!N11="",Unterhaltskosten!O11,Unterhaltskosten!N11)</f>
        <v>700</v>
      </c>
      <c r="Z11" s="1">
        <f>IF(Unterhaltskosten!P11="",Unterhaltskosten!Q11,Unterhaltskosten!P11)</f>
        <v>700</v>
      </c>
      <c r="AA11" s="1">
        <f>IF(Unterhaltskosten!R11="",Unterhaltskosten!S11,Unterhaltskosten!R11)</f>
        <v>890</v>
      </c>
      <c r="AB11" s="1">
        <f>IF(Unterhaltskosten!T11="",Unterhaltskosten!U11,Unterhaltskosten!T11)</f>
        <v>890</v>
      </c>
      <c r="AC11" s="1">
        <f>IF(Unterhaltskosten!V11="",Unterhaltskosten!W11,Unterhaltskosten!V11)</f>
        <v>1100</v>
      </c>
      <c r="AD11" s="1">
        <f>IF(Unterhaltskosten!X11="",Unterhaltskosten!Y11,Unterhaltskosten!X11)</f>
        <v>2000</v>
      </c>
      <c r="AE11" s="1">
        <f>IF(Unterhaltskosten!Z11="",Unterhaltskosten!AA11,Unterhaltskosten!Z11)</f>
        <v>2000</v>
      </c>
      <c r="AF11" s="1">
        <f>IF(Unterhaltskosten!AB11="",Unterhaltskosten!AC11,Unterhaltskosten!AB11)</f>
        <v>2500</v>
      </c>
      <c r="AG11" s="1">
        <f>IF(Unterhaltskosten!AD11="",Unterhaltskosten!AE11,Unterhaltskosten!AD11)</f>
        <v>2500</v>
      </c>
    </row>
    <row r="12" spans="2:33">
      <c r="C12" s="1" t="s">
        <v>256</v>
      </c>
      <c r="E12" s="68">
        <v>170</v>
      </c>
      <c r="F12" s="68">
        <v>170</v>
      </c>
      <c r="G12" s="68">
        <v>170</v>
      </c>
      <c r="H12" s="68">
        <v>170</v>
      </c>
      <c r="I12" s="68">
        <v>240</v>
      </c>
      <c r="J12" s="68">
        <v>280</v>
      </c>
      <c r="K12" s="68">
        <v>370</v>
      </c>
      <c r="L12" s="68">
        <v>470</v>
      </c>
      <c r="M12" s="68">
        <v>570</v>
      </c>
      <c r="N12" s="68">
        <v>600</v>
      </c>
      <c r="O12" s="68">
        <v>750</v>
      </c>
      <c r="P12" s="68">
        <v>750</v>
      </c>
      <c r="Q12" s="68">
        <v>1000</v>
      </c>
      <c r="S12" s="146"/>
      <c r="U12" s="1">
        <f>IF(Unterhaltskosten!F12="",Unterhaltskosten!G12,Unterhaltskosten!F12)</f>
        <v>170</v>
      </c>
      <c r="V12" s="1">
        <f>IF(Unterhaltskosten!H12="",Unterhaltskosten!I12,Unterhaltskosten!H12)</f>
        <v>170</v>
      </c>
      <c r="W12" s="1">
        <f>IF(Unterhaltskosten!J12="",Unterhaltskosten!K12,Unterhaltskosten!J12)</f>
        <v>170</v>
      </c>
      <c r="X12" s="1">
        <f>IF(Unterhaltskosten!L12="",Unterhaltskosten!M12,Unterhaltskosten!L12)</f>
        <v>170</v>
      </c>
      <c r="Y12" s="1">
        <f>IF(Unterhaltskosten!N12="",Unterhaltskosten!O12,Unterhaltskosten!N12)</f>
        <v>240</v>
      </c>
      <c r="Z12" s="1">
        <f>IF(Unterhaltskosten!P12="",Unterhaltskosten!Q12,Unterhaltskosten!P12)</f>
        <v>280</v>
      </c>
      <c r="AA12" s="1">
        <f>IF(Unterhaltskosten!R12="",Unterhaltskosten!S12,Unterhaltskosten!R12)</f>
        <v>370</v>
      </c>
      <c r="AB12" s="1">
        <f>IF(Unterhaltskosten!T12="",Unterhaltskosten!U12,Unterhaltskosten!T12)</f>
        <v>470</v>
      </c>
      <c r="AC12" s="1">
        <f>IF(Unterhaltskosten!V12="",Unterhaltskosten!W12,Unterhaltskosten!V12)</f>
        <v>570</v>
      </c>
      <c r="AD12" s="1">
        <f>IF(Unterhaltskosten!X12="",Unterhaltskosten!Y12,Unterhaltskosten!X12)</f>
        <v>600</v>
      </c>
      <c r="AE12" s="1">
        <f>IF(Unterhaltskosten!Z12="",Unterhaltskosten!AA12,Unterhaltskosten!Z12)</f>
        <v>750</v>
      </c>
      <c r="AF12" s="1">
        <f>IF(Unterhaltskosten!AB12="",Unterhaltskosten!AC12,Unterhaltskosten!AB12)</f>
        <v>750</v>
      </c>
      <c r="AG12" s="1">
        <f>IF(Unterhaltskosten!AD12="",Unterhaltskosten!AE12,Unterhaltskosten!AD12)</f>
        <v>1000</v>
      </c>
    </row>
    <row r="13" spans="2:33">
      <c r="C13" s="1" t="s">
        <v>335</v>
      </c>
      <c r="E13" s="68">
        <v>11</v>
      </c>
      <c r="F13" s="68">
        <v>11</v>
      </c>
      <c r="G13" s="68">
        <v>22</v>
      </c>
      <c r="H13" s="68">
        <v>44</v>
      </c>
      <c r="I13" s="68">
        <v>154</v>
      </c>
      <c r="J13" s="68">
        <v>220</v>
      </c>
      <c r="K13" s="68">
        <v>440</v>
      </c>
      <c r="L13" s="68">
        <v>770.00000000000011</v>
      </c>
      <c r="M13" s="68">
        <v>1100</v>
      </c>
      <c r="N13" s="68">
        <v>1650</v>
      </c>
      <c r="O13" s="68">
        <v>2200</v>
      </c>
      <c r="P13" s="68">
        <v>3300</v>
      </c>
      <c r="Q13" s="68">
        <v>4400</v>
      </c>
      <c r="S13" s="146"/>
      <c r="U13" s="1">
        <f>IF(Unterhaltskosten!F13="",Unterhaltskosten!G13,Unterhaltskosten!F13)</f>
        <v>11</v>
      </c>
      <c r="V13" s="1">
        <f>IF(Unterhaltskosten!H13="",Unterhaltskosten!I13,Unterhaltskosten!H13)</f>
        <v>11</v>
      </c>
      <c r="W13" s="1">
        <f>IF(Unterhaltskosten!J13="",Unterhaltskosten!K13,Unterhaltskosten!J13)</f>
        <v>22</v>
      </c>
      <c r="X13" s="1">
        <f>IF(Unterhaltskosten!L13="",Unterhaltskosten!M13,Unterhaltskosten!L13)</f>
        <v>44</v>
      </c>
      <c r="Y13" s="1">
        <f>IF(Unterhaltskosten!N13="",Unterhaltskosten!O13,Unterhaltskosten!N13)</f>
        <v>154</v>
      </c>
      <c r="Z13" s="1">
        <f>IF(Unterhaltskosten!P13="",Unterhaltskosten!Q13,Unterhaltskosten!P13)</f>
        <v>220</v>
      </c>
      <c r="AA13" s="1">
        <f>IF(Unterhaltskosten!R13="",Unterhaltskosten!S13,Unterhaltskosten!R13)</f>
        <v>440</v>
      </c>
      <c r="AB13" s="1">
        <f>IF(Unterhaltskosten!T13="",Unterhaltskosten!U13,Unterhaltskosten!T13)</f>
        <v>770.00000000000011</v>
      </c>
      <c r="AC13" s="1">
        <f>IF(Unterhaltskosten!V13="",Unterhaltskosten!W13,Unterhaltskosten!V13)</f>
        <v>1100</v>
      </c>
      <c r="AD13" s="1">
        <f>IF(Unterhaltskosten!X13="",Unterhaltskosten!Y13,Unterhaltskosten!X13)</f>
        <v>1650</v>
      </c>
      <c r="AE13" s="1">
        <f>IF(Unterhaltskosten!Z13="",Unterhaltskosten!AA13,Unterhaltskosten!Z13)</f>
        <v>2200</v>
      </c>
      <c r="AF13" s="1">
        <f>IF(Unterhaltskosten!AB13="",Unterhaltskosten!AC13,Unterhaltskosten!AB13)</f>
        <v>3300</v>
      </c>
      <c r="AG13" s="1">
        <f>IF(Unterhaltskosten!AD13="",Unterhaltskosten!AE13,Unterhaltskosten!AD13)</f>
        <v>4400</v>
      </c>
    </row>
    <row r="14" spans="2:33">
      <c r="S14" s="146"/>
    </row>
    <row r="15" spans="2:33">
      <c r="C15" s="8" t="s">
        <v>1</v>
      </c>
      <c r="E15" s="68"/>
      <c r="F15" s="68"/>
      <c r="G15" s="68"/>
      <c r="H15" s="68"/>
      <c r="I15" s="68"/>
      <c r="J15" s="68"/>
      <c r="K15" s="68"/>
      <c r="L15" s="68"/>
      <c r="M15" s="68"/>
      <c r="N15" s="68"/>
      <c r="O15" s="68"/>
      <c r="P15" s="68"/>
      <c r="Q15" s="68"/>
      <c r="S15" s="146"/>
    </row>
    <row r="16" spans="2:33">
      <c r="C16" s="1" t="s">
        <v>255</v>
      </c>
      <c r="E16" s="68">
        <v>490</v>
      </c>
      <c r="F16" s="68">
        <v>490</v>
      </c>
      <c r="G16" s="68">
        <v>490</v>
      </c>
      <c r="H16" s="68">
        <v>490</v>
      </c>
      <c r="I16" s="68">
        <v>550</v>
      </c>
      <c r="J16" s="68">
        <v>550</v>
      </c>
      <c r="K16" s="68">
        <v>850</v>
      </c>
      <c r="L16" s="68">
        <v>1500</v>
      </c>
      <c r="M16" s="68">
        <v>2200</v>
      </c>
      <c r="N16" s="68">
        <v>3000</v>
      </c>
      <c r="O16" s="68">
        <v>3900</v>
      </c>
      <c r="P16" s="68">
        <v>6000</v>
      </c>
      <c r="Q16" s="68">
        <v>8000</v>
      </c>
      <c r="S16" s="146"/>
      <c r="U16" s="1">
        <f>IF(Unterhaltskosten!F16="",Unterhaltskosten!G16,Unterhaltskosten!F16)</f>
        <v>490</v>
      </c>
      <c r="V16" s="1">
        <f>IF(Unterhaltskosten!H16="",Unterhaltskosten!I16,Unterhaltskosten!H16)</f>
        <v>490</v>
      </c>
      <c r="W16" s="1">
        <f>IF(Unterhaltskosten!J16="",Unterhaltskosten!K16,Unterhaltskosten!J16)</f>
        <v>490</v>
      </c>
      <c r="X16" s="1">
        <f>IF(Unterhaltskosten!L16="",Unterhaltskosten!M16,Unterhaltskosten!L16)</f>
        <v>490</v>
      </c>
      <c r="Y16" s="1">
        <f>IF(Unterhaltskosten!N16="",Unterhaltskosten!O16,Unterhaltskosten!N16)</f>
        <v>550</v>
      </c>
      <c r="Z16" s="1">
        <f>IF(Unterhaltskosten!P16="",Unterhaltskosten!Q16,Unterhaltskosten!P16)</f>
        <v>550</v>
      </c>
      <c r="AA16" s="1">
        <f>IF(Unterhaltskosten!R16="",Unterhaltskosten!S16,Unterhaltskosten!R16)</f>
        <v>850</v>
      </c>
      <c r="AB16" s="1">
        <f>IF(Unterhaltskosten!T16="",Unterhaltskosten!U16,Unterhaltskosten!T16)</f>
        <v>1500</v>
      </c>
      <c r="AC16" s="1">
        <f>IF(Unterhaltskosten!V16="",Unterhaltskosten!W16,Unterhaltskosten!V16)</f>
        <v>2200</v>
      </c>
      <c r="AD16" s="1">
        <f>IF(Unterhaltskosten!X16="",Unterhaltskosten!Y16,Unterhaltskosten!X16)</f>
        <v>3000</v>
      </c>
      <c r="AE16" s="1">
        <f>IF(Unterhaltskosten!Z16="",Unterhaltskosten!AA16,Unterhaltskosten!Z16)</f>
        <v>3900</v>
      </c>
      <c r="AF16" s="1">
        <f>IF(Unterhaltskosten!AB16="",Unterhaltskosten!AC16,Unterhaltskosten!AB16)</f>
        <v>6000</v>
      </c>
      <c r="AG16" s="1">
        <f>IF(Unterhaltskosten!AD16="",Unterhaltskosten!AE16,Unterhaltskosten!AD16)</f>
        <v>8000</v>
      </c>
    </row>
    <row r="17" spans="3:33">
      <c r="C17" s="1" t="s">
        <v>256</v>
      </c>
      <c r="E17" s="68">
        <v>170</v>
      </c>
      <c r="F17" s="68">
        <v>170</v>
      </c>
      <c r="G17" s="68">
        <v>170</v>
      </c>
      <c r="H17" s="68">
        <v>170</v>
      </c>
      <c r="I17" s="68">
        <v>240</v>
      </c>
      <c r="J17" s="68">
        <v>280</v>
      </c>
      <c r="K17" s="68">
        <v>370</v>
      </c>
      <c r="L17" s="68">
        <v>470</v>
      </c>
      <c r="M17" s="68">
        <v>1000</v>
      </c>
      <c r="N17" s="68">
        <v>2000</v>
      </c>
      <c r="O17" s="68">
        <v>3500</v>
      </c>
      <c r="P17" s="68">
        <v>4000</v>
      </c>
      <c r="Q17" s="68">
        <v>4500</v>
      </c>
      <c r="S17" s="146"/>
      <c r="U17" s="1">
        <f>IF(Unterhaltskosten!F17="",Unterhaltskosten!G17,Unterhaltskosten!F17)</f>
        <v>170</v>
      </c>
      <c r="V17" s="1">
        <f>IF(Unterhaltskosten!H17="",Unterhaltskosten!I17,Unterhaltskosten!H17)</f>
        <v>170</v>
      </c>
      <c r="W17" s="1">
        <f>IF(Unterhaltskosten!J17="",Unterhaltskosten!K17,Unterhaltskosten!J17)</f>
        <v>170</v>
      </c>
      <c r="X17" s="1">
        <f>IF(Unterhaltskosten!L17="",Unterhaltskosten!M17,Unterhaltskosten!L17)</f>
        <v>170</v>
      </c>
      <c r="Y17" s="1">
        <f>IF(Unterhaltskosten!N17="",Unterhaltskosten!O17,Unterhaltskosten!N17)</f>
        <v>240</v>
      </c>
      <c r="Z17" s="1">
        <f>IF(Unterhaltskosten!P17="",Unterhaltskosten!Q17,Unterhaltskosten!P17)</f>
        <v>280</v>
      </c>
      <c r="AA17" s="1">
        <f>IF(Unterhaltskosten!R17="",Unterhaltskosten!S17,Unterhaltskosten!R17)</f>
        <v>370</v>
      </c>
      <c r="AB17" s="1">
        <f>IF(Unterhaltskosten!T17="",Unterhaltskosten!U17,Unterhaltskosten!T17)</f>
        <v>470</v>
      </c>
      <c r="AC17" s="1">
        <f>IF(Unterhaltskosten!V17="",Unterhaltskosten!W17,Unterhaltskosten!V17)</f>
        <v>1000</v>
      </c>
      <c r="AD17" s="1">
        <f>IF(Unterhaltskosten!X17="",Unterhaltskosten!Y17,Unterhaltskosten!X17)</f>
        <v>2000</v>
      </c>
      <c r="AE17" s="1">
        <f>IF(Unterhaltskosten!Z17="",Unterhaltskosten!AA17,Unterhaltskosten!Z17)</f>
        <v>3500</v>
      </c>
      <c r="AF17" s="1">
        <f>IF(Unterhaltskosten!AB17="",Unterhaltskosten!AC17,Unterhaltskosten!AB17)</f>
        <v>4000</v>
      </c>
      <c r="AG17" s="1">
        <f>IF(Unterhaltskosten!AD17="",Unterhaltskosten!AE17,Unterhaltskosten!AD17)</f>
        <v>4500</v>
      </c>
    </row>
    <row r="18" spans="3:33">
      <c r="S18" s="146"/>
    </row>
    <row r="19" spans="3:33">
      <c r="C19" s="8" t="s">
        <v>15</v>
      </c>
      <c r="E19" s="68"/>
      <c r="F19" s="68"/>
      <c r="G19" s="68"/>
      <c r="H19" s="68"/>
      <c r="I19" s="68"/>
      <c r="J19" s="68"/>
      <c r="K19" s="68"/>
      <c r="L19" s="68"/>
      <c r="M19" s="68"/>
      <c r="N19" s="68"/>
      <c r="O19" s="68"/>
      <c r="P19" s="68"/>
      <c r="Q19" s="68"/>
      <c r="S19" s="146"/>
    </row>
    <row r="20" spans="3:33">
      <c r="C20" s="1" t="s">
        <v>255</v>
      </c>
      <c r="E20" s="68"/>
      <c r="F20" s="68"/>
      <c r="G20" s="68"/>
      <c r="H20" s="68">
        <v>450</v>
      </c>
      <c r="I20" s="68">
        <v>550</v>
      </c>
      <c r="J20" s="68">
        <v>550</v>
      </c>
      <c r="K20" s="68">
        <v>850</v>
      </c>
      <c r="L20" s="68">
        <v>1500</v>
      </c>
      <c r="M20" s="68">
        <v>2200</v>
      </c>
      <c r="N20" s="68">
        <v>3000</v>
      </c>
      <c r="O20" s="68">
        <v>3900</v>
      </c>
      <c r="P20" s="68">
        <v>6000</v>
      </c>
      <c r="Q20" s="68">
        <v>8000</v>
      </c>
      <c r="S20" s="146"/>
      <c r="U20" s="1">
        <f>IF(Unterhaltskosten!F20="",Unterhaltskosten!G20,Unterhaltskosten!F20)</f>
        <v>0</v>
      </c>
      <c r="V20" s="1">
        <f>IF(Unterhaltskosten!H20="",Unterhaltskosten!I20,Unterhaltskosten!H20)</f>
        <v>0</v>
      </c>
      <c r="W20" s="1">
        <f>IF(Unterhaltskosten!J20="",Unterhaltskosten!K20,Unterhaltskosten!J20)</f>
        <v>0</v>
      </c>
      <c r="X20" s="1">
        <f>IF(Unterhaltskosten!L20="",Unterhaltskosten!M20,Unterhaltskosten!L20)</f>
        <v>450</v>
      </c>
      <c r="Y20" s="1">
        <f>IF(Unterhaltskosten!N20="",Unterhaltskosten!O20,Unterhaltskosten!N20)</f>
        <v>550</v>
      </c>
      <c r="Z20" s="1">
        <f>IF(Unterhaltskosten!P20="",Unterhaltskosten!Q20,Unterhaltskosten!P20)</f>
        <v>550</v>
      </c>
      <c r="AA20" s="1">
        <f>IF(Unterhaltskosten!R20="",Unterhaltskosten!S20,Unterhaltskosten!R20)</f>
        <v>850</v>
      </c>
      <c r="AB20" s="1">
        <f>IF(Unterhaltskosten!T20="",Unterhaltskosten!U20,Unterhaltskosten!T20)</f>
        <v>1500</v>
      </c>
      <c r="AC20" s="1">
        <f>IF(Unterhaltskosten!V20="",Unterhaltskosten!W20,Unterhaltskosten!V20)</f>
        <v>2200</v>
      </c>
      <c r="AD20" s="1">
        <f>IF(Unterhaltskosten!X20="",Unterhaltskosten!Y20,Unterhaltskosten!X20)</f>
        <v>3000</v>
      </c>
      <c r="AE20" s="1">
        <f>IF(Unterhaltskosten!Z20="",Unterhaltskosten!AA20,Unterhaltskosten!Z20)</f>
        <v>3900</v>
      </c>
      <c r="AF20" s="1">
        <f>IF(Unterhaltskosten!AB20="",Unterhaltskosten!AC20,Unterhaltskosten!AB20)</f>
        <v>6000</v>
      </c>
      <c r="AG20" s="1">
        <f>IF(Unterhaltskosten!AD20="",Unterhaltskosten!AE20,Unterhaltskosten!AD20)</f>
        <v>8000</v>
      </c>
    </row>
    <row r="21" spans="3:33">
      <c r="C21" s="1" t="s">
        <v>256</v>
      </c>
      <c r="E21" s="68"/>
      <c r="F21" s="68"/>
      <c r="G21" s="68"/>
      <c r="H21" s="68">
        <v>370</v>
      </c>
      <c r="I21" s="68">
        <v>370</v>
      </c>
      <c r="J21" s="68">
        <v>370</v>
      </c>
      <c r="K21" s="68">
        <v>370</v>
      </c>
      <c r="L21" s="68">
        <v>470</v>
      </c>
      <c r="M21" s="68">
        <v>1000</v>
      </c>
      <c r="N21" s="68">
        <v>2000</v>
      </c>
      <c r="O21" s="68">
        <v>3500</v>
      </c>
      <c r="P21" s="68">
        <v>4000</v>
      </c>
      <c r="Q21" s="68">
        <v>4500</v>
      </c>
      <c r="S21" s="146"/>
      <c r="U21" s="1">
        <f>IF(Unterhaltskosten!F21="",Unterhaltskosten!G21,Unterhaltskosten!F21)</f>
        <v>0</v>
      </c>
      <c r="V21" s="1">
        <f>IF(Unterhaltskosten!H21="",Unterhaltskosten!I21,Unterhaltskosten!H21)</f>
        <v>0</v>
      </c>
      <c r="W21" s="1">
        <f>IF(Unterhaltskosten!J21="",Unterhaltskosten!K21,Unterhaltskosten!J21)</f>
        <v>0</v>
      </c>
      <c r="X21" s="1">
        <f>IF(Unterhaltskosten!L21="",Unterhaltskosten!M21,Unterhaltskosten!L21)</f>
        <v>370</v>
      </c>
      <c r="Y21" s="1">
        <f>IF(Unterhaltskosten!N21="",Unterhaltskosten!O21,Unterhaltskosten!N21)</f>
        <v>370</v>
      </c>
      <c r="Z21" s="1">
        <f>IF(Unterhaltskosten!P21="",Unterhaltskosten!Q21,Unterhaltskosten!P21)</f>
        <v>370</v>
      </c>
      <c r="AA21" s="1">
        <f>IF(Unterhaltskosten!R21="",Unterhaltskosten!S21,Unterhaltskosten!R21)</f>
        <v>370</v>
      </c>
      <c r="AB21" s="1">
        <f>IF(Unterhaltskosten!T21="",Unterhaltskosten!U21,Unterhaltskosten!T21)</f>
        <v>470</v>
      </c>
      <c r="AC21" s="1">
        <f>IF(Unterhaltskosten!V21="",Unterhaltskosten!W21,Unterhaltskosten!V21)</f>
        <v>1000</v>
      </c>
      <c r="AD21" s="1">
        <f>IF(Unterhaltskosten!X21="",Unterhaltskosten!Y21,Unterhaltskosten!X21)</f>
        <v>2000</v>
      </c>
      <c r="AE21" s="1">
        <f>IF(Unterhaltskosten!Z21="",Unterhaltskosten!AA21,Unterhaltskosten!Z21)</f>
        <v>3500</v>
      </c>
      <c r="AF21" s="1">
        <f>IF(Unterhaltskosten!AB21="",Unterhaltskosten!AC21,Unterhaltskosten!AB21)</f>
        <v>4000</v>
      </c>
      <c r="AG21" s="1">
        <f>IF(Unterhaltskosten!AD21="",Unterhaltskosten!AE21,Unterhaltskosten!AD21)</f>
        <v>4500</v>
      </c>
    </row>
    <row r="22" spans="3:33">
      <c r="S22" s="146"/>
    </row>
    <row r="23" spans="3:33">
      <c r="C23" s="8" t="s">
        <v>141</v>
      </c>
      <c r="E23" s="68"/>
      <c r="F23" s="68"/>
      <c r="G23" s="68"/>
      <c r="H23" s="68"/>
      <c r="I23" s="68"/>
      <c r="S23" s="146"/>
    </row>
    <row r="24" spans="3:33">
      <c r="C24" s="1" t="s">
        <v>255</v>
      </c>
      <c r="E24" s="68">
        <v>440</v>
      </c>
      <c r="F24" s="68">
        <v>440</v>
      </c>
      <c r="G24" s="68">
        <v>440</v>
      </c>
      <c r="H24" s="68">
        <v>500</v>
      </c>
      <c r="I24" s="68">
        <v>635</v>
      </c>
      <c r="J24" s="68">
        <v>1200</v>
      </c>
      <c r="K24" s="68">
        <v>2200</v>
      </c>
      <c r="L24" s="7"/>
      <c r="M24" s="7"/>
      <c r="N24" s="7"/>
      <c r="O24" s="7"/>
      <c r="S24" s="146"/>
      <c r="U24" s="1">
        <f>IF(Unterhaltskosten!F24="",Unterhaltskosten!G24,Unterhaltskosten!F24)</f>
        <v>440</v>
      </c>
      <c r="V24" s="1">
        <f>IF(Unterhaltskosten!H24="",Unterhaltskosten!I24,Unterhaltskosten!H24)</f>
        <v>440</v>
      </c>
      <c r="W24" s="1">
        <f>IF(Unterhaltskosten!J24="",Unterhaltskosten!K24,Unterhaltskosten!J24)</f>
        <v>440</v>
      </c>
      <c r="X24" s="1">
        <f>IF(Unterhaltskosten!L24="",Unterhaltskosten!M24,Unterhaltskosten!L24)</f>
        <v>500</v>
      </c>
      <c r="Y24" s="1">
        <f>IF(Unterhaltskosten!N24="",Unterhaltskosten!O24,Unterhaltskosten!N24)</f>
        <v>635</v>
      </c>
      <c r="Z24" s="1">
        <f>IF(Unterhaltskosten!P24="",Unterhaltskosten!Q24,Unterhaltskosten!P24)</f>
        <v>1200</v>
      </c>
      <c r="AA24" s="1">
        <f>IF(Unterhaltskosten!R24="",Unterhaltskosten!S24,Unterhaltskosten!R24)</f>
        <v>2200</v>
      </c>
      <c r="AB24" s="1">
        <f>IF(Unterhaltskosten!T24="",Unterhaltskosten!U24,Unterhaltskosten!T24)</f>
        <v>0</v>
      </c>
      <c r="AC24" s="1">
        <f>IF(Unterhaltskosten!V24="",Unterhaltskosten!W24,Unterhaltskosten!V24)</f>
        <v>0</v>
      </c>
      <c r="AD24" s="1">
        <f>IF(Unterhaltskosten!X24="",Unterhaltskosten!Y24,Unterhaltskosten!X24)</f>
        <v>0</v>
      </c>
      <c r="AE24" s="1">
        <f>IF(Unterhaltskosten!Z24="",Unterhaltskosten!AA24,Unterhaltskosten!Z24)</f>
        <v>0</v>
      </c>
      <c r="AF24" s="1">
        <f>IF(Unterhaltskosten!AB24="",Unterhaltskosten!AC24,Unterhaltskosten!AB24)</f>
        <v>0</v>
      </c>
      <c r="AG24" s="1">
        <f>IF(Unterhaltskosten!AD24="",Unterhaltskosten!AE24,Unterhaltskosten!AD24)</f>
        <v>0</v>
      </c>
    </row>
    <row r="25" spans="3:33">
      <c r="C25" s="1" t="s">
        <v>257</v>
      </c>
      <c r="E25" s="68">
        <v>0</v>
      </c>
      <c r="F25" s="68">
        <v>0</v>
      </c>
      <c r="G25" s="68">
        <v>0</v>
      </c>
      <c r="H25" s="68">
        <v>0</v>
      </c>
      <c r="I25" s="68">
        <v>0</v>
      </c>
      <c r="J25" s="68">
        <v>0</v>
      </c>
      <c r="K25" s="68">
        <v>0</v>
      </c>
      <c r="L25" s="7"/>
      <c r="M25" s="7"/>
      <c r="N25" s="7"/>
      <c r="O25" s="7"/>
      <c r="S25" s="146"/>
      <c r="U25" s="1">
        <f>IF(Unterhaltskosten!F25="",Unterhaltskosten!G25,Unterhaltskosten!F25)</f>
        <v>0</v>
      </c>
      <c r="V25" s="1">
        <f>IF(Unterhaltskosten!H25="",Unterhaltskosten!I25,Unterhaltskosten!H25)</f>
        <v>0</v>
      </c>
      <c r="W25" s="1">
        <f>IF(Unterhaltskosten!J25="",Unterhaltskosten!K25,Unterhaltskosten!J25)</f>
        <v>0</v>
      </c>
      <c r="X25" s="1">
        <f>IF(Unterhaltskosten!L25="",Unterhaltskosten!M25,Unterhaltskosten!L25)</f>
        <v>0</v>
      </c>
      <c r="Y25" s="1">
        <f>IF(Unterhaltskosten!N25="",Unterhaltskosten!O25,Unterhaltskosten!N25)</f>
        <v>0</v>
      </c>
      <c r="Z25" s="1">
        <f>IF(Unterhaltskosten!P25="",Unterhaltskosten!Q25,Unterhaltskosten!P25)</f>
        <v>0</v>
      </c>
      <c r="AA25" s="1">
        <f>IF(Unterhaltskosten!R25="",Unterhaltskosten!S25,Unterhaltskosten!R25)</f>
        <v>0</v>
      </c>
      <c r="AB25" s="1">
        <f>IF(Unterhaltskosten!T25="",Unterhaltskosten!U25,Unterhaltskosten!T25)</f>
        <v>0</v>
      </c>
      <c r="AC25" s="1">
        <f>IF(Unterhaltskosten!V25="",Unterhaltskosten!W25,Unterhaltskosten!V25)</f>
        <v>0</v>
      </c>
      <c r="AD25" s="1">
        <f>IF(Unterhaltskosten!X25="",Unterhaltskosten!Y25,Unterhaltskosten!X25)</f>
        <v>0</v>
      </c>
      <c r="AE25" s="1">
        <f>IF(Unterhaltskosten!Z25="",Unterhaltskosten!AA25,Unterhaltskosten!Z25)</f>
        <v>0</v>
      </c>
      <c r="AF25" s="1">
        <f>IF(Unterhaltskosten!AB25="",Unterhaltskosten!AC25,Unterhaltskosten!AB25)</f>
        <v>0</v>
      </c>
      <c r="AG25" s="1">
        <f>IF(Unterhaltskosten!AD25="",Unterhaltskosten!AE25,Unterhaltskosten!AD25)</f>
        <v>0</v>
      </c>
    </row>
    <row r="26" spans="3:33">
      <c r="C26" s="1" t="s">
        <v>302</v>
      </c>
      <c r="E26" s="68">
        <v>50</v>
      </c>
      <c r="F26" s="68">
        <v>50</v>
      </c>
      <c r="G26" s="68">
        <v>50</v>
      </c>
      <c r="H26" s="68">
        <v>50</v>
      </c>
      <c r="I26" s="68">
        <v>50</v>
      </c>
      <c r="J26" s="68">
        <v>50</v>
      </c>
      <c r="K26" s="68">
        <v>50</v>
      </c>
      <c r="L26" s="7"/>
      <c r="M26" s="7"/>
      <c r="N26" s="7"/>
      <c r="O26" s="7"/>
      <c r="S26" s="146"/>
      <c r="U26" s="1">
        <f>IF(Unterhaltskosten!F26="",Unterhaltskosten!G26,Unterhaltskosten!F26)</f>
        <v>50</v>
      </c>
      <c r="V26" s="1">
        <f>IF(Unterhaltskosten!H26="",Unterhaltskosten!I26,Unterhaltskosten!H26)</f>
        <v>50</v>
      </c>
      <c r="W26" s="1">
        <f>IF(Unterhaltskosten!J26="",Unterhaltskosten!K26,Unterhaltskosten!J26)</f>
        <v>50</v>
      </c>
      <c r="X26" s="1">
        <f>IF(Unterhaltskosten!L26="",Unterhaltskosten!M26,Unterhaltskosten!L26)</f>
        <v>50</v>
      </c>
      <c r="Y26" s="1">
        <f>IF(Unterhaltskosten!N26="",Unterhaltskosten!O26,Unterhaltskosten!N26)</f>
        <v>50</v>
      </c>
      <c r="Z26" s="1">
        <f>IF(Unterhaltskosten!P26="",Unterhaltskosten!Q26,Unterhaltskosten!P26)</f>
        <v>50</v>
      </c>
      <c r="AA26" s="1">
        <f>IF(Unterhaltskosten!R26="",Unterhaltskosten!S26,Unterhaltskosten!R26)</f>
        <v>50</v>
      </c>
      <c r="AB26" s="1">
        <f>IF(Unterhaltskosten!T26="",Unterhaltskosten!U26,Unterhaltskosten!T26)</f>
        <v>0</v>
      </c>
      <c r="AC26" s="1">
        <f>IF(Unterhaltskosten!V26="",Unterhaltskosten!W26,Unterhaltskosten!V26)</f>
        <v>0</v>
      </c>
      <c r="AD26" s="1">
        <f>IF(Unterhaltskosten!X26="",Unterhaltskosten!Y26,Unterhaltskosten!X26)</f>
        <v>0</v>
      </c>
      <c r="AE26" s="1">
        <f>IF(Unterhaltskosten!Z26="",Unterhaltskosten!AA26,Unterhaltskosten!Z26)</f>
        <v>0</v>
      </c>
      <c r="AF26" s="1">
        <f>IF(Unterhaltskosten!AB26="",Unterhaltskosten!AC26,Unterhaltskosten!AB26)</f>
        <v>0</v>
      </c>
      <c r="AG26" s="1">
        <f>IF(Unterhaltskosten!AD26="",Unterhaltskosten!AE26,Unterhaltskosten!AD26)</f>
        <v>0</v>
      </c>
    </row>
    <row r="27" spans="3:33">
      <c r="C27" s="1" t="s">
        <v>335</v>
      </c>
      <c r="E27" s="68">
        <v>0</v>
      </c>
      <c r="F27" s="68">
        <v>0</v>
      </c>
      <c r="G27" s="68">
        <v>0</v>
      </c>
      <c r="H27" s="68">
        <v>0</v>
      </c>
      <c r="I27" s="68">
        <v>0</v>
      </c>
      <c r="J27" s="68">
        <v>0</v>
      </c>
      <c r="K27" s="68">
        <v>0</v>
      </c>
      <c r="L27" s="7"/>
      <c r="M27" s="7"/>
      <c r="N27" s="7"/>
      <c r="O27" s="7"/>
      <c r="S27" s="146"/>
      <c r="U27" s="1">
        <f>IF(Unterhaltskosten!F27="",Unterhaltskosten!G27,Unterhaltskosten!F27)</f>
        <v>0</v>
      </c>
      <c r="V27" s="1">
        <f>IF(Unterhaltskosten!H27="",Unterhaltskosten!I27,Unterhaltskosten!H27)</f>
        <v>0</v>
      </c>
      <c r="W27" s="1">
        <f>IF(Unterhaltskosten!J27="",Unterhaltskosten!K27,Unterhaltskosten!J27)</f>
        <v>0</v>
      </c>
      <c r="X27" s="1">
        <f>IF(Unterhaltskosten!L27="",Unterhaltskosten!M27,Unterhaltskosten!L27)</f>
        <v>0</v>
      </c>
      <c r="Y27" s="1">
        <f>IF(Unterhaltskosten!N27="",Unterhaltskosten!O27,Unterhaltskosten!N27)</f>
        <v>0</v>
      </c>
      <c r="Z27" s="1">
        <f>IF(Unterhaltskosten!P27="",Unterhaltskosten!Q27,Unterhaltskosten!P27)</f>
        <v>0</v>
      </c>
      <c r="AA27" s="1">
        <f>IF(Unterhaltskosten!R27="",Unterhaltskosten!S27,Unterhaltskosten!R27)</f>
        <v>0</v>
      </c>
      <c r="AB27" s="1">
        <f>IF(Unterhaltskosten!T27="",Unterhaltskosten!U27,Unterhaltskosten!T27)</f>
        <v>0</v>
      </c>
      <c r="AC27" s="1">
        <f>IF(Unterhaltskosten!V27="",Unterhaltskosten!W27,Unterhaltskosten!V27)</f>
        <v>0</v>
      </c>
      <c r="AD27" s="1">
        <f>IF(Unterhaltskosten!X27="",Unterhaltskosten!Y27,Unterhaltskosten!X27)</f>
        <v>0</v>
      </c>
      <c r="AE27" s="1">
        <f>IF(Unterhaltskosten!Z27="",Unterhaltskosten!AA27,Unterhaltskosten!Z27)</f>
        <v>0</v>
      </c>
      <c r="AF27" s="1">
        <f>IF(Unterhaltskosten!AB27="",Unterhaltskosten!AC27,Unterhaltskosten!AB27)</f>
        <v>0</v>
      </c>
      <c r="AG27" s="1">
        <f>IF(Unterhaltskosten!AD27="",Unterhaltskosten!AE27,Unterhaltskosten!AD27)</f>
        <v>0</v>
      </c>
    </row>
    <row r="28" spans="3:33">
      <c r="S28" s="146"/>
    </row>
    <row r="29" spans="3:33">
      <c r="C29" s="8" t="s">
        <v>142</v>
      </c>
      <c r="E29" s="68"/>
      <c r="F29" s="68"/>
      <c r="G29" s="68"/>
      <c r="H29" s="68"/>
      <c r="I29" s="68"/>
      <c r="J29" s="68"/>
      <c r="K29" s="68"/>
      <c r="L29" s="68"/>
      <c r="M29" s="68"/>
      <c r="N29" s="68"/>
      <c r="O29" s="68"/>
      <c r="P29" s="68"/>
      <c r="Q29" s="68"/>
      <c r="S29" s="146"/>
    </row>
    <row r="30" spans="3:33">
      <c r="C30" s="1" t="s">
        <v>255</v>
      </c>
      <c r="E30" s="68">
        <v>680</v>
      </c>
      <c r="F30" s="68">
        <v>680</v>
      </c>
      <c r="G30" s="68">
        <v>680</v>
      </c>
      <c r="H30" s="68">
        <v>800</v>
      </c>
      <c r="I30" s="68">
        <v>800</v>
      </c>
      <c r="J30" s="68">
        <v>1200</v>
      </c>
      <c r="K30" s="68">
        <v>1500</v>
      </c>
      <c r="L30" s="68">
        <v>2000</v>
      </c>
      <c r="M30" s="68">
        <v>3200</v>
      </c>
      <c r="N30" s="68">
        <v>4200</v>
      </c>
      <c r="O30" s="68">
        <v>5500</v>
      </c>
      <c r="P30" s="68">
        <v>8000</v>
      </c>
      <c r="Q30" s="68">
        <v>10000</v>
      </c>
      <c r="S30" s="146"/>
      <c r="U30" s="1">
        <f>IF(Unterhaltskosten!F30="",Unterhaltskosten!G30,Unterhaltskosten!F30)</f>
        <v>680</v>
      </c>
      <c r="V30" s="1">
        <f>IF(Unterhaltskosten!H30="",Unterhaltskosten!I30,Unterhaltskosten!H30)</f>
        <v>680</v>
      </c>
      <c r="W30" s="1">
        <f>IF(Unterhaltskosten!J30="",Unterhaltskosten!K30,Unterhaltskosten!J30)</f>
        <v>680</v>
      </c>
      <c r="X30" s="1">
        <f>IF(Unterhaltskosten!L30="",Unterhaltskosten!M30,Unterhaltskosten!L30)</f>
        <v>800</v>
      </c>
      <c r="Y30" s="1">
        <f>IF(Unterhaltskosten!N30="",Unterhaltskosten!O30,Unterhaltskosten!N30)</f>
        <v>800</v>
      </c>
      <c r="Z30" s="1">
        <f>IF(Unterhaltskosten!P30="",Unterhaltskosten!Q30,Unterhaltskosten!P30)</f>
        <v>1200</v>
      </c>
      <c r="AA30" s="1">
        <f>IF(Unterhaltskosten!R30="",Unterhaltskosten!S30,Unterhaltskosten!R30)</f>
        <v>1500</v>
      </c>
      <c r="AB30" s="1">
        <f>IF(Unterhaltskosten!T30="",Unterhaltskosten!U30,Unterhaltskosten!T30)</f>
        <v>2000</v>
      </c>
      <c r="AC30" s="1">
        <f>IF(Unterhaltskosten!V30="",Unterhaltskosten!W30,Unterhaltskosten!V30)</f>
        <v>3200</v>
      </c>
      <c r="AD30" s="1">
        <f>IF(Unterhaltskosten!X30="",Unterhaltskosten!Y30,Unterhaltskosten!X30)</f>
        <v>4200</v>
      </c>
      <c r="AE30" s="1">
        <f>IF(Unterhaltskosten!Z30="",Unterhaltskosten!AA30,Unterhaltskosten!Z30)</f>
        <v>5500</v>
      </c>
      <c r="AF30" s="1">
        <f>IF(Unterhaltskosten!AB30="",Unterhaltskosten!AC30,Unterhaltskosten!AB30)</f>
        <v>8000</v>
      </c>
      <c r="AG30" s="1">
        <f>IF(Unterhaltskosten!AD30="",Unterhaltskosten!AE30,Unterhaltskosten!AD30)</f>
        <v>10000</v>
      </c>
    </row>
    <row r="31" spans="3:33">
      <c r="C31" s="1" t="s">
        <v>302</v>
      </c>
      <c r="E31" s="68">
        <v>50</v>
      </c>
      <c r="F31" s="68">
        <v>50</v>
      </c>
      <c r="G31" s="68">
        <v>50</v>
      </c>
      <c r="H31" s="68">
        <v>50</v>
      </c>
      <c r="I31" s="68">
        <v>50</v>
      </c>
      <c r="J31" s="68">
        <v>50</v>
      </c>
      <c r="K31" s="68">
        <v>50</v>
      </c>
      <c r="L31" s="68">
        <v>50</v>
      </c>
      <c r="M31" s="68">
        <v>50</v>
      </c>
      <c r="N31" s="68">
        <v>50</v>
      </c>
      <c r="O31" s="68">
        <v>50</v>
      </c>
      <c r="P31" s="68">
        <v>50</v>
      </c>
      <c r="Q31" s="68">
        <v>50</v>
      </c>
      <c r="S31" s="146"/>
      <c r="U31" s="1">
        <f>IF(Unterhaltskosten!F31="",Unterhaltskosten!G31,Unterhaltskosten!F31)</f>
        <v>50</v>
      </c>
      <c r="V31" s="1">
        <f>IF(Unterhaltskosten!H31="",Unterhaltskosten!I31,Unterhaltskosten!H31)</f>
        <v>50</v>
      </c>
      <c r="W31" s="1">
        <f>IF(Unterhaltskosten!J31="",Unterhaltskosten!K31,Unterhaltskosten!J31)</f>
        <v>50</v>
      </c>
      <c r="X31" s="1">
        <f>IF(Unterhaltskosten!L31="",Unterhaltskosten!M31,Unterhaltskosten!L31)</f>
        <v>50</v>
      </c>
      <c r="Y31" s="1">
        <f>IF(Unterhaltskosten!N31="",Unterhaltskosten!O31,Unterhaltskosten!N31)</f>
        <v>50</v>
      </c>
      <c r="Z31" s="1">
        <f>IF(Unterhaltskosten!P31="",Unterhaltskosten!Q31,Unterhaltskosten!P31)</f>
        <v>50</v>
      </c>
      <c r="AA31" s="1">
        <f>IF(Unterhaltskosten!R31="",Unterhaltskosten!S31,Unterhaltskosten!R31)</f>
        <v>50</v>
      </c>
      <c r="AB31" s="1">
        <f>IF(Unterhaltskosten!T31="",Unterhaltskosten!U31,Unterhaltskosten!T31)</f>
        <v>50</v>
      </c>
      <c r="AC31" s="1">
        <f>IF(Unterhaltskosten!V31="",Unterhaltskosten!W31,Unterhaltskosten!V31)</f>
        <v>50</v>
      </c>
      <c r="AD31" s="1">
        <f>IF(Unterhaltskosten!X31="",Unterhaltskosten!Y31,Unterhaltskosten!X31)</f>
        <v>50</v>
      </c>
      <c r="AE31" s="1">
        <f>IF(Unterhaltskosten!Z31="",Unterhaltskosten!AA31,Unterhaltskosten!Z31)</f>
        <v>50</v>
      </c>
      <c r="AF31" s="1">
        <f>IF(Unterhaltskosten!AB31="",Unterhaltskosten!AC31,Unterhaltskosten!AB31)</f>
        <v>50</v>
      </c>
      <c r="AG31" s="1">
        <f>IF(Unterhaltskosten!AD31="",Unterhaltskosten!AE31,Unterhaltskosten!AD31)</f>
        <v>50</v>
      </c>
    </row>
    <row r="32" spans="3:33">
      <c r="C32" s="1" t="s">
        <v>335</v>
      </c>
      <c r="E32" s="68">
        <v>0</v>
      </c>
      <c r="F32" s="68">
        <v>0</v>
      </c>
      <c r="G32" s="68">
        <v>0</v>
      </c>
      <c r="H32" s="68">
        <v>0</v>
      </c>
      <c r="I32" s="68">
        <v>0</v>
      </c>
      <c r="J32" s="68">
        <v>0</v>
      </c>
      <c r="K32" s="68">
        <v>0</v>
      </c>
      <c r="L32" s="68">
        <v>0</v>
      </c>
      <c r="M32" s="68">
        <v>0</v>
      </c>
      <c r="N32" s="68">
        <v>0</v>
      </c>
      <c r="O32" s="68">
        <v>0</v>
      </c>
      <c r="P32" s="68">
        <v>0</v>
      </c>
      <c r="Q32" s="68">
        <v>0</v>
      </c>
      <c r="S32" s="146"/>
      <c r="U32" s="1">
        <f>IF(Unterhaltskosten!F32="",Unterhaltskosten!G32,Unterhaltskosten!F32)</f>
        <v>0</v>
      </c>
      <c r="V32" s="1">
        <f>IF(Unterhaltskosten!H32="",Unterhaltskosten!I32,Unterhaltskosten!H32)</f>
        <v>0</v>
      </c>
      <c r="W32" s="1">
        <f>IF(Unterhaltskosten!J32="",Unterhaltskosten!K32,Unterhaltskosten!J32)</f>
        <v>0</v>
      </c>
      <c r="X32" s="1">
        <f>IF(Unterhaltskosten!L32="",Unterhaltskosten!M32,Unterhaltskosten!L32)</f>
        <v>0</v>
      </c>
      <c r="Y32" s="1">
        <f>IF(Unterhaltskosten!N32="",Unterhaltskosten!O32,Unterhaltskosten!N32)</f>
        <v>0</v>
      </c>
      <c r="Z32" s="1">
        <f>IF(Unterhaltskosten!P32="",Unterhaltskosten!Q32,Unterhaltskosten!P32)</f>
        <v>0</v>
      </c>
      <c r="AA32" s="1">
        <f>IF(Unterhaltskosten!R32="",Unterhaltskosten!S32,Unterhaltskosten!R32)</f>
        <v>0</v>
      </c>
      <c r="AB32" s="1">
        <f>IF(Unterhaltskosten!T32="",Unterhaltskosten!U32,Unterhaltskosten!T32)</f>
        <v>0</v>
      </c>
      <c r="AC32" s="1">
        <f>IF(Unterhaltskosten!V32="",Unterhaltskosten!W32,Unterhaltskosten!V32)</f>
        <v>0</v>
      </c>
      <c r="AD32" s="1">
        <f>IF(Unterhaltskosten!X32="",Unterhaltskosten!Y32,Unterhaltskosten!X32)</f>
        <v>0</v>
      </c>
      <c r="AE32" s="1">
        <f>IF(Unterhaltskosten!Z32="",Unterhaltskosten!AA32,Unterhaltskosten!Z32)</f>
        <v>0</v>
      </c>
      <c r="AF32" s="1">
        <f>IF(Unterhaltskosten!AB32="",Unterhaltskosten!AC32,Unterhaltskosten!AB32)</f>
        <v>0</v>
      </c>
      <c r="AG32" s="1">
        <f>IF(Unterhaltskosten!AD32="",Unterhaltskosten!AE32,Unterhaltskosten!AD32)</f>
        <v>0</v>
      </c>
    </row>
    <row r="33" spans="3:33">
      <c r="S33" s="146"/>
    </row>
    <row r="34" spans="3:33">
      <c r="C34" s="8" t="s">
        <v>143</v>
      </c>
      <c r="E34" s="68"/>
      <c r="F34" s="68"/>
      <c r="G34" s="68"/>
      <c r="H34" s="68"/>
      <c r="I34" s="68"/>
      <c r="J34" s="68"/>
      <c r="K34" s="68"/>
      <c r="L34" s="68"/>
      <c r="M34" s="68"/>
      <c r="N34" s="68"/>
      <c r="O34" s="68"/>
      <c r="P34" s="68"/>
      <c r="Q34" s="68"/>
      <c r="S34" s="146"/>
    </row>
    <row r="35" spans="3:33">
      <c r="C35" s="1" t="s">
        <v>255</v>
      </c>
      <c r="E35" s="68">
        <v>680</v>
      </c>
      <c r="F35" s="68">
        <v>680</v>
      </c>
      <c r="G35" s="68">
        <v>680</v>
      </c>
      <c r="H35" s="68">
        <v>800</v>
      </c>
      <c r="I35" s="68">
        <v>800</v>
      </c>
      <c r="J35" s="68">
        <v>1200</v>
      </c>
      <c r="K35" s="68">
        <v>1500</v>
      </c>
      <c r="L35" s="68">
        <v>2000</v>
      </c>
      <c r="M35" s="68">
        <v>3200</v>
      </c>
      <c r="N35" s="68">
        <v>4200</v>
      </c>
      <c r="O35" s="68">
        <v>5500</v>
      </c>
      <c r="P35" s="68">
        <v>8000</v>
      </c>
      <c r="Q35" s="68">
        <v>10000</v>
      </c>
      <c r="S35" s="146"/>
      <c r="U35" s="1">
        <f>IF(Unterhaltskosten!F35="",Unterhaltskosten!G35,Unterhaltskosten!F35)</f>
        <v>680</v>
      </c>
      <c r="V35" s="1">
        <f>IF(Unterhaltskosten!H35="",Unterhaltskosten!I35,Unterhaltskosten!H35)</f>
        <v>680</v>
      </c>
      <c r="W35" s="1">
        <f>IF(Unterhaltskosten!J35="",Unterhaltskosten!K35,Unterhaltskosten!J35)</f>
        <v>680</v>
      </c>
      <c r="X35" s="1">
        <f>IF(Unterhaltskosten!L35="",Unterhaltskosten!M35,Unterhaltskosten!L35)</f>
        <v>800</v>
      </c>
      <c r="Y35" s="1">
        <f>IF(Unterhaltskosten!N35="",Unterhaltskosten!O35,Unterhaltskosten!N35)</f>
        <v>800</v>
      </c>
      <c r="Z35" s="1">
        <f>IF(Unterhaltskosten!P35="",Unterhaltskosten!Q35,Unterhaltskosten!P35)</f>
        <v>1200</v>
      </c>
      <c r="AA35" s="1">
        <f>IF(Unterhaltskosten!R35="",Unterhaltskosten!S35,Unterhaltskosten!R35)</f>
        <v>1500</v>
      </c>
      <c r="AB35" s="1">
        <f>IF(Unterhaltskosten!T35="",Unterhaltskosten!U35,Unterhaltskosten!T35)</f>
        <v>2000</v>
      </c>
      <c r="AC35" s="1">
        <f>IF(Unterhaltskosten!V35="",Unterhaltskosten!W35,Unterhaltskosten!V35)</f>
        <v>3200</v>
      </c>
      <c r="AD35" s="1">
        <f>IF(Unterhaltskosten!X35="",Unterhaltskosten!Y35,Unterhaltskosten!X35)</f>
        <v>4200</v>
      </c>
      <c r="AE35" s="1">
        <f>IF(Unterhaltskosten!Z35="",Unterhaltskosten!AA35,Unterhaltskosten!Z35)</f>
        <v>5500</v>
      </c>
      <c r="AF35" s="1">
        <f>IF(Unterhaltskosten!AB35="",Unterhaltskosten!AC35,Unterhaltskosten!AB35)</f>
        <v>8000</v>
      </c>
      <c r="AG35" s="1">
        <f>IF(Unterhaltskosten!AD35="",Unterhaltskosten!AE35,Unterhaltskosten!AD35)</f>
        <v>10000</v>
      </c>
    </row>
    <row r="36" spans="3:33">
      <c r="C36" s="1" t="s">
        <v>302</v>
      </c>
      <c r="E36" s="68">
        <v>50</v>
      </c>
      <c r="F36" s="68">
        <v>50</v>
      </c>
      <c r="G36" s="68">
        <v>50</v>
      </c>
      <c r="H36" s="68">
        <v>50</v>
      </c>
      <c r="I36" s="68">
        <v>50</v>
      </c>
      <c r="J36" s="68">
        <v>50</v>
      </c>
      <c r="K36" s="68">
        <v>50</v>
      </c>
      <c r="L36" s="68">
        <v>50</v>
      </c>
      <c r="M36" s="68">
        <v>50</v>
      </c>
      <c r="N36" s="68">
        <v>50</v>
      </c>
      <c r="O36" s="68">
        <v>50</v>
      </c>
      <c r="P36" s="68">
        <v>50</v>
      </c>
      <c r="Q36" s="68">
        <v>50</v>
      </c>
      <c r="S36" s="146"/>
      <c r="U36" s="1">
        <f>IF(Unterhaltskosten!F36="",Unterhaltskosten!G36,Unterhaltskosten!F36)</f>
        <v>50</v>
      </c>
      <c r="V36" s="1">
        <f>IF(Unterhaltskosten!H36="",Unterhaltskosten!I36,Unterhaltskosten!H36)</f>
        <v>50</v>
      </c>
      <c r="W36" s="1">
        <f>IF(Unterhaltskosten!J36="",Unterhaltskosten!K36,Unterhaltskosten!J36)</f>
        <v>50</v>
      </c>
      <c r="X36" s="1">
        <f>IF(Unterhaltskosten!L36="",Unterhaltskosten!M36,Unterhaltskosten!L36)</f>
        <v>50</v>
      </c>
      <c r="Y36" s="1">
        <f>IF(Unterhaltskosten!N36="",Unterhaltskosten!O36,Unterhaltskosten!N36)</f>
        <v>50</v>
      </c>
      <c r="Z36" s="1">
        <f>IF(Unterhaltskosten!P36="",Unterhaltskosten!Q36,Unterhaltskosten!P36)</f>
        <v>50</v>
      </c>
      <c r="AA36" s="1">
        <f>IF(Unterhaltskosten!R36="",Unterhaltskosten!S36,Unterhaltskosten!R36)</f>
        <v>50</v>
      </c>
      <c r="AB36" s="1">
        <f>IF(Unterhaltskosten!T36="",Unterhaltskosten!U36,Unterhaltskosten!T36)</f>
        <v>50</v>
      </c>
      <c r="AC36" s="1">
        <f>IF(Unterhaltskosten!V36="",Unterhaltskosten!W36,Unterhaltskosten!V36)</f>
        <v>50</v>
      </c>
      <c r="AD36" s="1">
        <f>IF(Unterhaltskosten!X36="",Unterhaltskosten!Y36,Unterhaltskosten!X36)</f>
        <v>50</v>
      </c>
      <c r="AE36" s="1">
        <f>IF(Unterhaltskosten!Z36="",Unterhaltskosten!AA36,Unterhaltskosten!Z36)</f>
        <v>50</v>
      </c>
      <c r="AF36" s="1">
        <f>IF(Unterhaltskosten!AB36="",Unterhaltskosten!AC36,Unterhaltskosten!AB36)</f>
        <v>50</v>
      </c>
      <c r="AG36" s="1">
        <f>IF(Unterhaltskosten!AD36="",Unterhaltskosten!AE36,Unterhaltskosten!AD36)</f>
        <v>50</v>
      </c>
    </row>
    <row r="37" spans="3:33">
      <c r="C37" s="1" t="s">
        <v>335</v>
      </c>
      <c r="E37" s="68">
        <v>0</v>
      </c>
      <c r="F37" s="68">
        <v>0</v>
      </c>
      <c r="G37" s="68">
        <v>0</v>
      </c>
      <c r="H37" s="68">
        <v>0</v>
      </c>
      <c r="I37" s="68">
        <v>0</v>
      </c>
      <c r="J37" s="68">
        <v>0</v>
      </c>
      <c r="K37" s="68">
        <v>0</v>
      </c>
      <c r="L37" s="68">
        <v>0</v>
      </c>
      <c r="M37" s="68">
        <v>0</v>
      </c>
      <c r="N37" s="68">
        <v>0</v>
      </c>
      <c r="O37" s="68">
        <v>0</v>
      </c>
      <c r="P37" s="68">
        <v>0</v>
      </c>
      <c r="Q37" s="68">
        <v>0</v>
      </c>
      <c r="S37" s="146"/>
      <c r="U37" s="1">
        <f>IF(Unterhaltskosten!F37="",Unterhaltskosten!G37,Unterhaltskosten!F37)</f>
        <v>0</v>
      </c>
      <c r="V37" s="1">
        <f>IF(Unterhaltskosten!H37="",Unterhaltskosten!I37,Unterhaltskosten!H37)</f>
        <v>0</v>
      </c>
      <c r="W37" s="1">
        <f>IF(Unterhaltskosten!J37="",Unterhaltskosten!K37,Unterhaltskosten!J37)</f>
        <v>0</v>
      </c>
      <c r="X37" s="1">
        <f>IF(Unterhaltskosten!L37="",Unterhaltskosten!M37,Unterhaltskosten!L37)</f>
        <v>0</v>
      </c>
      <c r="Y37" s="1">
        <f>IF(Unterhaltskosten!N37="",Unterhaltskosten!O37,Unterhaltskosten!N37)</f>
        <v>0</v>
      </c>
      <c r="Z37" s="1">
        <f>IF(Unterhaltskosten!P37="",Unterhaltskosten!Q37,Unterhaltskosten!P37)</f>
        <v>0</v>
      </c>
      <c r="AA37" s="1">
        <f>IF(Unterhaltskosten!R37="",Unterhaltskosten!S37,Unterhaltskosten!R37)</f>
        <v>0</v>
      </c>
      <c r="AB37" s="1">
        <f>IF(Unterhaltskosten!T37="",Unterhaltskosten!U37,Unterhaltskosten!T37)</f>
        <v>0</v>
      </c>
      <c r="AC37" s="1">
        <f>IF(Unterhaltskosten!V37="",Unterhaltskosten!W37,Unterhaltskosten!V37)</f>
        <v>0</v>
      </c>
      <c r="AD37" s="1">
        <f>IF(Unterhaltskosten!X37="",Unterhaltskosten!Y37,Unterhaltskosten!X37)</f>
        <v>0</v>
      </c>
      <c r="AE37" s="1">
        <f>IF(Unterhaltskosten!Z37="",Unterhaltskosten!AA37,Unterhaltskosten!Z37)</f>
        <v>0</v>
      </c>
      <c r="AF37" s="1">
        <f>IF(Unterhaltskosten!AB37="",Unterhaltskosten!AC37,Unterhaltskosten!AB37)</f>
        <v>0</v>
      </c>
      <c r="AG37" s="1">
        <f>IF(Unterhaltskosten!AD37="",Unterhaltskosten!AE37,Unterhaltskosten!AD37)</f>
        <v>0</v>
      </c>
    </row>
    <row r="38" spans="3:33">
      <c r="S38" s="146"/>
    </row>
    <row r="39" spans="3:33">
      <c r="C39" s="8" t="s">
        <v>1810</v>
      </c>
      <c r="S39" s="146"/>
    </row>
    <row r="40" spans="3:33">
      <c r="C40" s="1" t="s">
        <v>255</v>
      </c>
      <c r="E40" s="68">
        <v>680</v>
      </c>
      <c r="F40" s="68">
        <v>680</v>
      </c>
      <c r="G40" s="68">
        <v>680</v>
      </c>
      <c r="H40" s="68">
        <v>800</v>
      </c>
      <c r="I40" s="68">
        <v>800</v>
      </c>
      <c r="J40" s="68">
        <v>1200</v>
      </c>
      <c r="K40" s="68">
        <v>1500</v>
      </c>
      <c r="L40" s="68">
        <v>2000</v>
      </c>
      <c r="M40" s="68">
        <v>3200</v>
      </c>
      <c r="N40" s="68">
        <v>4200</v>
      </c>
      <c r="O40" s="68">
        <v>5500</v>
      </c>
      <c r="P40" s="68">
        <v>8000</v>
      </c>
      <c r="Q40" s="68">
        <v>10000</v>
      </c>
      <c r="S40" s="146"/>
      <c r="U40" s="1">
        <f>IF(Unterhaltskosten!F40="",Unterhaltskosten!G40,Unterhaltskosten!F40)</f>
        <v>680</v>
      </c>
      <c r="V40" s="1">
        <f>IF(Unterhaltskosten!H40="",Unterhaltskosten!I40,Unterhaltskosten!H40)</f>
        <v>680</v>
      </c>
      <c r="W40" s="1">
        <f>IF(Unterhaltskosten!J40="",Unterhaltskosten!K40,Unterhaltskosten!J40)</f>
        <v>680</v>
      </c>
      <c r="X40" s="1">
        <f>IF(Unterhaltskosten!L40="",Unterhaltskosten!M40,Unterhaltskosten!L40)</f>
        <v>800</v>
      </c>
      <c r="Y40" s="1">
        <f>IF(Unterhaltskosten!N40="",Unterhaltskosten!O40,Unterhaltskosten!N40)</f>
        <v>800</v>
      </c>
      <c r="Z40" s="1">
        <f>IF(Unterhaltskosten!P40="",Unterhaltskosten!Q40,Unterhaltskosten!P40)</f>
        <v>1200</v>
      </c>
      <c r="AA40" s="1">
        <f>IF(Unterhaltskosten!R40="",Unterhaltskosten!S40,Unterhaltskosten!R40)</f>
        <v>1500</v>
      </c>
      <c r="AB40" s="1">
        <f>IF(Unterhaltskosten!T40="",Unterhaltskosten!U40,Unterhaltskosten!T40)</f>
        <v>2000</v>
      </c>
      <c r="AC40" s="1">
        <f>IF(Unterhaltskosten!V40="",Unterhaltskosten!W40,Unterhaltskosten!V40)</f>
        <v>3200</v>
      </c>
      <c r="AD40" s="1">
        <f>IF(Unterhaltskosten!X40="",Unterhaltskosten!Y40,Unterhaltskosten!X40)</f>
        <v>4200</v>
      </c>
      <c r="AE40" s="1">
        <f>IF(Unterhaltskosten!Z40="",Unterhaltskosten!AA40,Unterhaltskosten!Z40)</f>
        <v>5500</v>
      </c>
      <c r="AF40" s="1">
        <f>IF(Unterhaltskosten!AB40="",Unterhaltskosten!AC40,Unterhaltskosten!AB40)</f>
        <v>8000</v>
      </c>
      <c r="AG40" s="1">
        <f>IF(Unterhaltskosten!AD40="",Unterhaltskosten!AE40,Unterhaltskosten!AD40)</f>
        <v>10000</v>
      </c>
    </row>
    <row r="41" spans="3:33">
      <c r="C41" s="1" t="s">
        <v>302</v>
      </c>
      <c r="E41" s="68">
        <v>50</v>
      </c>
      <c r="F41" s="68">
        <v>50</v>
      </c>
      <c r="G41" s="68">
        <v>50</v>
      </c>
      <c r="H41" s="68">
        <v>50</v>
      </c>
      <c r="I41" s="68">
        <v>50</v>
      </c>
      <c r="J41" s="68">
        <v>50</v>
      </c>
      <c r="K41" s="68">
        <v>50</v>
      </c>
      <c r="L41" s="68">
        <v>50</v>
      </c>
      <c r="M41" s="68">
        <v>50</v>
      </c>
      <c r="N41" s="68">
        <v>50</v>
      </c>
      <c r="O41" s="68">
        <v>50</v>
      </c>
      <c r="P41" s="68">
        <v>50</v>
      </c>
      <c r="Q41" s="68">
        <v>50</v>
      </c>
      <c r="S41" s="146"/>
      <c r="U41" s="1">
        <f>IF(Unterhaltskosten!F41="",Unterhaltskosten!G41,Unterhaltskosten!F41)</f>
        <v>50</v>
      </c>
      <c r="V41" s="1">
        <f>IF(Unterhaltskosten!H41="",Unterhaltskosten!I41,Unterhaltskosten!H41)</f>
        <v>50</v>
      </c>
      <c r="W41" s="1">
        <f>IF(Unterhaltskosten!J41="",Unterhaltskosten!K41,Unterhaltskosten!J41)</f>
        <v>50</v>
      </c>
      <c r="X41" s="1">
        <f>IF(Unterhaltskosten!L41="",Unterhaltskosten!M41,Unterhaltskosten!L41)</f>
        <v>50</v>
      </c>
      <c r="Y41" s="1">
        <f>IF(Unterhaltskosten!N41="",Unterhaltskosten!O41,Unterhaltskosten!N41)</f>
        <v>50</v>
      </c>
      <c r="Z41" s="1">
        <f>IF(Unterhaltskosten!P41="",Unterhaltskosten!Q41,Unterhaltskosten!P41)</f>
        <v>50</v>
      </c>
      <c r="AA41" s="1">
        <f>IF(Unterhaltskosten!R41="",Unterhaltskosten!S41,Unterhaltskosten!R41)</f>
        <v>50</v>
      </c>
      <c r="AB41" s="1">
        <f>IF(Unterhaltskosten!T41="",Unterhaltskosten!U41,Unterhaltskosten!T41)</f>
        <v>50</v>
      </c>
      <c r="AC41" s="1">
        <f>IF(Unterhaltskosten!V41="",Unterhaltskosten!W41,Unterhaltskosten!V41)</f>
        <v>50</v>
      </c>
      <c r="AD41" s="1">
        <f>IF(Unterhaltskosten!X41="",Unterhaltskosten!Y41,Unterhaltskosten!X41)</f>
        <v>50</v>
      </c>
      <c r="AE41" s="1">
        <f>IF(Unterhaltskosten!Z41="",Unterhaltskosten!AA41,Unterhaltskosten!Z41)</f>
        <v>50</v>
      </c>
      <c r="AF41" s="1">
        <f>IF(Unterhaltskosten!AB41="",Unterhaltskosten!AC41,Unterhaltskosten!AB41)</f>
        <v>50</v>
      </c>
      <c r="AG41" s="1">
        <f>IF(Unterhaltskosten!AD41="",Unterhaltskosten!AE41,Unterhaltskosten!AD41)</f>
        <v>50</v>
      </c>
    </row>
    <row r="42" spans="3:33">
      <c r="C42" s="1" t="s">
        <v>335</v>
      </c>
      <c r="E42" s="68">
        <v>0</v>
      </c>
      <c r="F42" s="68">
        <v>0</v>
      </c>
      <c r="G42" s="68">
        <v>0</v>
      </c>
      <c r="H42" s="68">
        <v>0</v>
      </c>
      <c r="I42" s="68">
        <v>0</v>
      </c>
      <c r="J42" s="68">
        <v>0</v>
      </c>
      <c r="K42" s="68">
        <v>0</v>
      </c>
      <c r="L42" s="68">
        <v>0</v>
      </c>
      <c r="M42" s="68">
        <v>0</v>
      </c>
      <c r="N42" s="68">
        <v>0</v>
      </c>
      <c r="O42" s="68">
        <v>0</v>
      </c>
      <c r="P42" s="68">
        <v>0</v>
      </c>
      <c r="Q42" s="68">
        <v>0</v>
      </c>
      <c r="S42" s="146"/>
      <c r="U42" s="1">
        <f>IF(Unterhaltskosten!F42="",Unterhaltskosten!G42,Unterhaltskosten!F42)</f>
        <v>0</v>
      </c>
      <c r="V42" s="1">
        <f>IF(Unterhaltskosten!H42="",Unterhaltskosten!I42,Unterhaltskosten!H42)</f>
        <v>0</v>
      </c>
      <c r="W42" s="1">
        <f>IF(Unterhaltskosten!J42="",Unterhaltskosten!K42,Unterhaltskosten!J42)</f>
        <v>0</v>
      </c>
      <c r="X42" s="1">
        <f>IF(Unterhaltskosten!L42="",Unterhaltskosten!M42,Unterhaltskosten!L42)</f>
        <v>0</v>
      </c>
      <c r="Y42" s="1">
        <f>IF(Unterhaltskosten!N42="",Unterhaltskosten!O42,Unterhaltskosten!N42)</f>
        <v>0</v>
      </c>
      <c r="Z42" s="1">
        <f>IF(Unterhaltskosten!P42="",Unterhaltskosten!Q42,Unterhaltskosten!P42)</f>
        <v>0</v>
      </c>
      <c r="AA42" s="1">
        <f>IF(Unterhaltskosten!R42="",Unterhaltskosten!S42,Unterhaltskosten!R42)</f>
        <v>0</v>
      </c>
      <c r="AB42" s="1">
        <f>IF(Unterhaltskosten!T42="",Unterhaltskosten!U42,Unterhaltskosten!T42)</f>
        <v>0</v>
      </c>
      <c r="AC42" s="1">
        <f>IF(Unterhaltskosten!V42="",Unterhaltskosten!W42,Unterhaltskosten!V42)</f>
        <v>0</v>
      </c>
      <c r="AD42" s="1">
        <f>IF(Unterhaltskosten!X42="",Unterhaltskosten!Y42,Unterhaltskosten!X42)</f>
        <v>0</v>
      </c>
      <c r="AE42" s="1">
        <f>IF(Unterhaltskosten!Z42="",Unterhaltskosten!AA42,Unterhaltskosten!Z42)</f>
        <v>0</v>
      </c>
      <c r="AF42" s="1">
        <f>IF(Unterhaltskosten!AB42="",Unterhaltskosten!AC42,Unterhaltskosten!AB42)</f>
        <v>0</v>
      </c>
      <c r="AG42" s="1">
        <f>IF(Unterhaltskosten!AD42="",Unterhaltskosten!AE42,Unterhaltskosten!AD42)</f>
        <v>0</v>
      </c>
    </row>
    <row r="43" spans="3:33">
      <c r="S43" s="146"/>
    </row>
    <row r="44" spans="3:33">
      <c r="C44" s="8" t="s">
        <v>32</v>
      </c>
      <c r="E44" s="68"/>
      <c r="F44" s="68"/>
      <c r="G44" s="68"/>
      <c r="H44" s="68"/>
      <c r="I44" s="68"/>
      <c r="J44" s="68"/>
      <c r="K44" s="68"/>
      <c r="L44" s="68"/>
      <c r="M44" s="68"/>
      <c r="N44" s="68"/>
      <c r="O44" s="68"/>
      <c r="P44" s="68"/>
      <c r="Q44" s="68"/>
      <c r="S44" s="146"/>
    </row>
    <row r="45" spans="3:33">
      <c r="C45" s="1" t="s">
        <v>258</v>
      </c>
      <c r="E45" s="68">
        <v>250</v>
      </c>
      <c r="F45" s="68">
        <v>250</v>
      </c>
      <c r="G45" s="68">
        <v>250</v>
      </c>
      <c r="H45" s="68">
        <v>250</v>
      </c>
      <c r="I45" s="68">
        <v>250</v>
      </c>
      <c r="J45" s="68">
        <v>250</v>
      </c>
      <c r="K45" s="68">
        <v>250</v>
      </c>
      <c r="L45" s="68">
        <v>250</v>
      </c>
      <c r="M45" s="68">
        <v>250</v>
      </c>
      <c r="N45" s="68">
        <v>500</v>
      </c>
      <c r="O45" s="68">
        <v>750</v>
      </c>
      <c r="P45" s="68">
        <v>1000</v>
      </c>
      <c r="Q45" s="68">
        <v>1000</v>
      </c>
      <c r="S45" s="146"/>
      <c r="U45" s="1">
        <f>IF(Unterhaltskosten!F45="",Unterhaltskosten!G45,Unterhaltskosten!F45)</f>
        <v>250</v>
      </c>
      <c r="V45" s="1">
        <f>IF(Unterhaltskosten!H45="",Unterhaltskosten!I45,Unterhaltskosten!H45)</f>
        <v>250</v>
      </c>
      <c r="W45" s="1">
        <f>IF(Unterhaltskosten!J45="",Unterhaltskosten!K45,Unterhaltskosten!J45)</f>
        <v>250</v>
      </c>
      <c r="X45" s="1">
        <f>IF(Unterhaltskosten!L45="",Unterhaltskosten!M45,Unterhaltskosten!L45)</f>
        <v>250</v>
      </c>
      <c r="Y45" s="1">
        <f>IF(Unterhaltskosten!N45="",Unterhaltskosten!O45,Unterhaltskosten!N45)</f>
        <v>250</v>
      </c>
      <c r="Z45" s="1">
        <f>IF(Unterhaltskosten!P45="",Unterhaltskosten!Q45,Unterhaltskosten!P45)</f>
        <v>250</v>
      </c>
      <c r="AA45" s="1">
        <f>IF(Unterhaltskosten!R45="",Unterhaltskosten!S45,Unterhaltskosten!R45)</f>
        <v>250</v>
      </c>
      <c r="AB45" s="1">
        <f>IF(Unterhaltskosten!T45="",Unterhaltskosten!U45,Unterhaltskosten!T45)</f>
        <v>250</v>
      </c>
      <c r="AC45" s="1">
        <f>IF(Unterhaltskosten!V45="",Unterhaltskosten!W45,Unterhaltskosten!V45)</f>
        <v>250</v>
      </c>
      <c r="AD45" s="1">
        <f>IF(Unterhaltskosten!X45="",Unterhaltskosten!Y45,Unterhaltskosten!X45)</f>
        <v>500</v>
      </c>
      <c r="AE45" s="1">
        <f>IF(Unterhaltskosten!Z45="",Unterhaltskosten!AA45,Unterhaltskosten!Z45)</f>
        <v>750</v>
      </c>
      <c r="AF45" s="1">
        <f>IF(Unterhaltskosten!AB45="",Unterhaltskosten!AC45,Unterhaltskosten!AB45)</f>
        <v>1000</v>
      </c>
      <c r="AG45" s="1">
        <f>IF(Unterhaltskosten!AD45="",Unterhaltskosten!AE45,Unterhaltskosten!AD45)</f>
        <v>1000</v>
      </c>
    </row>
    <row r="46" spans="3:33">
      <c r="C46" s="1" t="s">
        <v>335</v>
      </c>
      <c r="E46" s="68">
        <v>0</v>
      </c>
      <c r="F46" s="68">
        <v>0</v>
      </c>
      <c r="G46" s="68">
        <v>0</v>
      </c>
      <c r="H46" s="68">
        <v>0</v>
      </c>
      <c r="I46" s="68">
        <v>0</v>
      </c>
      <c r="J46" s="68">
        <v>0</v>
      </c>
      <c r="K46" s="68">
        <v>0</v>
      </c>
      <c r="L46" s="68">
        <v>0</v>
      </c>
      <c r="M46" s="68">
        <v>0</v>
      </c>
      <c r="N46" s="68">
        <v>0</v>
      </c>
      <c r="O46" s="68">
        <v>0</v>
      </c>
      <c r="P46" s="68">
        <v>0</v>
      </c>
      <c r="Q46" s="68">
        <v>0</v>
      </c>
      <c r="S46" s="146"/>
      <c r="U46" s="1">
        <f>IF(Unterhaltskosten!F46="",Unterhaltskosten!G46,Unterhaltskosten!F46)</f>
        <v>0</v>
      </c>
      <c r="V46" s="1">
        <f>IF(Unterhaltskosten!H46="",Unterhaltskosten!I46,Unterhaltskosten!H46)</f>
        <v>0</v>
      </c>
      <c r="W46" s="1">
        <f>IF(Unterhaltskosten!J46="",Unterhaltskosten!K46,Unterhaltskosten!J46)</f>
        <v>0</v>
      </c>
      <c r="X46" s="1">
        <f>IF(Unterhaltskosten!L46="",Unterhaltskosten!M46,Unterhaltskosten!L46)</f>
        <v>0</v>
      </c>
      <c r="Y46" s="1">
        <f>IF(Unterhaltskosten!N46="",Unterhaltskosten!O46,Unterhaltskosten!N46)</f>
        <v>0</v>
      </c>
      <c r="Z46" s="1">
        <f>IF(Unterhaltskosten!P46="",Unterhaltskosten!Q46,Unterhaltskosten!P46)</f>
        <v>0</v>
      </c>
      <c r="AA46" s="1">
        <f>IF(Unterhaltskosten!R46="",Unterhaltskosten!S46,Unterhaltskosten!R46)</f>
        <v>0</v>
      </c>
      <c r="AB46" s="1">
        <f>IF(Unterhaltskosten!T46="",Unterhaltskosten!U46,Unterhaltskosten!T46)</f>
        <v>0</v>
      </c>
      <c r="AC46" s="1">
        <f>IF(Unterhaltskosten!V46="",Unterhaltskosten!W46,Unterhaltskosten!V46)</f>
        <v>0</v>
      </c>
      <c r="AD46" s="1">
        <f>IF(Unterhaltskosten!X46="",Unterhaltskosten!Y46,Unterhaltskosten!X46)</f>
        <v>0</v>
      </c>
      <c r="AE46" s="1">
        <f>IF(Unterhaltskosten!Z46="",Unterhaltskosten!AA46,Unterhaltskosten!Z46)</f>
        <v>0</v>
      </c>
      <c r="AF46" s="1">
        <f>IF(Unterhaltskosten!AB46="",Unterhaltskosten!AC46,Unterhaltskosten!AB46)</f>
        <v>0</v>
      </c>
      <c r="AG46" s="1">
        <f>IF(Unterhaltskosten!AD46="",Unterhaltskosten!AE46,Unterhaltskosten!AD46)</f>
        <v>0</v>
      </c>
    </row>
    <row r="47" spans="3:33">
      <c r="S47" s="146"/>
    </row>
    <row r="48" spans="3:33">
      <c r="C48" s="8" t="s">
        <v>1062</v>
      </c>
      <c r="S48" s="146"/>
    </row>
    <row r="49" spans="3:33">
      <c r="C49" s="1" t="str">
        <f ca="1">Sprache!$E$168</f>
        <v>Wartungsabo</v>
      </c>
      <c r="E49" s="1">
        <v>10</v>
      </c>
      <c r="F49" s="1">
        <v>10</v>
      </c>
      <c r="G49" s="74">
        <f>F49*1.5</f>
        <v>15</v>
      </c>
      <c r="H49" s="74">
        <f t="shared" ref="H49:Q49" si="0">G49*1.5</f>
        <v>22.5</v>
      </c>
      <c r="I49" s="74">
        <f t="shared" si="0"/>
        <v>33.75</v>
      </c>
      <c r="J49" s="74">
        <f t="shared" si="0"/>
        <v>50.625</v>
      </c>
      <c r="K49" s="74">
        <f t="shared" si="0"/>
        <v>75.9375</v>
      </c>
      <c r="L49" s="74">
        <f t="shared" si="0"/>
        <v>113.90625</v>
      </c>
      <c r="M49" s="74">
        <f t="shared" si="0"/>
        <v>170.859375</v>
      </c>
      <c r="N49" s="74">
        <f t="shared" si="0"/>
        <v>256.2890625</v>
      </c>
      <c r="O49" s="74">
        <f t="shared" si="0"/>
        <v>384.43359375</v>
      </c>
      <c r="P49" s="74">
        <f t="shared" si="0"/>
        <v>576.650390625</v>
      </c>
      <c r="Q49" s="74">
        <f t="shared" si="0"/>
        <v>864.9755859375</v>
      </c>
      <c r="S49" s="146"/>
      <c r="U49" s="1">
        <f>IF(Unterhaltskosten!F49="",Unterhaltskosten!G49,Unterhaltskosten!F49)</f>
        <v>10</v>
      </c>
      <c r="V49" s="1">
        <f>IF(Unterhaltskosten!H49="",Unterhaltskosten!I49,Unterhaltskosten!H49)</f>
        <v>10</v>
      </c>
      <c r="W49" s="1">
        <f>IF(Unterhaltskosten!J49="",Unterhaltskosten!K49,Unterhaltskosten!J49)</f>
        <v>15</v>
      </c>
      <c r="X49" s="1">
        <f>IF(Unterhaltskosten!L49="",Unterhaltskosten!M49,Unterhaltskosten!L49)</f>
        <v>22.5</v>
      </c>
      <c r="Y49" s="1">
        <f>IF(Unterhaltskosten!N49="",Unterhaltskosten!O49,Unterhaltskosten!N49)</f>
        <v>33.75</v>
      </c>
      <c r="Z49" s="1">
        <f>IF(Unterhaltskosten!P49="",Unterhaltskosten!Q49,Unterhaltskosten!P49)</f>
        <v>50.625</v>
      </c>
      <c r="AA49" s="1">
        <f>IF(Unterhaltskosten!R49="",Unterhaltskosten!S49,Unterhaltskosten!R49)</f>
        <v>75.9375</v>
      </c>
      <c r="AB49" s="1">
        <f>IF(Unterhaltskosten!T49="",Unterhaltskosten!U49,Unterhaltskosten!T49)</f>
        <v>113.90625</v>
      </c>
      <c r="AC49" s="1">
        <f>IF(Unterhaltskosten!V49="",Unterhaltskosten!W49,Unterhaltskosten!V49)</f>
        <v>170.859375</v>
      </c>
      <c r="AD49" s="1">
        <f>IF(Unterhaltskosten!X49="",Unterhaltskosten!Y49,Unterhaltskosten!X49)</f>
        <v>256.2890625</v>
      </c>
      <c r="AE49" s="1">
        <f>IF(Unterhaltskosten!Z49="",Unterhaltskosten!AA49,Unterhaltskosten!Z49)</f>
        <v>384.43359375</v>
      </c>
      <c r="AF49" s="1">
        <f>IF(Unterhaltskosten!AB49="",Unterhaltskosten!AC49,Unterhaltskosten!AB49)</f>
        <v>576.650390625</v>
      </c>
      <c r="AG49" s="1">
        <f>IF(Unterhaltskosten!AD49="",Unterhaltskosten!AE49,Unterhaltskosten!AD49)</f>
        <v>864.9755859375</v>
      </c>
    </row>
    <row r="50" spans="3:33">
      <c r="C50" s="1" t="str">
        <f ca="1">Sprache!$E$169</f>
        <v>Kaminfeger</v>
      </c>
      <c r="E50" s="1">
        <v>11</v>
      </c>
      <c r="F50" s="1">
        <v>11</v>
      </c>
      <c r="G50" s="74">
        <f t="shared" ref="G50:Q51" si="1">F50*1.5</f>
        <v>16.5</v>
      </c>
      <c r="H50" s="74">
        <f t="shared" si="1"/>
        <v>24.75</v>
      </c>
      <c r="I50" s="74">
        <f t="shared" si="1"/>
        <v>37.125</v>
      </c>
      <c r="J50" s="74">
        <f t="shared" si="1"/>
        <v>55.6875</v>
      </c>
      <c r="K50" s="74">
        <f t="shared" si="1"/>
        <v>83.53125</v>
      </c>
      <c r="L50" s="74">
        <f t="shared" si="1"/>
        <v>125.296875</v>
      </c>
      <c r="M50" s="74">
        <f t="shared" si="1"/>
        <v>187.9453125</v>
      </c>
      <c r="N50" s="74">
        <f t="shared" si="1"/>
        <v>281.91796875</v>
      </c>
      <c r="O50" s="74">
        <f t="shared" si="1"/>
        <v>422.876953125</v>
      </c>
      <c r="P50" s="74">
        <f t="shared" si="1"/>
        <v>634.3154296875</v>
      </c>
      <c r="Q50" s="74">
        <f t="shared" si="1"/>
        <v>951.47314453125</v>
      </c>
      <c r="S50" s="146"/>
      <c r="U50" s="1">
        <f>IF(Unterhaltskosten!F50="",Unterhaltskosten!G50,Unterhaltskosten!F50)</f>
        <v>11</v>
      </c>
      <c r="V50" s="1">
        <f>IF(Unterhaltskosten!H50="",Unterhaltskosten!I50,Unterhaltskosten!H50)</f>
        <v>11</v>
      </c>
      <c r="W50" s="1">
        <f>IF(Unterhaltskosten!J50="",Unterhaltskosten!K50,Unterhaltskosten!J50)</f>
        <v>16.5</v>
      </c>
      <c r="X50" s="1">
        <f>IF(Unterhaltskosten!L50="",Unterhaltskosten!M50,Unterhaltskosten!L50)</f>
        <v>24.75</v>
      </c>
      <c r="Y50" s="1">
        <f>IF(Unterhaltskosten!N50="",Unterhaltskosten!O50,Unterhaltskosten!N50)</f>
        <v>37.125</v>
      </c>
      <c r="Z50" s="1">
        <f>IF(Unterhaltskosten!P50="",Unterhaltskosten!Q50,Unterhaltskosten!P50)</f>
        <v>55.6875</v>
      </c>
      <c r="AA50" s="1">
        <f>IF(Unterhaltskosten!R50="",Unterhaltskosten!S50,Unterhaltskosten!R50)</f>
        <v>83.53125</v>
      </c>
      <c r="AB50" s="1">
        <f>IF(Unterhaltskosten!T50="",Unterhaltskosten!U50,Unterhaltskosten!T50)</f>
        <v>125.296875</v>
      </c>
      <c r="AC50" s="1">
        <f>IF(Unterhaltskosten!V50="",Unterhaltskosten!W50,Unterhaltskosten!V50)</f>
        <v>187.9453125</v>
      </c>
      <c r="AD50" s="1">
        <f>IF(Unterhaltskosten!X50="",Unterhaltskosten!Y50,Unterhaltskosten!X50)</f>
        <v>281.91796875</v>
      </c>
      <c r="AE50" s="1">
        <f>IF(Unterhaltskosten!Z50="",Unterhaltskosten!AA50,Unterhaltskosten!Z50)</f>
        <v>422.876953125</v>
      </c>
      <c r="AF50" s="1">
        <f>IF(Unterhaltskosten!AB50="",Unterhaltskosten!AC50,Unterhaltskosten!AB50)</f>
        <v>634.3154296875</v>
      </c>
      <c r="AG50" s="1">
        <f>IF(Unterhaltskosten!AD50="",Unterhaltskosten!AE50,Unterhaltskosten!AD50)</f>
        <v>951.47314453125</v>
      </c>
    </row>
    <row r="51" spans="3:33">
      <c r="C51" s="1" t="str">
        <f ca="1">Sprache!$E$222</f>
        <v>Grundpreis</v>
      </c>
      <c r="E51" s="1">
        <v>12</v>
      </c>
      <c r="F51" s="1">
        <v>12</v>
      </c>
      <c r="G51" s="74">
        <f t="shared" si="1"/>
        <v>18</v>
      </c>
      <c r="H51" s="74">
        <f t="shared" si="1"/>
        <v>27</v>
      </c>
      <c r="I51" s="74">
        <f t="shared" si="1"/>
        <v>40.5</v>
      </c>
      <c r="J51" s="74">
        <f t="shared" si="1"/>
        <v>60.75</v>
      </c>
      <c r="K51" s="74">
        <f t="shared" si="1"/>
        <v>91.125</v>
      </c>
      <c r="L51" s="74">
        <f t="shared" si="1"/>
        <v>136.6875</v>
      </c>
      <c r="M51" s="74">
        <f t="shared" si="1"/>
        <v>205.03125</v>
      </c>
      <c r="N51" s="74">
        <f t="shared" si="1"/>
        <v>307.546875</v>
      </c>
      <c r="O51" s="74">
        <f t="shared" si="1"/>
        <v>461.3203125</v>
      </c>
      <c r="P51" s="74">
        <f t="shared" si="1"/>
        <v>691.98046875</v>
      </c>
      <c r="Q51" s="74">
        <f t="shared" si="1"/>
        <v>1037.970703125</v>
      </c>
      <c r="S51" s="146"/>
      <c r="U51" s="1">
        <f>IF(Unterhaltskosten!F51="",Unterhaltskosten!G51,Unterhaltskosten!F51)</f>
        <v>12</v>
      </c>
      <c r="V51" s="1">
        <f>IF(Unterhaltskosten!H51="",Unterhaltskosten!I51,Unterhaltskosten!H51)</f>
        <v>12</v>
      </c>
      <c r="W51" s="1">
        <f>IF(Unterhaltskosten!J51="",Unterhaltskosten!K51,Unterhaltskosten!J51)</f>
        <v>18</v>
      </c>
      <c r="X51" s="1">
        <f>IF(Unterhaltskosten!L51="",Unterhaltskosten!M51,Unterhaltskosten!L51)</f>
        <v>27</v>
      </c>
      <c r="Y51" s="1">
        <f>IF(Unterhaltskosten!N51="",Unterhaltskosten!O51,Unterhaltskosten!N51)</f>
        <v>40.5</v>
      </c>
      <c r="Z51" s="1">
        <f>IF(Unterhaltskosten!P51="",Unterhaltskosten!Q51,Unterhaltskosten!P51)</f>
        <v>60.75</v>
      </c>
      <c r="AA51" s="1">
        <f>IF(Unterhaltskosten!R51="",Unterhaltskosten!S51,Unterhaltskosten!R51)</f>
        <v>91.125</v>
      </c>
      <c r="AB51" s="1">
        <f>IF(Unterhaltskosten!T51="",Unterhaltskosten!U51,Unterhaltskosten!T51)</f>
        <v>136.6875</v>
      </c>
      <c r="AC51" s="1">
        <f>IF(Unterhaltskosten!V51="",Unterhaltskosten!W51,Unterhaltskosten!V51)</f>
        <v>205.03125</v>
      </c>
      <c r="AD51" s="1">
        <f>IF(Unterhaltskosten!X51="",Unterhaltskosten!Y51,Unterhaltskosten!X51)</f>
        <v>307.546875</v>
      </c>
      <c r="AE51" s="1">
        <f>IF(Unterhaltskosten!Z51="",Unterhaltskosten!AA51,Unterhaltskosten!Z51)</f>
        <v>461.3203125</v>
      </c>
      <c r="AF51" s="1">
        <f>IF(Unterhaltskosten!AB51="",Unterhaltskosten!AC51,Unterhaltskosten!AB51)</f>
        <v>691.98046875</v>
      </c>
      <c r="AG51" s="1">
        <f>IF(Unterhaltskosten!AD51="",Unterhaltskosten!AE51,Unterhaltskosten!AD51)</f>
        <v>1037.970703125</v>
      </c>
    </row>
    <row r="52" spans="3:33">
      <c r="C52" s="1" t="str">
        <f ca="1">Sprache!$E$434</f>
        <v>Anteil Strom</v>
      </c>
      <c r="E52" s="1">
        <v>0.3</v>
      </c>
      <c r="F52" s="1">
        <v>0.3</v>
      </c>
      <c r="G52" s="1">
        <v>0.3</v>
      </c>
      <c r="H52" s="1">
        <v>0.3</v>
      </c>
      <c r="I52" s="1">
        <v>0.35</v>
      </c>
      <c r="J52" s="1">
        <v>0.35</v>
      </c>
      <c r="K52" s="1">
        <v>0.35</v>
      </c>
      <c r="L52" s="1">
        <v>0.35</v>
      </c>
      <c r="M52" s="1">
        <v>0.4</v>
      </c>
      <c r="N52" s="1">
        <v>0.4</v>
      </c>
      <c r="O52" s="1">
        <v>0.4</v>
      </c>
      <c r="P52" s="1">
        <v>0.4</v>
      </c>
      <c r="Q52" s="1">
        <v>0.4</v>
      </c>
      <c r="S52" s="146"/>
      <c r="U52" s="1">
        <f>IF(Unterhaltskosten!F52="",Unterhaltskosten!G52,Unterhaltskosten!F52)</f>
        <v>0.3</v>
      </c>
      <c r="V52" s="1">
        <f>IF(Unterhaltskosten!H52="",Unterhaltskosten!I52,Unterhaltskosten!H52)</f>
        <v>0.3</v>
      </c>
      <c r="W52" s="1">
        <f>IF(Unterhaltskosten!J52="",Unterhaltskosten!K52,Unterhaltskosten!J52)</f>
        <v>0.3</v>
      </c>
      <c r="X52" s="1">
        <f>IF(Unterhaltskosten!L52="",Unterhaltskosten!M52,Unterhaltskosten!L52)</f>
        <v>0.3</v>
      </c>
      <c r="Y52" s="1">
        <f>IF(Unterhaltskosten!N52="",Unterhaltskosten!O52,Unterhaltskosten!N52)</f>
        <v>0.35</v>
      </c>
      <c r="Z52" s="1">
        <f>IF(Unterhaltskosten!P52="",Unterhaltskosten!Q52,Unterhaltskosten!P52)</f>
        <v>0.35</v>
      </c>
      <c r="AA52" s="1">
        <f>IF(Unterhaltskosten!R52="",Unterhaltskosten!S52,Unterhaltskosten!R52)</f>
        <v>0.35</v>
      </c>
      <c r="AB52" s="1">
        <f>IF(Unterhaltskosten!T52="",Unterhaltskosten!U52,Unterhaltskosten!T52)</f>
        <v>0.35</v>
      </c>
      <c r="AC52" s="1">
        <f>IF(Unterhaltskosten!V52="",Unterhaltskosten!W52,Unterhaltskosten!V52)</f>
        <v>0.4</v>
      </c>
      <c r="AD52" s="1">
        <f>IF(Unterhaltskosten!X52="",Unterhaltskosten!Y52,Unterhaltskosten!X52)</f>
        <v>0.4</v>
      </c>
      <c r="AE52" s="1">
        <f>IF(Unterhaltskosten!Z52="",Unterhaltskosten!AA52,Unterhaltskosten!Z52)</f>
        <v>0.4</v>
      </c>
      <c r="AF52" s="1">
        <f>IF(Unterhaltskosten!AB52="",Unterhaltskosten!AC52,Unterhaltskosten!AB52)</f>
        <v>0.4</v>
      </c>
      <c r="AG52" s="1">
        <f>IF(Unterhaltskosten!AD52="",Unterhaltskosten!AE52,Unterhaltskosten!AD52)</f>
        <v>0.4</v>
      </c>
    </row>
    <row r="53" spans="3:33">
      <c r="C53" s="8"/>
      <c r="F53" s="68"/>
      <c r="G53" s="68"/>
      <c r="H53" s="68"/>
      <c r="I53" s="68"/>
      <c r="J53" s="68"/>
      <c r="K53" s="68"/>
      <c r="L53" s="68"/>
      <c r="M53" s="68"/>
      <c r="N53" s="68"/>
      <c r="O53" s="68"/>
      <c r="P53" s="68"/>
      <c r="Q53" s="68"/>
    </row>
    <row r="54" spans="3:33">
      <c r="F54" s="68"/>
      <c r="G54" s="68"/>
      <c r="H54" s="68"/>
      <c r="I54" s="68"/>
      <c r="J54" s="68"/>
      <c r="K54" s="68"/>
      <c r="L54" s="68"/>
      <c r="M54" s="68"/>
      <c r="N54" s="68"/>
      <c r="O54" s="68"/>
      <c r="P54" s="68"/>
      <c r="Q54" s="68"/>
    </row>
    <row r="55" spans="3:33">
      <c r="F55" s="68"/>
      <c r="G55" s="68"/>
      <c r="H55" s="68"/>
      <c r="I55" s="68"/>
      <c r="J55" s="68"/>
      <c r="K55" s="68"/>
      <c r="L55" s="68"/>
      <c r="M55" s="68"/>
      <c r="N55" s="68"/>
      <c r="O55" s="68"/>
      <c r="P55" s="68"/>
      <c r="Q55" s="68"/>
    </row>
    <row r="56" spans="3:33">
      <c r="F56" s="68"/>
      <c r="G56" s="68"/>
      <c r="H56" s="68"/>
      <c r="I56" s="68"/>
      <c r="J56" s="68"/>
      <c r="K56" s="68"/>
      <c r="L56" s="68"/>
      <c r="M56" s="68"/>
      <c r="N56" s="68"/>
      <c r="O56" s="68"/>
      <c r="P56" s="68"/>
      <c r="Q56" s="68"/>
    </row>
    <row r="57" spans="3:33">
      <c r="F57" s="68"/>
      <c r="G57" s="68"/>
      <c r="H57" s="68"/>
      <c r="I57" s="68"/>
      <c r="J57" s="68"/>
      <c r="K57" s="68"/>
      <c r="L57" s="68"/>
      <c r="M57" s="68"/>
      <c r="N57" s="68"/>
      <c r="O57" s="68"/>
      <c r="P57" s="68"/>
      <c r="Q57" s="68"/>
    </row>
    <row r="58" spans="3:33">
      <c r="F58" s="68"/>
      <c r="G58" s="68"/>
      <c r="H58" s="68"/>
      <c r="I58" s="68"/>
      <c r="J58" s="68"/>
      <c r="K58" s="68"/>
      <c r="L58" s="68"/>
      <c r="M58" s="68"/>
      <c r="N58" s="68"/>
      <c r="O58" s="68"/>
      <c r="P58" s="68"/>
      <c r="Q58" s="68"/>
    </row>
    <row r="59" spans="3:33">
      <c r="C59" s="8"/>
      <c r="F59" s="68"/>
      <c r="G59" s="68"/>
      <c r="H59" s="68"/>
      <c r="I59" s="68"/>
      <c r="J59" s="68"/>
      <c r="K59" s="68"/>
      <c r="L59" s="68"/>
      <c r="M59" s="68"/>
      <c r="N59" s="68"/>
      <c r="O59" s="68"/>
      <c r="P59" s="68"/>
      <c r="Q59" s="68"/>
    </row>
    <row r="62" spans="3:33">
      <c r="F62" s="68"/>
    </row>
    <row r="63" spans="3:33">
      <c r="F63" s="68"/>
      <c r="G63" s="81"/>
    </row>
    <row r="64" spans="3:33">
      <c r="F64" s="115"/>
    </row>
    <row r="65" spans="6:6">
      <c r="F65" s="115"/>
    </row>
    <row r="66" spans="6:6">
      <c r="F66" s="115"/>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C8AA-D911-4F32-AF51-E3550035E8B6}">
  <sheetPr codeName="Tabelle16">
    <tabColor rgb="FFFF0000"/>
  </sheetPr>
  <dimension ref="A1:GQ120"/>
  <sheetViews>
    <sheetView workbookViewId="0">
      <pane xSplit="4" ySplit="3" topLeftCell="E40" activePane="bottomRight" state="frozen"/>
      <selection pane="topRight" activeCell="E1" sqref="E1"/>
      <selection pane="bottomLeft" activeCell="A4" sqref="A4"/>
      <selection pane="bottomRight" activeCell="A82" sqref="A82"/>
    </sheetView>
  </sheetViews>
  <sheetFormatPr baseColWidth="10" defaultColWidth="11.42578125" defaultRowHeight="15"/>
  <cols>
    <col min="1" max="1" width="4.85546875" style="186" customWidth="1"/>
    <col min="2" max="2" width="11.42578125" style="186"/>
    <col min="3" max="3" width="25.42578125" style="186" bestFit="1" customWidth="1"/>
    <col min="4" max="4" width="52" style="186" customWidth="1"/>
    <col min="5" max="20" width="13.5703125" style="186" customWidth="1"/>
    <col min="21" max="16384" width="11.42578125" style="186"/>
  </cols>
  <sheetData>
    <row r="1" spans="1:199">
      <c r="E1" s="187"/>
      <c r="F1" s="188"/>
      <c r="G1" s="188"/>
      <c r="H1" s="188"/>
      <c r="I1" s="188"/>
      <c r="J1" s="188"/>
      <c r="K1" s="188"/>
      <c r="L1" s="189" t="s">
        <v>259</v>
      </c>
      <c r="M1" s="188"/>
      <c r="N1" s="188"/>
      <c r="O1" s="188"/>
      <c r="P1" s="188"/>
      <c r="Q1" s="188"/>
      <c r="R1" s="188"/>
      <c r="S1" s="190"/>
      <c r="T1" s="188"/>
      <c r="U1" s="188"/>
      <c r="V1" s="188"/>
      <c r="W1" s="188"/>
      <c r="X1" s="188"/>
      <c r="Y1" s="188"/>
      <c r="Z1" s="188"/>
      <c r="AA1" s="189" t="s">
        <v>247</v>
      </c>
      <c r="AB1" s="188"/>
      <c r="AC1" s="188"/>
      <c r="AD1" s="188"/>
      <c r="AE1" s="188"/>
      <c r="AF1" s="188"/>
      <c r="AG1" s="188"/>
      <c r="AH1" s="190"/>
      <c r="AI1" s="187"/>
      <c r="AJ1" s="188"/>
      <c r="AK1" s="188"/>
      <c r="AL1" s="188"/>
      <c r="AM1" s="188"/>
      <c r="AN1" s="188"/>
      <c r="AO1" s="188"/>
      <c r="AP1" s="189" t="s">
        <v>248</v>
      </c>
      <c r="AQ1" s="188"/>
      <c r="AR1" s="188"/>
      <c r="AS1" s="188"/>
      <c r="AT1" s="188"/>
      <c r="AU1" s="188"/>
      <c r="AV1" s="188"/>
      <c r="AW1" s="190"/>
      <c r="AX1" s="187"/>
      <c r="AY1" s="188"/>
      <c r="AZ1" s="188"/>
      <c r="BA1" s="188"/>
      <c r="BB1" s="188"/>
      <c r="BC1" s="188"/>
      <c r="BD1" s="188"/>
      <c r="BE1" s="189" t="s">
        <v>249</v>
      </c>
      <c r="BF1" s="188"/>
      <c r="BG1" s="188"/>
      <c r="BH1" s="188"/>
      <c r="BI1" s="188"/>
      <c r="BJ1" s="188"/>
      <c r="BK1" s="188"/>
      <c r="BL1" s="190"/>
      <c r="BM1" s="187"/>
      <c r="BN1" s="188"/>
      <c r="BO1" s="188"/>
      <c r="BP1" s="188"/>
      <c r="BQ1" s="188"/>
      <c r="BR1" s="188"/>
      <c r="BS1" s="188"/>
      <c r="BT1" s="189" t="s">
        <v>250</v>
      </c>
      <c r="BU1" s="188"/>
      <c r="BV1" s="188"/>
      <c r="BW1" s="188"/>
      <c r="BX1" s="188"/>
      <c r="BY1" s="188"/>
      <c r="BZ1" s="188"/>
      <c r="CA1" s="190"/>
      <c r="CB1" s="187"/>
      <c r="CC1" s="188"/>
      <c r="CD1" s="188"/>
      <c r="CE1" s="188"/>
      <c r="CF1" s="188"/>
      <c r="CG1" s="188"/>
      <c r="CH1" s="188"/>
      <c r="CI1" s="189" t="s">
        <v>251</v>
      </c>
      <c r="CJ1" s="188"/>
      <c r="CK1" s="188"/>
      <c r="CL1" s="188"/>
      <c r="CM1" s="188"/>
      <c r="CN1" s="188"/>
      <c r="CO1" s="188"/>
      <c r="CP1" s="190"/>
      <c r="CQ1" s="187"/>
      <c r="CR1" s="188"/>
      <c r="CS1" s="188"/>
      <c r="CT1" s="188"/>
      <c r="CU1" s="188"/>
      <c r="CV1" s="188"/>
      <c r="CW1" s="188"/>
      <c r="CX1" s="189" t="s">
        <v>252</v>
      </c>
      <c r="CY1" s="188"/>
      <c r="CZ1" s="188"/>
      <c r="DA1" s="188"/>
      <c r="DB1" s="188"/>
      <c r="DC1" s="188"/>
      <c r="DD1" s="188"/>
      <c r="DE1" s="190"/>
      <c r="DF1" s="187"/>
      <c r="DG1" s="188"/>
      <c r="DH1" s="188"/>
      <c r="DI1" s="188"/>
      <c r="DJ1" s="188"/>
      <c r="DK1" s="188"/>
      <c r="DL1" s="188"/>
      <c r="DM1" s="189" t="s">
        <v>253</v>
      </c>
      <c r="DN1" s="188"/>
      <c r="DO1" s="188"/>
      <c r="DP1" s="188"/>
      <c r="DQ1" s="188"/>
      <c r="DR1" s="188"/>
      <c r="DS1" s="188"/>
      <c r="DT1" s="190"/>
      <c r="DU1" s="187"/>
      <c r="DV1" s="188"/>
      <c r="DW1" s="188"/>
      <c r="DX1" s="188"/>
      <c r="DY1" s="188"/>
      <c r="DZ1" s="188"/>
      <c r="EA1" s="188"/>
      <c r="EB1" s="189" t="s">
        <v>254</v>
      </c>
      <c r="EC1" s="188"/>
      <c r="ED1" s="188"/>
      <c r="EE1" s="188"/>
      <c r="EF1" s="188"/>
      <c r="EG1" s="188"/>
      <c r="EH1" s="188"/>
      <c r="EI1" s="190"/>
      <c r="EJ1" s="187"/>
      <c r="EK1" s="188"/>
      <c r="EL1" s="188"/>
      <c r="EM1" s="188"/>
      <c r="EN1" s="188"/>
      <c r="EO1" s="188"/>
      <c r="EP1" s="188"/>
      <c r="EQ1" s="189" t="s">
        <v>666</v>
      </c>
      <c r="ER1" s="188"/>
      <c r="ES1" s="188"/>
      <c r="ET1" s="188"/>
      <c r="EU1" s="188"/>
      <c r="EV1" s="188"/>
      <c r="EW1" s="188"/>
      <c r="EX1" s="190"/>
      <c r="EY1" s="187"/>
      <c r="EZ1" s="188"/>
      <c r="FA1" s="188"/>
      <c r="FB1" s="188"/>
      <c r="FC1" s="188"/>
      <c r="FD1" s="188"/>
      <c r="FE1" s="188"/>
      <c r="FF1" s="189" t="s">
        <v>667</v>
      </c>
      <c r="FG1" s="188"/>
      <c r="FH1" s="188"/>
      <c r="FI1" s="188"/>
      <c r="FJ1" s="188"/>
      <c r="FK1" s="188"/>
      <c r="FL1" s="188"/>
      <c r="FM1" s="190"/>
      <c r="FN1" s="187"/>
      <c r="FO1" s="188"/>
      <c r="FP1" s="188"/>
      <c r="FQ1" s="188"/>
      <c r="FR1" s="188"/>
      <c r="FS1" s="188"/>
      <c r="FT1" s="188"/>
      <c r="FU1" s="189" t="s">
        <v>668</v>
      </c>
      <c r="FV1" s="188"/>
      <c r="FW1" s="188"/>
      <c r="FX1" s="188"/>
      <c r="FY1" s="188"/>
      <c r="FZ1" s="188"/>
      <c r="GA1" s="188"/>
      <c r="GB1" s="190"/>
      <c r="GC1" s="187"/>
      <c r="GD1" s="188"/>
      <c r="GE1" s="188"/>
      <c r="GF1" s="188"/>
      <c r="GG1" s="188"/>
      <c r="GH1" s="188"/>
      <c r="GI1" s="188"/>
      <c r="GJ1" s="189" t="s">
        <v>669</v>
      </c>
      <c r="GK1" s="188"/>
      <c r="GL1" s="188"/>
      <c r="GM1" s="188"/>
      <c r="GN1" s="188"/>
      <c r="GO1" s="188"/>
      <c r="GP1" s="188"/>
      <c r="GQ1" s="190"/>
    </row>
    <row r="2" spans="1:199">
      <c r="E2" s="187"/>
      <c r="F2" s="189"/>
      <c r="G2" s="189" t="s">
        <v>126</v>
      </c>
      <c r="H2" s="189"/>
      <c r="I2" s="191"/>
      <c r="J2" s="192"/>
      <c r="K2" s="189"/>
      <c r="L2" s="189" t="s">
        <v>1044</v>
      </c>
      <c r="M2" s="189"/>
      <c r="N2" s="191"/>
      <c r="O2" s="192"/>
      <c r="P2" s="189"/>
      <c r="Q2" s="189" t="s">
        <v>1045</v>
      </c>
      <c r="R2" s="189"/>
      <c r="S2" s="191"/>
      <c r="T2" s="188"/>
      <c r="U2" s="189"/>
      <c r="V2" s="189" t="s">
        <v>126</v>
      </c>
      <c r="W2" s="189"/>
      <c r="X2" s="191"/>
      <c r="Y2" s="192"/>
      <c r="Z2" s="189"/>
      <c r="AA2" s="189" t="s">
        <v>1044</v>
      </c>
      <c r="AB2" s="189"/>
      <c r="AC2" s="191"/>
      <c r="AD2" s="192"/>
      <c r="AE2" s="189"/>
      <c r="AF2" s="189" t="s">
        <v>1045</v>
      </c>
      <c r="AG2" s="189"/>
      <c r="AH2" s="191"/>
      <c r="AI2" s="192"/>
      <c r="AJ2" s="189"/>
      <c r="AK2" s="189" t="s">
        <v>126</v>
      </c>
      <c r="AL2" s="189"/>
      <c r="AM2" s="191"/>
      <c r="AN2" s="192"/>
      <c r="AO2" s="189"/>
      <c r="AP2" s="189" t="s">
        <v>1044</v>
      </c>
      <c r="AQ2" s="189"/>
      <c r="AR2" s="191"/>
      <c r="AS2" s="192"/>
      <c r="AT2" s="189"/>
      <c r="AU2" s="189" t="s">
        <v>1045</v>
      </c>
      <c r="AV2" s="189"/>
      <c r="AW2" s="191"/>
      <c r="AX2" s="192"/>
      <c r="AY2" s="189"/>
      <c r="AZ2" s="189" t="s">
        <v>126</v>
      </c>
      <c r="BA2" s="189"/>
      <c r="BB2" s="191"/>
      <c r="BC2" s="192"/>
      <c r="BD2" s="189"/>
      <c r="BE2" s="189" t="s">
        <v>1044</v>
      </c>
      <c r="BF2" s="189"/>
      <c r="BG2" s="191"/>
      <c r="BH2" s="192"/>
      <c r="BI2" s="189"/>
      <c r="BJ2" s="189" t="s">
        <v>1045</v>
      </c>
      <c r="BK2" s="189"/>
      <c r="BL2" s="191"/>
      <c r="BM2" s="192"/>
      <c r="BN2" s="189"/>
      <c r="BO2" s="189" t="s">
        <v>126</v>
      </c>
      <c r="BP2" s="189"/>
      <c r="BQ2" s="191"/>
      <c r="BR2" s="192"/>
      <c r="BS2" s="189"/>
      <c r="BT2" s="189" t="s">
        <v>1044</v>
      </c>
      <c r="BU2" s="189"/>
      <c r="BV2" s="191"/>
      <c r="BW2" s="192"/>
      <c r="BX2" s="189"/>
      <c r="BY2" s="189" t="s">
        <v>1045</v>
      </c>
      <c r="BZ2" s="191"/>
      <c r="CA2" s="189"/>
      <c r="CB2" s="192"/>
      <c r="CC2" s="189"/>
      <c r="CD2" s="189" t="s">
        <v>126</v>
      </c>
      <c r="CE2" s="191"/>
      <c r="CF2" s="189"/>
      <c r="CG2" s="192"/>
      <c r="CH2" s="189"/>
      <c r="CI2" s="189" t="s">
        <v>1044</v>
      </c>
      <c r="CJ2" s="191"/>
      <c r="CK2" s="189"/>
      <c r="CL2" s="192"/>
      <c r="CM2" s="189"/>
      <c r="CN2" s="189" t="s">
        <v>1045</v>
      </c>
      <c r="CO2" s="191"/>
      <c r="CP2" s="189"/>
      <c r="CQ2" s="192"/>
      <c r="CR2" s="189"/>
      <c r="CS2" s="189" t="s">
        <v>126</v>
      </c>
      <c r="CT2" s="191"/>
      <c r="CU2" s="189"/>
      <c r="CV2" s="192"/>
      <c r="CW2" s="189"/>
      <c r="CX2" s="189" t="s">
        <v>1044</v>
      </c>
      <c r="CY2" s="191"/>
      <c r="CZ2" s="189"/>
      <c r="DA2" s="192"/>
      <c r="DB2" s="189"/>
      <c r="DC2" s="189" t="s">
        <v>1045</v>
      </c>
      <c r="DD2" s="191"/>
      <c r="DE2" s="189"/>
      <c r="DF2" s="192"/>
      <c r="DG2" s="189"/>
      <c r="DH2" s="189" t="s">
        <v>126</v>
      </c>
      <c r="DI2" s="191"/>
      <c r="DJ2" s="189"/>
      <c r="DK2" s="192"/>
      <c r="DL2" s="189"/>
      <c r="DM2" s="189" t="s">
        <v>1044</v>
      </c>
      <c r="DN2" s="191"/>
      <c r="DO2" s="189"/>
      <c r="DP2" s="192"/>
      <c r="DQ2" s="189"/>
      <c r="DR2" s="189" t="s">
        <v>1045</v>
      </c>
      <c r="DS2" s="191"/>
      <c r="DT2" s="189"/>
      <c r="DU2" s="192"/>
      <c r="DV2" s="189"/>
      <c r="DW2" s="189" t="s">
        <v>126</v>
      </c>
      <c r="DX2" s="191"/>
      <c r="DY2" s="189"/>
      <c r="DZ2" s="192"/>
      <c r="EA2" s="189"/>
      <c r="EB2" s="189" t="s">
        <v>1044</v>
      </c>
      <c r="EC2" s="191"/>
      <c r="ED2" s="189"/>
      <c r="EE2" s="192"/>
      <c r="EF2" s="189"/>
      <c r="EG2" s="189" t="s">
        <v>1045</v>
      </c>
      <c r="EH2" s="191"/>
      <c r="EI2" s="189"/>
      <c r="EJ2" s="192"/>
      <c r="EK2" s="189"/>
      <c r="EL2" s="189" t="s">
        <v>126</v>
      </c>
      <c r="EM2" s="191"/>
      <c r="EN2" s="189"/>
      <c r="EO2" s="192"/>
      <c r="EP2" s="189"/>
      <c r="EQ2" s="189" t="s">
        <v>1044</v>
      </c>
      <c r="ER2" s="191"/>
      <c r="ES2" s="189"/>
      <c r="ET2" s="192"/>
      <c r="EU2" s="189"/>
      <c r="EV2" s="189" t="s">
        <v>1045</v>
      </c>
      <c r="EW2" s="191"/>
      <c r="EX2" s="189"/>
      <c r="EY2" s="192"/>
      <c r="EZ2" s="189"/>
      <c r="FA2" s="189" t="s">
        <v>126</v>
      </c>
      <c r="FB2" s="191"/>
      <c r="FC2" s="189"/>
      <c r="FD2" s="192"/>
      <c r="FE2" s="189"/>
      <c r="FF2" s="189" t="s">
        <v>1044</v>
      </c>
      <c r="FG2" s="191"/>
      <c r="FH2" s="189"/>
      <c r="FI2" s="192"/>
      <c r="FJ2" s="189"/>
      <c r="FK2" s="189" t="s">
        <v>1045</v>
      </c>
      <c r="FL2" s="191"/>
      <c r="FM2" s="189"/>
      <c r="FN2" s="192"/>
      <c r="FO2" s="189"/>
      <c r="FP2" s="189" t="s">
        <v>126</v>
      </c>
      <c r="FQ2" s="191"/>
      <c r="FR2" s="189"/>
      <c r="FS2" s="192"/>
      <c r="FT2" s="189"/>
      <c r="FU2" s="189" t="s">
        <v>1044</v>
      </c>
      <c r="FV2" s="191"/>
      <c r="FW2" s="189"/>
      <c r="FX2" s="192"/>
      <c r="FY2" s="189"/>
      <c r="FZ2" s="189" t="s">
        <v>1045</v>
      </c>
      <c r="GA2" s="191"/>
      <c r="GB2" s="189"/>
      <c r="GC2" s="192"/>
      <c r="GD2" s="189"/>
      <c r="GE2" s="189" t="s">
        <v>126</v>
      </c>
      <c r="GF2" s="191"/>
      <c r="GG2" s="189"/>
      <c r="GH2" s="192"/>
      <c r="GI2" s="189"/>
      <c r="GJ2" s="189" t="s">
        <v>1044</v>
      </c>
      <c r="GK2" s="191"/>
      <c r="GL2" s="189"/>
      <c r="GM2" s="192"/>
      <c r="GN2" s="189"/>
      <c r="GO2" s="189" t="s">
        <v>1045</v>
      </c>
      <c r="GP2" s="191"/>
      <c r="GQ2" s="194"/>
    </row>
    <row r="3" spans="1:199">
      <c r="E3" s="193" t="s">
        <v>349</v>
      </c>
      <c r="F3" s="194" t="s">
        <v>985</v>
      </c>
      <c r="G3" s="194" t="s">
        <v>941</v>
      </c>
      <c r="H3" s="194" t="s">
        <v>1052</v>
      </c>
      <c r="I3" s="194" t="s">
        <v>1311</v>
      </c>
      <c r="J3" s="194" t="s">
        <v>349</v>
      </c>
      <c r="K3" s="194" t="s">
        <v>985</v>
      </c>
      <c r="L3" s="194" t="s">
        <v>941</v>
      </c>
      <c r="M3" s="194" t="s">
        <v>1052</v>
      </c>
      <c r="N3" s="194" t="s">
        <v>1311</v>
      </c>
      <c r="O3" s="194" t="s">
        <v>349</v>
      </c>
      <c r="P3" s="194" t="s">
        <v>985</v>
      </c>
      <c r="Q3" s="194" t="s">
        <v>941</v>
      </c>
      <c r="R3" s="194" t="s">
        <v>1052</v>
      </c>
      <c r="S3" s="194" t="s">
        <v>1311</v>
      </c>
      <c r="T3" s="190" t="s">
        <v>349</v>
      </c>
      <c r="U3" s="194" t="s">
        <v>985</v>
      </c>
      <c r="V3" s="194" t="s">
        <v>941</v>
      </c>
      <c r="W3" s="194" t="s">
        <v>1052</v>
      </c>
      <c r="X3" s="194" t="s">
        <v>1311</v>
      </c>
      <c r="Y3" s="194" t="s">
        <v>349</v>
      </c>
      <c r="Z3" s="194" t="s">
        <v>985</v>
      </c>
      <c r="AA3" s="194" t="s">
        <v>941</v>
      </c>
      <c r="AB3" s="194" t="s">
        <v>1052</v>
      </c>
      <c r="AC3" s="194" t="s">
        <v>1311</v>
      </c>
      <c r="AD3" s="194" t="s">
        <v>349</v>
      </c>
      <c r="AE3" s="194" t="s">
        <v>985</v>
      </c>
      <c r="AF3" s="194" t="s">
        <v>941</v>
      </c>
      <c r="AG3" s="194" t="s">
        <v>1052</v>
      </c>
      <c r="AH3" s="194" t="s">
        <v>1311</v>
      </c>
      <c r="AI3" s="194" t="s">
        <v>349</v>
      </c>
      <c r="AJ3" s="194" t="s">
        <v>985</v>
      </c>
      <c r="AK3" s="194" t="s">
        <v>941</v>
      </c>
      <c r="AL3" s="194" t="s">
        <v>1052</v>
      </c>
      <c r="AM3" s="194" t="s">
        <v>1311</v>
      </c>
      <c r="AN3" s="194" t="s">
        <v>349</v>
      </c>
      <c r="AO3" s="194" t="s">
        <v>985</v>
      </c>
      <c r="AP3" s="194" t="s">
        <v>941</v>
      </c>
      <c r="AQ3" s="194" t="s">
        <v>1052</v>
      </c>
      <c r="AR3" s="194" t="s">
        <v>1311</v>
      </c>
      <c r="AS3" s="194" t="s">
        <v>349</v>
      </c>
      <c r="AT3" s="194" t="s">
        <v>985</v>
      </c>
      <c r="AU3" s="194" t="s">
        <v>941</v>
      </c>
      <c r="AV3" s="194" t="s">
        <v>1052</v>
      </c>
      <c r="AW3" s="194" t="s">
        <v>1311</v>
      </c>
      <c r="AX3" s="194" t="s">
        <v>349</v>
      </c>
      <c r="AY3" s="194" t="s">
        <v>985</v>
      </c>
      <c r="AZ3" s="194" t="s">
        <v>941</v>
      </c>
      <c r="BA3" s="194" t="s">
        <v>1052</v>
      </c>
      <c r="BB3" s="194" t="s">
        <v>1311</v>
      </c>
      <c r="BC3" s="194" t="s">
        <v>349</v>
      </c>
      <c r="BD3" s="194" t="s">
        <v>985</v>
      </c>
      <c r="BE3" s="194" t="s">
        <v>941</v>
      </c>
      <c r="BF3" s="194" t="s">
        <v>1052</v>
      </c>
      <c r="BG3" s="194" t="s">
        <v>1311</v>
      </c>
      <c r="BH3" s="194" t="s">
        <v>349</v>
      </c>
      <c r="BI3" s="194" t="s">
        <v>985</v>
      </c>
      <c r="BJ3" s="194" t="s">
        <v>941</v>
      </c>
      <c r="BK3" s="194" t="s">
        <v>1052</v>
      </c>
      <c r="BL3" s="194" t="s">
        <v>1311</v>
      </c>
      <c r="BM3" s="194" t="s">
        <v>349</v>
      </c>
      <c r="BN3" s="194" t="s">
        <v>985</v>
      </c>
      <c r="BO3" s="194" t="s">
        <v>941</v>
      </c>
      <c r="BP3" s="194" t="s">
        <v>1052</v>
      </c>
      <c r="BQ3" s="194" t="s">
        <v>1311</v>
      </c>
      <c r="BR3" s="194" t="s">
        <v>349</v>
      </c>
      <c r="BS3" s="194" t="s">
        <v>985</v>
      </c>
      <c r="BT3" s="194" t="s">
        <v>941</v>
      </c>
      <c r="BU3" s="194" t="s">
        <v>1052</v>
      </c>
      <c r="BV3" s="194" t="s">
        <v>1311</v>
      </c>
      <c r="BW3" s="194" t="s">
        <v>349</v>
      </c>
      <c r="BX3" s="194" t="s">
        <v>985</v>
      </c>
      <c r="BY3" s="194" t="s">
        <v>941</v>
      </c>
      <c r="BZ3" s="194" t="s">
        <v>1052</v>
      </c>
      <c r="CA3" s="194" t="s">
        <v>1311</v>
      </c>
      <c r="CB3" s="194" t="s">
        <v>349</v>
      </c>
      <c r="CC3" s="194" t="s">
        <v>985</v>
      </c>
      <c r="CD3" s="194" t="s">
        <v>941</v>
      </c>
      <c r="CE3" s="194" t="s">
        <v>1052</v>
      </c>
      <c r="CF3" s="194" t="s">
        <v>1311</v>
      </c>
      <c r="CG3" s="194" t="s">
        <v>349</v>
      </c>
      <c r="CH3" s="194" t="s">
        <v>985</v>
      </c>
      <c r="CI3" s="194" t="s">
        <v>941</v>
      </c>
      <c r="CJ3" s="194" t="s">
        <v>1052</v>
      </c>
      <c r="CK3" s="194" t="s">
        <v>1311</v>
      </c>
      <c r="CL3" s="194" t="s">
        <v>349</v>
      </c>
      <c r="CM3" s="194" t="s">
        <v>985</v>
      </c>
      <c r="CN3" s="194" t="s">
        <v>941</v>
      </c>
      <c r="CO3" s="194" t="s">
        <v>1052</v>
      </c>
      <c r="CP3" s="194" t="s">
        <v>1311</v>
      </c>
      <c r="CQ3" s="194" t="s">
        <v>349</v>
      </c>
      <c r="CR3" s="194" t="s">
        <v>985</v>
      </c>
      <c r="CS3" s="194" t="s">
        <v>941</v>
      </c>
      <c r="CT3" s="194" t="s">
        <v>1052</v>
      </c>
      <c r="CU3" s="194" t="s">
        <v>1311</v>
      </c>
      <c r="CV3" s="194" t="s">
        <v>349</v>
      </c>
      <c r="CW3" s="194" t="s">
        <v>985</v>
      </c>
      <c r="CX3" s="194" t="s">
        <v>941</v>
      </c>
      <c r="CY3" s="194" t="s">
        <v>1052</v>
      </c>
      <c r="CZ3" s="194" t="s">
        <v>1311</v>
      </c>
      <c r="DA3" s="194" t="s">
        <v>349</v>
      </c>
      <c r="DB3" s="194" t="s">
        <v>985</v>
      </c>
      <c r="DC3" s="194" t="s">
        <v>941</v>
      </c>
      <c r="DD3" s="194" t="s">
        <v>1052</v>
      </c>
      <c r="DE3" s="194" t="s">
        <v>1311</v>
      </c>
      <c r="DF3" s="194" t="s">
        <v>349</v>
      </c>
      <c r="DG3" s="194" t="s">
        <v>985</v>
      </c>
      <c r="DH3" s="194" t="s">
        <v>941</v>
      </c>
      <c r="DI3" s="194" t="s">
        <v>1052</v>
      </c>
      <c r="DJ3" s="194" t="s">
        <v>1311</v>
      </c>
      <c r="DK3" s="194" t="s">
        <v>349</v>
      </c>
      <c r="DL3" s="194" t="s">
        <v>985</v>
      </c>
      <c r="DM3" s="194" t="s">
        <v>941</v>
      </c>
      <c r="DN3" s="194" t="s">
        <v>1052</v>
      </c>
      <c r="DO3" s="194" t="s">
        <v>1311</v>
      </c>
      <c r="DP3" s="194" t="s">
        <v>349</v>
      </c>
      <c r="DQ3" s="194" t="s">
        <v>985</v>
      </c>
      <c r="DR3" s="194" t="s">
        <v>941</v>
      </c>
      <c r="DS3" s="194" t="s">
        <v>1052</v>
      </c>
      <c r="DT3" s="194" t="s">
        <v>1311</v>
      </c>
      <c r="DU3" s="194" t="s">
        <v>349</v>
      </c>
      <c r="DV3" s="194" t="s">
        <v>985</v>
      </c>
      <c r="DW3" s="194" t="s">
        <v>941</v>
      </c>
      <c r="DX3" s="194" t="s">
        <v>1052</v>
      </c>
      <c r="DY3" s="194" t="s">
        <v>1311</v>
      </c>
      <c r="DZ3" s="194" t="s">
        <v>349</v>
      </c>
      <c r="EA3" s="194" t="s">
        <v>985</v>
      </c>
      <c r="EB3" s="194" t="s">
        <v>941</v>
      </c>
      <c r="EC3" s="194" t="s">
        <v>1052</v>
      </c>
      <c r="ED3" s="194" t="s">
        <v>1311</v>
      </c>
      <c r="EE3" s="194" t="s">
        <v>349</v>
      </c>
      <c r="EF3" s="194" t="s">
        <v>985</v>
      </c>
      <c r="EG3" s="194" t="s">
        <v>941</v>
      </c>
      <c r="EH3" s="194" t="s">
        <v>1052</v>
      </c>
      <c r="EI3" s="194" t="s">
        <v>1311</v>
      </c>
      <c r="EJ3" s="194" t="s">
        <v>349</v>
      </c>
      <c r="EK3" s="194" t="s">
        <v>985</v>
      </c>
      <c r="EL3" s="194" t="s">
        <v>941</v>
      </c>
      <c r="EM3" s="194" t="s">
        <v>1052</v>
      </c>
      <c r="EN3" s="194" t="s">
        <v>1311</v>
      </c>
      <c r="EO3" s="194" t="s">
        <v>349</v>
      </c>
      <c r="EP3" s="194" t="s">
        <v>985</v>
      </c>
      <c r="EQ3" s="194" t="s">
        <v>941</v>
      </c>
      <c r="ER3" s="194" t="s">
        <v>1052</v>
      </c>
      <c r="ES3" s="194" t="s">
        <v>1311</v>
      </c>
      <c r="ET3" s="194" t="s">
        <v>349</v>
      </c>
      <c r="EU3" s="194" t="s">
        <v>985</v>
      </c>
      <c r="EV3" s="194" t="s">
        <v>941</v>
      </c>
      <c r="EW3" s="194" t="s">
        <v>1052</v>
      </c>
      <c r="EX3" s="194" t="s">
        <v>1311</v>
      </c>
      <c r="EY3" s="194" t="s">
        <v>349</v>
      </c>
      <c r="EZ3" s="194" t="s">
        <v>985</v>
      </c>
      <c r="FA3" s="194" t="s">
        <v>941</v>
      </c>
      <c r="FB3" s="194" t="s">
        <v>1052</v>
      </c>
      <c r="FC3" s="194" t="s">
        <v>1311</v>
      </c>
      <c r="FD3" s="194" t="s">
        <v>349</v>
      </c>
      <c r="FE3" s="194" t="s">
        <v>985</v>
      </c>
      <c r="FF3" s="194" t="s">
        <v>941</v>
      </c>
      <c r="FG3" s="194" t="s">
        <v>1052</v>
      </c>
      <c r="FH3" s="194" t="s">
        <v>1311</v>
      </c>
      <c r="FI3" s="194" t="s">
        <v>349</v>
      </c>
      <c r="FJ3" s="194" t="s">
        <v>985</v>
      </c>
      <c r="FK3" s="194" t="s">
        <v>941</v>
      </c>
      <c r="FL3" s="194" t="s">
        <v>1052</v>
      </c>
      <c r="FM3" s="194" t="s">
        <v>1311</v>
      </c>
      <c r="FN3" s="194" t="s">
        <v>349</v>
      </c>
      <c r="FO3" s="194" t="s">
        <v>985</v>
      </c>
      <c r="FP3" s="194" t="s">
        <v>941</v>
      </c>
      <c r="FQ3" s="194" t="s">
        <v>1052</v>
      </c>
      <c r="FR3" s="194" t="s">
        <v>1311</v>
      </c>
      <c r="FS3" s="194" t="s">
        <v>349</v>
      </c>
      <c r="FT3" s="194" t="s">
        <v>985</v>
      </c>
      <c r="FU3" s="194" t="s">
        <v>941</v>
      </c>
      <c r="FV3" s="194" t="s">
        <v>1052</v>
      </c>
      <c r="FW3" s="194" t="s">
        <v>1311</v>
      </c>
      <c r="FX3" s="194" t="s">
        <v>349</v>
      </c>
      <c r="FY3" s="194" t="s">
        <v>985</v>
      </c>
      <c r="FZ3" s="194" t="s">
        <v>941</v>
      </c>
      <c r="GA3" s="194" t="s">
        <v>1052</v>
      </c>
      <c r="GB3" s="194" t="s">
        <v>1311</v>
      </c>
      <c r="GC3" s="194" t="s">
        <v>349</v>
      </c>
      <c r="GD3" s="194" t="s">
        <v>985</v>
      </c>
      <c r="GE3" s="194" t="s">
        <v>941</v>
      </c>
      <c r="GF3" s="194" t="s">
        <v>1052</v>
      </c>
      <c r="GG3" s="194" t="s">
        <v>1311</v>
      </c>
      <c r="GH3" s="194" t="s">
        <v>349</v>
      </c>
      <c r="GI3" s="194" t="s">
        <v>985</v>
      </c>
      <c r="GJ3" s="194" t="s">
        <v>941</v>
      </c>
      <c r="GK3" s="194" t="s">
        <v>1052</v>
      </c>
      <c r="GL3" s="194" t="s">
        <v>1311</v>
      </c>
      <c r="GM3" s="194" t="s">
        <v>349</v>
      </c>
      <c r="GN3" s="194" t="s">
        <v>985</v>
      </c>
      <c r="GO3" s="194" t="s">
        <v>941</v>
      </c>
      <c r="GP3" s="194" t="s">
        <v>1052</v>
      </c>
      <c r="GQ3" s="194" t="s">
        <v>1311</v>
      </c>
    </row>
    <row r="4" spans="1:199">
      <c r="A4" s="195" t="s">
        <v>261</v>
      </c>
      <c r="B4" s="195" t="s">
        <v>986</v>
      </c>
      <c r="E4" s="186">
        <v>1</v>
      </c>
      <c r="F4" s="186">
        <f>E4+1</f>
        <v>2</v>
      </c>
      <c r="G4" s="186">
        <f t="shared" ref="G4:BR4" si="0">F4+1</f>
        <v>3</v>
      </c>
      <c r="H4" s="186">
        <f t="shared" si="0"/>
        <v>4</v>
      </c>
      <c r="I4" s="186">
        <f t="shared" si="0"/>
        <v>5</v>
      </c>
      <c r="J4" s="186">
        <f t="shared" si="0"/>
        <v>6</v>
      </c>
      <c r="K4" s="186">
        <f t="shared" si="0"/>
        <v>7</v>
      </c>
      <c r="L4" s="186">
        <f t="shared" si="0"/>
        <v>8</v>
      </c>
      <c r="M4" s="186">
        <f t="shared" si="0"/>
        <v>9</v>
      </c>
      <c r="N4" s="186">
        <f t="shared" si="0"/>
        <v>10</v>
      </c>
      <c r="O4" s="186">
        <f t="shared" si="0"/>
        <v>11</v>
      </c>
      <c r="P4" s="186">
        <f t="shared" si="0"/>
        <v>12</v>
      </c>
      <c r="Q4" s="186">
        <f t="shared" si="0"/>
        <v>13</v>
      </c>
      <c r="R4" s="186">
        <f t="shared" si="0"/>
        <v>14</v>
      </c>
      <c r="S4" s="186">
        <f t="shared" si="0"/>
        <v>15</v>
      </c>
      <c r="T4" s="186">
        <f t="shared" si="0"/>
        <v>16</v>
      </c>
      <c r="U4" s="186">
        <f t="shared" si="0"/>
        <v>17</v>
      </c>
      <c r="V4" s="186">
        <f t="shared" si="0"/>
        <v>18</v>
      </c>
      <c r="W4" s="186">
        <f t="shared" si="0"/>
        <v>19</v>
      </c>
      <c r="X4" s="186">
        <f t="shared" si="0"/>
        <v>20</v>
      </c>
      <c r="Y4" s="186">
        <f t="shared" si="0"/>
        <v>21</v>
      </c>
      <c r="Z4" s="186">
        <f t="shared" si="0"/>
        <v>22</v>
      </c>
      <c r="AA4" s="186">
        <f t="shared" si="0"/>
        <v>23</v>
      </c>
      <c r="AB4" s="186">
        <f t="shared" si="0"/>
        <v>24</v>
      </c>
      <c r="AC4" s="186">
        <f t="shared" si="0"/>
        <v>25</v>
      </c>
      <c r="AD4" s="186">
        <f t="shared" si="0"/>
        <v>26</v>
      </c>
      <c r="AE4" s="186">
        <f t="shared" si="0"/>
        <v>27</v>
      </c>
      <c r="AF4" s="186">
        <f t="shared" si="0"/>
        <v>28</v>
      </c>
      <c r="AG4" s="186">
        <f t="shared" si="0"/>
        <v>29</v>
      </c>
      <c r="AH4" s="186">
        <f t="shared" si="0"/>
        <v>30</v>
      </c>
      <c r="AI4" s="186">
        <f t="shared" si="0"/>
        <v>31</v>
      </c>
      <c r="AJ4" s="186">
        <f t="shared" si="0"/>
        <v>32</v>
      </c>
      <c r="AK4" s="186">
        <f t="shared" si="0"/>
        <v>33</v>
      </c>
      <c r="AL4" s="186">
        <f t="shared" si="0"/>
        <v>34</v>
      </c>
      <c r="AM4" s="186">
        <f t="shared" si="0"/>
        <v>35</v>
      </c>
      <c r="AN4" s="186">
        <f t="shared" si="0"/>
        <v>36</v>
      </c>
      <c r="AO4" s="186">
        <f t="shared" si="0"/>
        <v>37</v>
      </c>
      <c r="AP4" s="186">
        <f t="shared" si="0"/>
        <v>38</v>
      </c>
      <c r="AQ4" s="186">
        <f t="shared" si="0"/>
        <v>39</v>
      </c>
      <c r="AR4" s="186">
        <f t="shared" si="0"/>
        <v>40</v>
      </c>
      <c r="AS4" s="186">
        <f t="shared" si="0"/>
        <v>41</v>
      </c>
      <c r="AT4" s="186">
        <f t="shared" si="0"/>
        <v>42</v>
      </c>
      <c r="AU4" s="186">
        <f t="shared" si="0"/>
        <v>43</v>
      </c>
      <c r="AV4" s="186">
        <f t="shared" si="0"/>
        <v>44</v>
      </c>
      <c r="AW4" s="186">
        <f t="shared" si="0"/>
        <v>45</v>
      </c>
      <c r="AX4" s="186">
        <f t="shared" si="0"/>
        <v>46</v>
      </c>
      <c r="AY4" s="186">
        <f t="shared" si="0"/>
        <v>47</v>
      </c>
      <c r="AZ4" s="186">
        <f t="shared" si="0"/>
        <v>48</v>
      </c>
      <c r="BA4" s="186">
        <f t="shared" si="0"/>
        <v>49</v>
      </c>
      <c r="BB4" s="186">
        <f t="shared" si="0"/>
        <v>50</v>
      </c>
      <c r="BC4" s="186">
        <f t="shared" si="0"/>
        <v>51</v>
      </c>
      <c r="BD4" s="186">
        <f t="shared" si="0"/>
        <v>52</v>
      </c>
      <c r="BE4" s="186">
        <f t="shared" si="0"/>
        <v>53</v>
      </c>
      <c r="BF4" s="186">
        <f t="shared" si="0"/>
        <v>54</v>
      </c>
      <c r="BG4" s="186">
        <f t="shared" si="0"/>
        <v>55</v>
      </c>
      <c r="BH4" s="186">
        <f t="shared" si="0"/>
        <v>56</v>
      </c>
      <c r="BI4" s="186">
        <f t="shared" si="0"/>
        <v>57</v>
      </c>
      <c r="BJ4" s="186">
        <f t="shared" si="0"/>
        <v>58</v>
      </c>
      <c r="BK4" s="186">
        <f t="shared" si="0"/>
        <v>59</v>
      </c>
      <c r="BL4" s="186">
        <f t="shared" si="0"/>
        <v>60</v>
      </c>
      <c r="BM4" s="186">
        <f t="shared" si="0"/>
        <v>61</v>
      </c>
      <c r="BN4" s="186">
        <f t="shared" si="0"/>
        <v>62</v>
      </c>
      <c r="BO4" s="186">
        <f t="shared" si="0"/>
        <v>63</v>
      </c>
      <c r="BP4" s="186">
        <f t="shared" si="0"/>
        <v>64</v>
      </c>
      <c r="BQ4" s="186">
        <f t="shared" si="0"/>
        <v>65</v>
      </c>
      <c r="BR4" s="186">
        <f t="shared" si="0"/>
        <v>66</v>
      </c>
      <c r="BS4" s="186">
        <f t="shared" ref="BS4:ED4" si="1">BR4+1</f>
        <v>67</v>
      </c>
      <c r="BT4" s="186">
        <f t="shared" si="1"/>
        <v>68</v>
      </c>
      <c r="BU4" s="186">
        <f t="shared" si="1"/>
        <v>69</v>
      </c>
      <c r="BV4" s="186">
        <f t="shared" si="1"/>
        <v>70</v>
      </c>
      <c r="BW4" s="186">
        <f t="shared" si="1"/>
        <v>71</v>
      </c>
      <c r="BX4" s="186">
        <f t="shared" si="1"/>
        <v>72</v>
      </c>
      <c r="BY4" s="186">
        <f t="shared" si="1"/>
        <v>73</v>
      </c>
      <c r="BZ4" s="186">
        <f t="shared" si="1"/>
        <v>74</v>
      </c>
      <c r="CA4" s="186">
        <f t="shared" si="1"/>
        <v>75</v>
      </c>
      <c r="CB4" s="186">
        <f t="shared" si="1"/>
        <v>76</v>
      </c>
      <c r="CC4" s="186">
        <f t="shared" si="1"/>
        <v>77</v>
      </c>
      <c r="CD4" s="186">
        <f t="shared" si="1"/>
        <v>78</v>
      </c>
      <c r="CE4" s="186">
        <f t="shared" si="1"/>
        <v>79</v>
      </c>
      <c r="CF4" s="186">
        <f t="shared" si="1"/>
        <v>80</v>
      </c>
      <c r="CG4" s="186">
        <f t="shared" si="1"/>
        <v>81</v>
      </c>
      <c r="CH4" s="186">
        <f t="shared" si="1"/>
        <v>82</v>
      </c>
      <c r="CI4" s="186">
        <f t="shared" si="1"/>
        <v>83</v>
      </c>
      <c r="CJ4" s="186">
        <f t="shared" si="1"/>
        <v>84</v>
      </c>
      <c r="CK4" s="186">
        <f t="shared" si="1"/>
        <v>85</v>
      </c>
      <c r="CL4" s="186">
        <f t="shared" si="1"/>
        <v>86</v>
      </c>
      <c r="CM4" s="186">
        <f t="shared" si="1"/>
        <v>87</v>
      </c>
      <c r="CN4" s="186">
        <f t="shared" si="1"/>
        <v>88</v>
      </c>
      <c r="CO4" s="186">
        <f t="shared" si="1"/>
        <v>89</v>
      </c>
      <c r="CP4" s="186">
        <f t="shared" si="1"/>
        <v>90</v>
      </c>
      <c r="CQ4" s="186">
        <f t="shared" si="1"/>
        <v>91</v>
      </c>
      <c r="CR4" s="186">
        <f t="shared" si="1"/>
        <v>92</v>
      </c>
      <c r="CS4" s="186">
        <f t="shared" si="1"/>
        <v>93</v>
      </c>
      <c r="CT4" s="186">
        <f t="shared" si="1"/>
        <v>94</v>
      </c>
      <c r="CU4" s="186">
        <f t="shared" si="1"/>
        <v>95</v>
      </c>
      <c r="CV4" s="186">
        <f t="shared" si="1"/>
        <v>96</v>
      </c>
      <c r="CW4" s="186">
        <f t="shared" si="1"/>
        <v>97</v>
      </c>
      <c r="CX4" s="186">
        <f t="shared" si="1"/>
        <v>98</v>
      </c>
      <c r="CY4" s="186">
        <f t="shared" si="1"/>
        <v>99</v>
      </c>
      <c r="CZ4" s="186">
        <f t="shared" si="1"/>
        <v>100</v>
      </c>
      <c r="DA4" s="186">
        <f t="shared" si="1"/>
        <v>101</v>
      </c>
      <c r="DB4" s="186">
        <f t="shared" si="1"/>
        <v>102</v>
      </c>
      <c r="DC4" s="186">
        <f t="shared" si="1"/>
        <v>103</v>
      </c>
      <c r="DD4" s="186">
        <f t="shared" si="1"/>
        <v>104</v>
      </c>
      <c r="DE4" s="186">
        <f t="shared" si="1"/>
        <v>105</v>
      </c>
      <c r="DF4" s="186">
        <f t="shared" si="1"/>
        <v>106</v>
      </c>
      <c r="DG4" s="186">
        <f t="shared" si="1"/>
        <v>107</v>
      </c>
      <c r="DH4" s="186">
        <f t="shared" si="1"/>
        <v>108</v>
      </c>
      <c r="DI4" s="186">
        <f t="shared" si="1"/>
        <v>109</v>
      </c>
      <c r="DJ4" s="186">
        <f t="shared" si="1"/>
        <v>110</v>
      </c>
      <c r="DK4" s="186">
        <f t="shared" si="1"/>
        <v>111</v>
      </c>
      <c r="DL4" s="186">
        <f t="shared" si="1"/>
        <v>112</v>
      </c>
      <c r="DM4" s="186">
        <f t="shared" si="1"/>
        <v>113</v>
      </c>
      <c r="DN4" s="186">
        <f t="shared" si="1"/>
        <v>114</v>
      </c>
      <c r="DO4" s="186">
        <f t="shared" si="1"/>
        <v>115</v>
      </c>
      <c r="DP4" s="186">
        <f t="shared" si="1"/>
        <v>116</v>
      </c>
      <c r="DQ4" s="186">
        <f t="shared" si="1"/>
        <v>117</v>
      </c>
      <c r="DR4" s="186">
        <f t="shared" si="1"/>
        <v>118</v>
      </c>
      <c r="DS4" s="186">
        <f t="shared" si="1"/>
        <v>119</v>
      </c>
      <c r="DT4" s="186">
        <f t="shared" si="1"/>
        <v>120</v>
      </c>
      <c r="DU4" s="186">
        <f t="shared" si="1"/>
        <v>121</v>
      </c>
      <c r="DV4" s="186">
        <f t="shared" si="1"/>
        <v>122</v>
      </c>
      <c r="DW4" s="186">
        <f t="shared" si="1"/>
        <v>123</v>
      </c>
      <c r="DX4" s="186">
        <f t="shared" si="1"/>
        <v>124</v>
      </c>
      <c r="DY4" s="186">
        <f t="shared" si="1"/>
        <v>125</v>
      </c>
      <c r="DZ4" s="186">
        <f t="shared" si="1"/>
        <v>126</v>
      </c>
      <c r="EA4" s="186">
        <f t="shared" si="1"/>
        <v>127</v>
      </c>
      <c r="EB4" s="186">
        <f t="shared" si="1"/>
        <v>128</v>
      </c>
      <c r="EC4" s="186">
        <f t="shared" si="1"/>
        <v>129</v>
      </c>
      <c r="ED4" s="186">
        <f t="shared" si="1"/>
        <v>130</v>
      </c>
      <c r="EE4" s="186">
        <f t="shared" ref="EE4:GP4" si="2">ED4+1</f>
        <v>131</v>
      </c>
      <c r="EF4" s="186">
        <f t="shared" si="2"/>
        <v>132</v>
      </c>
      <c r="EG4" s="186">
        <f t="shared" si="2"/>
        <v>133</v>
      </c>
      <c r="EH4" s="186">
        <f t="shared" si="2"/>
        <v>134</v>
      </c>
      <c r="EI4" s="186">
        <f t="shared" si="2"/>
        <v>135</v>
      </c>
      <c r="EJ4" s="186">
        <f t="shared" si="2"/>
        <v>136</v>
      </c>
      <c r="EK4" s="186">
        <f t="shared" si="2"/>
        <v>137</v>
      </c>
      <c r="EL4" s="186">
        <f t="shared" si="2"/>
        <v>138</v>
      </c>
      <c r="EM4" s="186">
        <f t="shared" si="2"/>
        <v>139</v>
      </c>
      <c r="EN4" s="186">
        <f t="shared" si="2"/>
        <v>140</v>
      </c>
      <c r="EO4" s="186">
        <f t="shared" si="2"/>
        <v>141</v>
      </c>
      <c r="EP4" s="186">
        <f t="shared" si="2"/>
        <v>142</v>
      </c>
      <c r="EQ4" s="186">
        <f t="shared" si="2"/>
        <v>143</v>
      </c>
      <c r="ER4" s="186">
        <f t="shared" si="2"/>
        <v>144</v>
      </c>
      <c r="ES4" s="186">
        <f t="shared" si="2"/>
        <v>145</v>
      </c>
      <c r="ET4" s="186">
        <f t="shared" si="2"/>
        <v>146</v>
      </c>
      <c r="EU4" s="186">
        <f t="shared" si="2"/>
        <v>147</v>
      </c>
      <c r="EV4" s="186">
        <f t="shared" si="2"/>
        <v>148</v>
      </c>
      <c r="EW4" s="186">
        <f t="shared" si="2"/>
        <v>149</v>
      </c>
      <c r="EX4" s="186">
        <f t="shared" si="2"/>
        <v>150</v>
      </c>
      <c r="EY4" s="186">
        <f t="shared" si="2"/>
        <v>151</v>
      </c>
      <c r="EZ4" s="186">
        <f t="shared" si="2"/>
        <v>152</v>
      </c>
      <c r="FA4" s="186">
        <f t="shared" si="2"/>
        <v>153</v>
      </c>
      <c r="FB4" s="186">
        <f t="shared" si="2"/>
        <v>154</v>
      </c>
      <c r="FC4" s="186">
        <f t="shared" si="2"/>
        <v>155</v>
      </c>
      <c r="FD4" s="186">
        <f t="shared" si="2"/>
        <v>156</v>
      </c>
      <c r="FE4" s="186">
        <f t="shared" si="2"/>
        <v>157</v>
      </c>
      <c r="FF4" s="186">
        <f t="shared" si="2"/>
        <v>158</v>
      </c>
      <c r="FG4" s="186">
        <f t="shared" si="2"/>
        <v>159</v>
      </c>
      <c r="FH4" s="186">
        <f t="shared" si="2"/>
        <v>160</v>
      </c>
      <c r="FI4" s="186">
        <f t="shared" si="2"/>
        <v>161</v>
      </c>
      <c r="FJ4" s="186">
        <f t="shared" si="2"/>
        <v>162</v>
      </c>
      <c r="FK4" s="186">
        <f t="shared" si="2"/>
        <v>163</v>
      </c>
      <c r="FL4" s="186">
        <f t="shared" si="2"/>
        <v>164</v>
      </c>
      <c r="FM4" s="186">
        <f t="shared" si="2"/>
        <v>165</v>
      </c>
      <c r="FN4" s="186">
        <f t="shared" si="2"/>
        <v>166</v>
      </c>
      <c r="FO4" s="186">
        <f t="shared" si="2"/>
        <v>167</v>
      </c>
      <c r="FP4" s="186">
        <f t="shared" si="2"/>
        <v>168</v>
      </c>
      <c r="FQ4" s="186">
        <f t="shared" si="2"/>
        <v>169</v>
      </c>
      <c r="FR4" s="186">
        <f t="shared" si="2"/>
        <v>170</v>
      </c>
      <c r="FS4" s="186">
        <f t="shared" si="2"/>
        <v>171</v>
      </c>
      <c r="FT4" s="186">
        <f t="shared" si="2"/>
        <v>172</v>
      </c>
      <c r="FU4" s="186">
        <f t="shared" si="2"/>
        <v>173</v>
      </c>
      <c r="FV4" s="186">
        <f t="shared" si="2"/>
        <v>174</v>
      </c>
      <c r="FW4" s="186">
        <f t="shared" si="2"/>
        <v>175</v>
      </c>
      <c r="FX4" s="186">
        <f t="shared" si="2"/>
        <v>176</v>
      </c>
      <c r="FY4" s="186">
        <f t="shared" si="2"/>
        <v>177</v>
      </c>
      <c r="FZ4" s="186">
        <f t="shared" si="2"/>
        <v>178</v>
      </c>
      <c r="GA4" s="186">
        <f t="shared" si="2"/>
        <v>179</v>
      </c>
      <c r="GB4" s="186">
        <f t="shared" si="2"/>
        <v>180</v>
      </c>
      <c r="GC4" s="186">
        <f t="shared" si="2"/>
        <v>181</v>
      </c>
      <c r="GD4" s="186">
        <f t="shared" si="2"/>
        <v>182</v>
      </c>
      <c r="GE4" s="186">
        <f t="shared" si="2"/>
        <v>183</v>
      </c>
      <c r="GF4" s="186">
        <f t="shared" si="2"/>
        <v>184</v>
      </c>
      <c r="GG4" s="186">
        <f t="shared" si="2"/>
        <v>185</v>
      </c>
      <c r="GH4" s="186">
        <f t="shared" si="2"/>
        <v>186</v>
      </c>
      <c r="GI4" s="186">
        <f t="shared" si="2"/>
        <v>187</v>
      </c>
      <c r="GJ4" s="186">
        <f t="shared" si="2"/>
        <v>188</v>
      </c>
      <c r="GK4" s="186">
        <f t="shared" si="2"/>
        <v>189</v>
      </c>
      <c r="GL4" s="186">
        <f t="shared" si="2"/>
        <v>190</v>
      </c>
      <c r="GM4" s="186">
        <f t="shared" si="2"/>
        <v>191</v>
      </c>
      <c r="GN4" s="186">
        <f t="shared" si="2"/>
        <v>192</v>
      </c>
      <c r="GO4" s="186">
        <f t="shared" si="2"/>
        <v>193</v>
      </c>
      <c r="GP4" s="186">
        <f t="shared" si="2"/>
        <v>194</v>
      </c>
      <c r="GQ4" s="186">
        <f t="shared" ref="GQ4" si="3">GP4+1</f>
        <v>195</v>
      </c>
    </row>
    <row r="5" spans="1:199">
      <c r="A5" s="195"/>
      <c r="B5" s="196"/>
      <c r="C5" s="196" t="s">
        <v>987</v>
      </c>
      <c r="D5" s="196" t="s">
        <v>244</v>
      </c>
      <c r="E5" s="199">
        <v>0</v>
      </c>
      <c r="F5" s="197">
        <v>0.8</v>
      </c>
      <c r="G5" s="197">
        <v>1</v>
      </c>
      <c r="H5" s="197">
        <v>1.2</v>
      </c>
      <c r="I5" s="197">
        <v>1</v>
      </c>
      <c r="J5" s="197">
        <v>0</v>
      </c>
      <c r="K5" s="197">
        <v>0</v>
      </c>
      <c r="L5" s="197">
        <v>0</v>
      </c>
      <c r="M5" s="197">
        <v>0</v>
      </c>
      <c r="N5" s="197">
        <v>1</v>
      </c>
      <c r="O5" s="197">
        <v>0</v>
      </c>
      <c r="P5" s="197">
        <v>0.8</v>
      </c>
      <c r="Q5" s="197">
        <v>1</v>
      </c>
      <c r="R5" s="198">
        <v>1.2</v>
      </c>
      <c r="S5" s="196">
        <v>1</v>
      </c>
      <c r="T5" s="199">
        <v>0</v>
      </c>
      <c r="U5" s="197">
        <v>0.8</v>
      </c>
      <c r="V5" s="197">
        <v>1</v>
      </c>
      <c r="W5" s="197">
        <v>1.2</v>
      </c>
      <c r="X5" s="196">
        <v>1</v>
      </c>
      <c r="Y5" s="196">
        <v>0</v>
      </c>
      <c r="Z5" s="197">
        <v>0</v>
      </c>
      <c r="AA5" s="197">
        <v>0</v>
      </c>
      <c r="AB5" s="197">
        <v>1.2</v>
      </c>
      <c r="AC5" s="196">
        <v>1</v>
      </c>
      <c r="AD5" s="196">
        <v>0</v>
      </c>
      <c r="AE5" s="197">
        <v>0.8</v>
      </c>
      <c r="AF5" s="197">
        <v>1</v>
      </c>
      <c r="AG5" s="197">
        <v>1.2</v>
      </c>
      <c r="AH5" s="197">
        <v>1</v>
      </c>
      <c r="AI5" s="197">
        <v>0</v>
      </c>
      <c r="AJ5" s="197">
        <v>0.8</v>
      </c>
      <c r="AK5" s="197">
        <v>1</v>
      </c>
      <c r="AL5" s="197">
        <v>1.2</v>
      </c>
      <c r="AM5" s="197">
        <v>1</v>
      </c>
      <c r="AN5" s="197">
        <v>0</v>
      </c>
      <c r="AO5" s="197">
        <v>0</v>
      </c>
      <c r="AP5" s="197">
        <v>0</v>
      </c>
      <c r="AQ5" s="197">
        <v>1.2</v>
      </c>
      <c r="AR5" s="196">
        <v>1</v>
      </c>
      <c r="AS5" s="196">
        <v>0</v>
      </c>
      <c r="AT5" s="197">
        <v>0.8</v>
      </c>
      <c r="AU5" s="197">
        <v>1</v>
      </c>
      <c r="AV5" s="197">
        <v>1.2</v>
      </c>
      <c r="AW5" s="196">
        <v>1</v>
      </c>
      <c r="AX5" s="197">
        <v>0</v>
      </c>
      <c r="AY5" s="197">
        <v>0.8</v>
      </c>
      <c r="AZ5" s="197">
        <v>1</v>
      </c>
      <c r="BA5" s="197">
        <v>1.2</v>
      </c>
      <c r="BB5" s="196">
        <v>1</v>
      </c>
      <c r="BC5" s="197">
        <v>0</v>
      </c>
      <c r="BD5" s="197">
        <v>0</v>
      </c>
      <c r="BE5" s="197">
        <v>0</v>
      </c>
      <c r="BF5" s="197">
        <v>1.2</v>
      </c>
      <c r="BG5" s="196">
        <v>1</v>
      </c>
      <c r="BH5" s="197">
        <v>0</v>
      </c>
      <c r="BI5" s="197">
        <v>0.8</v>
      </c>
      <c r="BJ5" s="197">
        <v>1</v>
      </c>
      <c r="BK5" s="197">
        <v>1.2</v>
      </c>
      <c r="BL5" s="196">
        <v>1</v>
      </c>
      <c r="BM5" s="197">
        <v>0</v>
      </c>
      <c r="BN5" s="197">
        <v>0.8</v>
      </c>
      <c r="BO5" s="197">
        <v>1</v>
      </c>
      <c r="BP5" s="197">
        <v>1.2</v>
      </c>
      <c r="BQ5" s="196">
        <v>1</v>
      </c>
      <c r="BR5" s="197">
        <v>0</v>
      </c>
      <c r="BS5" s="197">
        <v>0</v>
      </c>
      <c r="BT5" s="197">
        <v>0</v>
      </c>
      <c r="BU5" s="197">
        <v>1.2</v>
      </c>
      <c r="BV5" s="196">
        <v>1</v>
      </c>
      <c r="BW5" s="197">
        <v>0</v>
      </c>
      <c r="BX5" s="197">
        <v>0.8</v>
      </c>
      <c r="BY5" s="197">
        <v>1</v>
      </c>
      <c r="BZ5" s="197">
        <v>1.2</v>
      </c>
      <c r="CA5" s="196">
        <v>1</v>
      </c>
      <c r="CB5" s="197">
        <v>0</v>
      </c>
      <c r="CC5" s="197">
        <v>0.8</v>
      </c>
      <c r="CD5" s="197">
        <v>1</v>
      </c>
      <c r="CE5" s="197">
        <v>1.2</v>
      </c>
      <c r="CF5" s="196">
        <v>1</v>
      </c>
      <c r="CG5" s="197">
        <v>0</v>
      </c>
      <c r="CH5" s="197">
        <v>0</v>
      </c>
      <c r="CI5" s="197">
        <v>0</v>
      </c>
      <c r="CJ5" s="197">
        <v>1.2</v>
      </c>
      <c r="CK5" s="196">
        <v>1</v>
      </c>
      <c r="CL5" s="197">
        <v>0</v>
      </c>
      <c r="CM5" s="197">
        <v>0.8</v>
      </c>
      <c r="CN5" s="197">
        <v>1</v>
      </c>
      <c r="CO5" s="197">
        <v>1.2</v>
      </c>
      <c r="CP5" s="196">
        <v>1</v>
      </c>
      <c r="CQ5" s="197">
        <v>0</v>
      </c>
      <c r="CR5" s="197">
        <v>0.8</v>
      </c>
      <c r="CS5" s="197">
        <v>1</v>
      </c>
      <c r="CT5" s="197">
        <v>1.2</v>
      </c>
      <c r="CU5" s="196">
        <v>1</v>
      </c>
      <c r="CV5" s="197">
        <v>0</v>
      </c>
      <c r="CW5" s="197">
        <v>0</v>
      </c>
      <c r="CX5" s="197">
        <v>0</v>
      </c>
      <c r="CY5" s="197">
        <v>1.2</v>
      </c>
      <c r="CZ5" s="196">
        <v>1</v>
      </c>
      <c r="DA5" s="197">
        <v>0</v>
      </c>
      <c r="DB5" s="197">
        <v>0.8</v>
      </c>
      <c r="DC5" s="197">
        <v>1</v>
      </c>
      <c r="DD5" s="197">
        <v>1.2</v>
      </c>
      <c r="DE5" s="196">
        <v>1</v>
      </c>
      <c r="DF5" s="197">
        <v>0</v>
      </c>
      <c r="DG5" s="197">
        <v>0.8</v>
      </c>
      <c r="DH5" s="197">
        <v>1</v>
      </c>
      <c r="DI5" s="197">
        <v>1.2</v>
      </c>
      <c r="DJ5" s="196">
        <v>1</v>
      </c>
      <c r="DK5" s="197">
        <v>0</v>
      </c>
      <c r="DL5" s="197">
        <v>0</v>
      </c>
      <c r="DM5" s="197">
        <v>0</v>
      </c>
      <c r="DN5" s="197">
        <v>1.2</v>
      </c>
      <c r="DO5" s="196">
        <v>1</v>
      </c>
      <c r="DP5" s="197">
        <v>0</v>
      </c>
      <c r="DQ5" s="197">
        <v>0.8</v>
      </c>
      <c r="DR5" s="197">
        <v>1</v>
      </c>
      <c r="DS5" s="197">
        <v>1.2</v>
      </c>
      <c r="DT5" s="196">
        <v>1</v>
      </c>
      <c r="DU5" s="197">
        <v>0</v>
      </c>
      <c r="DV5" s="197">
        <v>0.8</v>
      </c>
      <c r="DW5" s="197">
        <v>1</v>
      </c>
      <c r="DX5" s="197">
        <v>1.2</v>
      </c>
      <c r="DY5" s="196">
        <v>1</v>
      </c>
      <c r="DZ5" s="197">
        <v>0</v>
      </c>
      <c r="EA5" s="197">
        <v>0</v>
      </c>
      <c r="EB5" s="197">
        <v>0</v>
      </c>
      <c r="EC5" s="197">
        <v>1.2</v>
      </c>
      <c r="ED5" s="196">
        <v>1</v>
      </c>
      <c r="EE5" s="197">
        <v>0</v>
      </c>
      <c r="EF5" s="197">
        <v>0.8</v>
      </c>
      <c r="EG5" s="197">
        <v>1</v>
      </c>
      <c r="EH5" s="197">
        <v>1.2</v>
      </c>
      <c r="EI5" s="196">
        <v>1</v>
      </c>
      <c r="EJ5" s="197">
        <v>0</v>
      </c>
      <c r="EK5" s="197">
        <v>0.8</v>
      </c>
      <c r="EL5" s="197">
        <v>1</v>
      </c>
      <c r="EM5" s="197">
        <v>1.2</v>
      </c>
      <c r="EN5" s="196">
        <v>1</v>
      </c>
      <c r="EO5" s="197">
        <v>0</v>
      </c>
      <c r="EP5" s="197">
        <v>0</v>
      </c>
      <c r="EQ5" s="197">
        <v>0</v>
      </c>
      <c r="ER5" s="197">
        <v>1.2</v>
      </c>
      <c r="ES5" s="196">
        <v>1</v>
      </c>
      <c r="ET5" s="197">
        <v>0</v>
      </c>
      <c r="EU5" s="197">
        <v>0.8</v>
      </c>
      <c r="EV5" s="197">
        <v>1</v>
      </c>
      <c r="EW5" s="197">
        <v>1.2</v>
      </c>
      <c r="EX5" s="196">
        <v>1</v>
      </c>
      <c r="EY5" s="197">
        <v>0</v>
      </c>
      <c r="EZ5" s="197">
        <v>0.8</v>
      </c>
      <c r="FA5" s="197">
        <v>1</v>
      </c>
      <c r="FB5" s="197">
        <v>1.2</v>
      </c>
      <c r="FC5" s="196">
        <v>1</v>
      </c>
      <c r="FD5" s="197">
        <v>0</v>
      </c>
      <c r="FE5" s="197">
        <v>0</v>
      </c>
      <c r="FF5" s="197">
        <v>0</v>
      </c>
      <c r="FG5" s="197">
        <v>1.2</v>
      </c>
      <c r="FH5" s="196">
        <v>1</v>
      </c>
      <c r="FI5" s="197">
        <v>0</v>
      </c>
      <c r="FJ5" s="197">
        <v>0.8</v>
      </c>
      <c r="FK5" s="197">
        <v>1</v>
      </c>
      <c r="FL5" s="197">
        <v>1.2</v>
      </c>
      <c r="FM5" s="196">
        <v>1</v>
      </c>
      <c r="FN5" s="197">
        <v>0</v>
      </c>
      <c r="FO5" s="197">
        <v>0.8</v>
      </c>
      <c r="FP5" s="197">
        <v>1</v>
      </c>
      <c r="FQ5" s="197">
        <v>1.2</v>
      </c>
      <c r="FR5" s="196">
        <v>1</v>
      </c>
      <c r="FS5" s="197">
        <v>0</v>
      </c>
      <c r="FT5" s="197">
        <v>0</v>
      </c>
      <c r="FU5" s="197">
        <v>0</v>
      </c>
      <c r="FV5" s="197">
        <v>1.2</v>
      </c>
      <c r="FW5" s="196">
        <v>1</v>
      </c>
      <c r="FX5" s="197">
        <v>0</v>
      </c>
      <c r="FY5" s="197">
        <v>0.8</v>
      </c>
      <c r="FZ5" s="197">
        <v>1</v>
      </c>
      <c r="GA5" s="197">
        <v>1.2</v>
      </c>
      <c r="GB5" s="196">
        <v>1</v>
      </c>
      <c r="GC5" s="197">
        <v>0</v>
      </c>
      <c r="GD5" s="197">
        <v>0.8</v>
      </c>
      <c r="GE5" s="197">
        <v>1</v>
      </c>
      <c r="GF5" s="197">
        <v>1.2</v>
      </c>
      <c r="GG5" s="196">
        <v>1</v>
      </c>
      <c r="GH5" s="197">
        <v>0</v>
      </c>
      <c r="GI5" s="197">
        <v>0</v>
      </c>
      <c r="GJ5" s="197">
        <v>0</v>
      </c>
      <c r="GK5" s="197">
        <v>1.2</v>
      </c>
      <c r="GL5" s="196">
        <v>1</v>
      </c>
      <c r="GM5" s="197">
        <v>0</v>
      </c>
      <c r="GN5" s="197">
        <v>0.8</v>
      </c>
      <c r="GO5" s="197">
        <v>1</v>
      </c>
      <c r="GP5" s="197">
        <v>1.2</v>
      </c>
      <c r="GQ5" s="196">
        <v>1</v>
      </c>
    </row>
    <row r="6" spans="1:199">
      <c r="A6" s="195"/>
      <c r="B6" s="188"/>
      <c r="C6" s="188" t="s">
        <v>303</v>
      </c>
      <c r="D6" s="188" t="s">
        <v>988</v>
      </c>
      <c r="E6" s="190">
        <v>0</v>
      </c>
      <c r="F6" s="193">
        <v>0.8</v>
      </c>
      <c r="G6" s="193">
        <v>1</v>
      </c>
      <c r="H6" s="193">
        <v>1.2</v>
      </c>
      <c r="I6" s="197">
        <v>1</v>
      </c>
      <c r="J6" s="197">
        <v>0</v>
      </c>
      <c r="K6" s="193">
        <v>0.8</v>
      </c>
      <c r="L6" s="193">
        <v>1</v>
      </c>
      <c r="M6" s="193">
        <v>1.2</v>
      </c>
      <c r="N6" s="197">
        <v>1</v>
      </c>
      <c r="O6" s="193">
        <v>0</v>
      </c>
      <c r="P6" s="193">
        <v>0.8</v>
      </c>
      <c r="Q6" s="193">
        <v>1</v>
      </c>
      <c r="R6" s="187">
        <v>1.2</v>
      </c>
      <c r="S6" s="196">
        <v>1</v>
      </c>
      <c r="T6" s="190">
        <v>0</v>
      </c>
      <c r="U6" s="193">
        <v>0.8</v>
      </c>
      <c r="V6" s="193">
        <v>1</v>
      </c>
      <c r="W6" s="193">
        <v>1.2</v>
      </c>
      <c r="X6" s="196">
        <v>1</v>
      </c>
      <c r="Y6" s="196">
        <v>0</v>
      </c>
      <c r="Z6" s="193">
        <v>0.8</v>
      </c>
      <c r="AA6" s="193">
        <v>1</v>
      </c>
      <c r="AB6" s="193">
        <v>1.2</v>
      </c>
      <c r="AC6" s="196">
        <v>1</v>
      </c>
      <c r="AD6" s="188">
        <v>0</v>
      </c>
      <c r="AE6" s="193">
        <v>0.8</v>
      </c>
      <c r="AF6" s="193">
        <v>1</v>
      </c>
      <c r="AG6" s="193">
        <v>1.2</v>
      </c>
      <c r="AH6" s="197">
        <v>1</v>
      </c>
      <c r="AI6" s="193">
        <v>0</v>
      </c>
      <c r="AJ6" s="193">
        <v>0.8</v>
      </c>
      <c r="AK6" s="193">
        <v>1</v>
      </c>
      <c r="AL6" s="193">
        <v>1.2</v>
      </c>
      <c r="AM6" s="197">
        <v>1</v>
      </c>
      <c r="AN6" s="193">
        <v>0</v>
      </c>
      <c r="AO6" s="193">
        <v>0.8</v>
      </c>
      <c r="AP6" s="193">
        <v>1</v>
      </c>
      <c r="AQ6" s="193">
        <v>1.2</v>
      </c>
      <c r="AR6" s="196">
        <v>1</v>
      </c>
      <c r="AS6" s="188">
        <v>0</v>
      </c>
      <c r="AT6" s="193">
        <v>0.8</v>
      </c>
      <c r="AU6" s="193">
        <v>1</v>
      </c>
      <c r="AV6" s="193">
        <v>1.2</v>
      </c>
      <c r="AW6" s="196">
        <v>1</v>
      </c>
      <c r="AX6" s="193">
        <v>0</v>
      </c>
      <c r="AY6" s="193">
        <v>0.8</v>
      </c>
      <c r="AZ6" s="193">
        <v>1</v>
      </c>
      <c r="BA6" s="193">
        <v>1.2</v>
      </c>
      <c r="BB6" s="196">
        <v>1</v>
      </c>
      <c r="BC6" s="193">
        <v>0</v>
      </c>
      <c r="BD6" s="193">
        <v>0.8</v>
      </c>
      <c r="BE6" s="193">
        <v>1</v>
      </c>
      <c r="BF6" s="193">
        <v>1.2</v>
      </c>
      <c r="BG6" s="196">
        <v>1</v>
      </c>
      <c r="BH6" s="193">
        <v>0</v>
      </c>
      <c r="BI6" s="193">
        <v>0.8</v>
      </c>
      <c r="BJ6" s="193">
        <v>1</v>
      </c>
      <c r="BK6" s="193">
        <v>1.2</v>
      </c>
      <c r="BL6" s="196">
        <v>1</v>
      </c>
      <c r="BM6" s="193">
        <v>0</v>
      </c>
      <c r="BN6" s="193">
        <v>0.8</v>
      </c>
      <c r="BO6" s="193">
        <v>1</v>
      </c>
      <c r="BP6" s="193">
        <v>1.2</v>
      </c>
      <c r="BQ6" s="196">
        <v>1</v>
      </c>
      <c r="BR6" s="193">
        <v>0</v>
      </c>
      <c r="BS6" s="193">
        <v>0.8</v>
      </c>
      <c r="BT6" s="193">
        <v>1</v>
      </c>
      <c r="BU6" s="193">
        <v>1.2</v>
      </c>
      <c r="BV6" s="196">
        <v>1</v>
      </c>
      <c r="BW6" s="193">
        <v>0</v>
      </c>
      <c r="BX6" s="193">
        <v>0.8</v>
      </c>
      <c r="BY6" s="193">
        <v>1</v>
      </c>
      <c r="BZ6" s="193">
        <v>1.2</v>
      </c>
      <c r="CA6" s="196">
        <v>1</v>
      </c>
      <c r="CB6" s="193">
        <v>0</v>
      </c>
      <c r="CC6" s="193">
        <v>0.8</v>
      </c>
      <c r="CD6" s="193">
        <v>1</v>
      </c>
      <c r="CE6" s="193">
        <v>1.2</v>
      </c>
      <c r="CF6" s="196">
        <v>1</v>
      </c>
      <c r="CG6" s="193">
        <v>0</v>
      </c>
      <c r="CH6" s="193">
        <v>0.8</v>
      </c>
      <c r="CI6" s="193">
        <v>1</v>
      </c>
      <c r="CJ6" s="193">
        <v>1.2</v>
      </c>
      <c r="CK6" s="196">
        <v>1</v>
      </c>
      <c r="CL6" s="193">
        <v>0</v>
      </c>
      <c r="CM6" s="193">
        <v>0.8</v>
      </c>
      <c r="CN6" s="193">
        <v>1</v>
      </c>
      <c r="CO6" s="193">
        <v>1.2</v>
      </c>
      <c r="CP6" s="196">
        <v>1</v>
      </c>
      <c r="CQ6" s="193">
        <v>0</v>
      </c>
      <c r="CR6" s="193">
        <v>0.8</v>
      </c>
      <c r="CS6" s="193">
        <v>1</v>
      </c>
      <c r="CT6" s="193">
        <v>1.2</v>
      </c>
      <c r="CU6" s="196">
        <v>1</v>
      </c>
      <c r="CV6" s="193">
        <v>0</v>
      </c>
      <c r="CW6" s="193">
        <v>0.8</v>
      </c>
      <c r="CX6" s="193">
        <v>1</v>
      </c>
      <c r="CY6" s="193">
        <v>1.2</v>
      </c>
      <c r="CZ6" s="196">
        <v>1</v>
      </c>
      <c r="DA6" s="193">
        <v>0</v>
      </c>
      <c r="DB6" s="193">
        <v>0.8</v>
      </c>
      <c r="DC6" s="193">
        <v>1</v>
      </c>
      <c r="DD6" s="193">
        <v>1.2</v>
      </c>
      <c r="DE6" s="196">
        <v>1</v>
      </c>
      <c r="DF6" s="193">
        <v>0</v>
      </c>
      <c r="DG6" s="193">
        <v>0.8</v>
      </c>
      <c r="DH6" s="193">
        <v>1</v>
      </c>
      <c r="DI6" s="193">
        <v>1.2</v>
      </c>
      <c r="DJ6" s="196">
        <v>1</v>
      </c>
      <c r="DK6" s="193">
        <v>0</v>
      </c>
      <c r="DL6" s="193">
        <v>0.8</v>
      </c>
      <c r="DM6" s="193">
        <v>1</v>
      </c>
      <c r="DN6" s="193">
        <v>1.2</v>
      </c>
      <c r="DO6" s="196">
        <v>1</v>
      </c>
      <c r="DP6" s="193">
        <v>0</v>
      </c>
      <c r="DQ6" s="193">
        <v>0.8</v>
      </c>
      <c r="DR6" s="193">
        <v>1</v>
      </c>
      <c r="DS6" s="193">
        <v>1.2</v>
      </c>
      <c r="DT6" s="196">
        <v>1</v>
      </c>
      <c r="DU6" s="193">
        <v>0</v>
      </c>
      <c r="DV6" s="193">
        <v>0.8</v>
      </c>
      <c r="DW6" s="193">
        <v>1</v>
      </c>
      <c r="DX6" s="193">
        <v>1.2</v>
      </c>
      <c r="DY6" s="196">
        <v>1</v>
      </c>
      <c r="DZ6" s="193">
        <v>0</v>
      </c>
      <c r="EA6" s="193">
        <v>0.8</v>
      </c>
      <c r="EB6" s="193">
        <v>1</v>
      </c>
      <c r="EC6" s="193">
        <v>1.2</v>
      </c>
      <c r="ED6" s="196">
        <v>1</v>
      </c>
      <c r="EE6" s="197">
        <v>0</v>
      </c>
      <c r="EF6" s="193">
        <v>0.8</v>
      </c>
      <c r="EG6" s="193">
        <v>1</v>
      </c>
      <c r="EH6" s="193">
        <v>1.2</v>
      </c>
      <c r="EI6" s="196">
        <v>1</v>
      </c>
      <c r="EJ6" s="193">
        <v>0</v>
      </c>
      <c r="EK6" s="193">
        <v>0.8</v>
      </c>
      <c r="EL6" s="193">
        <v>1</v>
      </c>
      <c r="EM6" s="193">
        <v>1.2</v>
      </c>
      <c r="EN6" s="196">
        <v>1</v>
      </c>
      <c r="EO6" s="193">
        <v>0</v>
      </c>
      <c r="EP6" s="193">
        <v>0.8</v>
      </c>
      <c r="EQ6" s="193">
        <v>1</v>
      </c>
      <c r="ER6" s="193">
        <v>1.2</v>
      </c>
      <c r="ES6" s="196">
        <v>1</v>
      </c>
      <c r="ET6" s="193">
        <v>0</v>
      </c>
      <c r="EU6" s="193">
        <v>0.8</v>
      </c>
      <c r="EV6" s="193">
        <v>1</v>
      </c>
      <c r="EW6" s="193">
        <v>1.2</v>
      </c>
      <c r="EX6" s="196">
        <v>1</v>
      </c>
      <c r="EY6" s="193">
        <v>0</v>
      </c>
      <c r="EZ6" s="193">
        <v>0.8</v>
      </c>
      <c r="FA6" s="193">
        <v>1</v>
      </c>
      <c r="FB6" s="193">
        <v>1.2</v>
      </c>
      <c r="FC6" s="196">
        <v>1</v>
      </c>
      <c r="FD6" s="193">
        <v>0</v>
      </c>
      <c r="FE6" s="193">
        <v>0.8</v>
      </c>
      <c r="FF6" s="193">
        <v>1</v>
      </c>
      <c r="FG6" s="193">
        <v>1.2</v>
      </c>
      <c r="FH6" s="196">
        <v>1</v>
      </c>
      <c r="FI6" s="193">
        <v>0</v>
      </c>
      <c r="FJ6" s="193">
        <v>0.8</v>
      </c>
      <c r="FK6" s="193">
        <v>1</v>
      </c>
      <c r="FL6" s="193">
        <v>1.2</v>
      </c>
      <c r="FM6" s="196">
        <v>1</v>
      </c>
      <c r="FN6" s="193">
        <v>0</v>
      </c>
      <c r="FO6" s="193">
        <v>0.8</v>
      </c>
      <c r="FP6" s="193">
        <v>1</v>
      </c>
      <c r="FQ6" s="193">
        <v>1.2</v>
      </c>
      <c r="FR6" s="196">
        <v>1</v>
      </c>
      <c r="FS6" s="193">
        <v>0</v>
      </c>
      <c r="FT6" s="193">
        <v>0.8</v>
      </c>
      <c r="FU6" s="193">
        <v>1</v>
      </c>
      <c r="FV6" s="193">
        <v>1.2</v>
      </c>
      <c r="FW6" s="196">
        <v>1</v>
      </c>
      <c r="FX6" s="193">
        <v>0</v>
      </c>
      <c r="FY6" s="193">
        <v>0.8</v>
      </c>
      <c r="FZ6" s="193">
        <v>1</v>
      </c>
      <c r="GA6" s="193">
        <v>1.2</v>
      </c>
      <c r="GB6" s="196">
        <v>1</v>
      </c>
      <c r="GC6" s="193">
        <v>0</v>
      </c>
      <c r="GD6" s="193">
        <v>0.8</v>
      </c>
      <c r="GE6" s="193">
        <v>1</v>
      </c>
      <c r="GF6" s="193">
        <v>1.2</v>
      </c>
      <c r="GG6" s="196">
        <v>1</v>
      </c>
      <c r="GH6" s="193">
        <v>0</v>
      </c>
      <c r="GI6" s="193">
        <v>0.8</v>
      </c>
      <c r="GJ6" s="193">
        <v>1</v>
      </c>
      <c r="GK6" s="193">
        <v>1.2</v>
      </c>
      <c r="GL6" s="196">
        <v>1</v>
      </c>
      <c r="GM6" s="197">
        <v>0</v>
      </c>
      <c r="GN6" s="193">
        <v>0.8</v>
      </c>
      <c r="GO6" s="193">
        <v>1</v>
      </c>
      <c r="GP6" s="187">
        <v>1.2</v>
      </c>
      <c r="GQ6" s="196">
        <v>1</v>
      </c>
    </row>
    <row r="7" spans="1:199">
      <c r="A7" s="195"/>
      <c r="B7" s="188"/>
      <c r="C7" s="188"/>
      <c r="D7" s="188" t="s">
        <v>965</v>
      </c>
      <c r="E7" s="190">
        <v>0</v>
      </c>
      <c r="F7" s="193">
        <v>0.9</v>
      </c>
      <c r="G7" s="193">
        <v>1</v>
      </c>
      <c r="H7" s="193">
        <v>1.1000000000000001</v>
      </c>
      <c r="I7" s="197">
        <v>1</v>
      </c>
      <c r="J7" s="197">
        <v>0</v>
      </c>
      <c r="K7" s="193">
        <v>0.9</v>
      </c>
      <c r="L7" s="193">
        <v>1</v>
      </c>
      <c r="M7" s="193">
        <v>1.1000000000000001</v>
      </c>
      <c r="N7" s="197">
        <v>1</v>
      </c>
      <c r="O7" s="193">
        <v>0</v>
      </c>
      <c r="P7" s="193">
        <v>0.9</v>
      </c>
      <c r="Q7" s="193">
        <v>1</v>
      </c>
      <c r="R7" s="187">
        <v>1.1000000000000001</v>
      </c>
      <c r="S7" s="196">
        <v>1</v>
      </c>
      <c r="T7" s="190">
        <v>0</v>
      </c>
      <c r="U7" s="193">
        <v>0.9</v>
      </c>
      <c r="V7" s="193">
        <v>1</v>
      </c>
      <c r="W7" s="193">
        <v>1.1000000000000001</v>
      </c>
      <c r="X7" s="196">
        <v>1</v>
      </c>
      <c r="Y7" s="196">
        <v>0</v>
      </c>
      <c r="Z7" s="193">
        <v>0.9</v>
      </c>
      <c r="AA7" s="193">
        <v>1</v>
      </c>
      <c r="AB7" s="193">
        <v>1.1000000000000001</v>
      </c>
      <c r="AC7" s="196">
        <v>1</v>
      </c>
      <c r="AD7" s="188">
        <v>0</v>
      </c>
      <c r="AE7" s="193">
        <v>0.9</v>
      </c>
      <c r="AF7" s="193">
        <v>1</v>
      </c>
      <c r="AG7" s="193">
        <v>1.1000000000000001</v>
      </c>
      <c r="AH7" s="197">
        <v>1</v>
      </c>
      <c r="AI7" s="193">
        <v>0</v>
      </c>
      <c r="AJ7" s="193">
        <v>0.9</v>
      </c>
      <c r="AK7" s="193">
        <v>1</v>
      </c>
      <c r="AL7" s="193">
        <v>1.1000000000000001</v>
      </c>
      <c r="AM7" s="197">
        <v>1</v>
      </c>
      <c r="AN7" s="193">
        <v>0</v>
      </c>
      <c r="AO7" s="193">
        <v>0.9</v>
      </c>
      <c r="AP7" s="193">
        <v>1</v>
      </c>
      <c r="AQ7" s="193">
        <v>1.1000000000000001</v>
      </c>
      <c r="AR7" s="196">
        <v>1</v>
      </c>
      <c r="AS7" s="188">
        <v>0</v>
      </c>
      <c r="AT7" s="193">
        <v>0.9</v>
      </c>
      <c r="AU7" s="193">
        <v>1</v>
      </c>
      <c r="AV7" s="193">
        <v>1.1000000000000001</v>
      </c>
      <c r="AW7" s="196">
        <v>1</v>
      </c>
      <c r="AX7" s="193">
        <v>0</v>
      </c>
      <c r="AY7" s="193">
        <v>0.9</v>
      </c>
      <c r="AZ7" s="193">
        <v>1</v>
      </c>
      <c r="BA7" s="193">
        <v>1.1000000000000001</v>
      </c>
      <c r="BB7" s="196">
        <v>1</v>
      </c>
      <c r="BC7" s="193">
        <v>0</v>
      </c>
      <c r="BD7" s="193">
        <v>0.9</v>
      </c>
      <c r="BE7" s="193">
        <v>1</v>
      </c>
      <c r="BF7" s="193">
        <v>1.1000000000000001</v>
      </c>
      <c r="BG7" s="196">
        <v>1</v>
      </c>
      <c r="BH7" s="193">
        <v>0</v>
      </c>
      <c r="BI7" s="193">
        <v>0.9</v>
      </c>
      <c r="BJ7" s="193">
        <v>1</v>
      </c>
      <c r="BK7" s="193">
        <v>1.1000000000000001</v>
      </c>
      <c r="BL7" s="196">
        <v>1</v>
      </c>
      <c r="BM7" s="193">
        <v>0</v>
      </c>
      <c r="BN7" s="193">
        <v>0.9</v>
      </c>
      <c r="BO7" s="193">
        <v>1</v>
      </c>
      <c r="BP7" s="193">
        <v>1.1000000000000001</v>
      </c>
      <c r="BQ7" s="196">
        <v>1</v>
      </c>
      <c r="BR7" s="193">
        <v>0</v>
      </c>
      <c r="BS7" s="193">
        <v>0.9</v>
      </c>
      <c r="BT7" s="193">
        <v>1</v>
      </c>
      <c r="BU7" s="193">
        <v>1.1000000000000001</v>
      </c>
      <c r="BV7" s="196">
        <v>1</v>
      </c>
      <c r="BW7" s="193">
        <v>0</v>
      </c>
      <c r="BX7" s="193">
        <v>0.9</v>
      </c>
      <c r="BY7" s="193">
        <v>1</v>
      </c>
      <c r="BZ7" s="193">
        <v>1.1000000000000001</v>
      </c>
      <c r="CA7" s="196">
        <v>1</v>
      </c>
      <c r="CB7" s="193">
        <v>0</v>
      </c>
      <c r="CC7" s="193">
        <v>0.9</v>
      </c>
      <c r="CD7" s="193">
        <v>1</v>
      </c>
      <c r="CE7" s="193">
        <v>1.1000000000000001</v>
      </c>
      <c r="CF7" s="196">
        <v>1</v>
      </c>
      <c r="CG7" s="193">
        <v>0</v>
      </c>
      <c r="CH7" s="193">
        <v>0.9</v>
      </c>
      <c r="CI7" s="193">
        <v>1</v>
      </c>
      <c r="CJ7" s="193">
        <v>1.1000000000000001</v>
      </c>
      <c r="CK7" s="196">
        <v>1</v>
      </c>
      <c r="CL7" s="193">
        <v>0</v>
      </c>
      <c r="CM7" s="193">
        <v>0.9</v>
      </c>
      <c r="CN7" s="193">
        <v>1</v>
      </c>
      <c r="CO7" s="193">
        <v>1.1000000000000001</v>
      </c>
      <c r="CP7" s="196">
        <v>1</v>
      </c>
      <c r="CQ7" s="193">
        <v>0</v>
      </c>
      <c r="CR7" s="193">
        <v>0.9</v>
      </c>
      <c r="CS7" s="193">
        <v>1</v>
      </c>
      <c r="CT7" s="193">
        <v>1.1000000000000001</v>
      </c>
      <c r="CU7" s="196">
        <v>1</v>
      </c>
      <c r="CV7" s="193">
        <v>0</v>
      </c>
      <c r="CW7" s="193">
        <v>0.9</v>
      </c>
      <c r="CX7" s="193">
        <v>1</v>
      </c>
      <c r="CY7" s="193">
        <v>1.1000000000000001</v>
      </c>
      <c r="CZ7" s="196">
        <v>1</v>
      </c>
      <c r="DA7" s="193">
        <v>0</v>
      </c>
      <c r="DB7" s="193">
        <v>0.9</v>
      </c>
      <c r="DC7" s="193">
        <v>1</v>
      </c>
      <c r="DD7" s="193">
        <v>1.1000000000000001</v>
      </c>
      <c r="DE7" s="196">
        <v>1</v>
      </c>
      <c r="DF7" s="193">
        <v>0</v>
      </c>
      <c r="DG7" s="193">
        <v>0.9</v>
      </c>
      <c r="DH7" s="193">
        <v>1</v>
      </c>
      <c r="DI7" s="193">
        <v>1.1000000000000001</v>
      </c>
      <c r="DJ7" s="196">
        <v>1</v>
      </c>
      <c r="DK7" s="193">
        <v>0</v>
      </c>
      <c r="DL7" s="193">
        <v>0.9</v>
      </c>
      <c r="DM7" s="193">
        <v>1</v>
      </c>
      <c r="DN7" s="193">
        <v>1.1000000000000001</v>
      </c>
      <c r="DO7" s="196">
        <v>1</v>
      </c>
      <c r="DP7" s="193">
        <v>0</v>
      </c>
      <c r="DQ7" s="193">
        <v>0.9</v>
      </c>
      <c r="DR7" s="193">
        <v>1</v>
      </c>
      <c r="DS7" s="193">
        <v>1.1000000000000001</v>
      </c>
      <c r="DT7" s="196">
        <v>1</v>
      </c>
      <c r="DU7" s="193">
        <v>0</v>
      </c>
      <c r="DV7" s="193">
        <v>0.9</v>
      </c>
      <c r="DW7" s="193">
        <v>1</v>
      </c>
      <c r="DX7" s="193">
        <v>1.1000000000000001</v>
      </c>
      <c r="DY7" s="196">
        <v>1</v>
      </c>
      <c r="DZ7" s="193">
        <v>0</v>
      </c>
      <c r="EA7" s="193">
        <v>0.9</v>
      </c>
      <c r="EB7" s="193">
        <v>1</v>
      </c>
      <c r="EC7" s="193">
        <v>1.1000000000000001</v>
      </c>
      <c r="ED7" s="196">
        <v>1</v>
      </c>
      <c r="EE7" s="197">
        <v>0</v>
      </c>
      <c r="EF7" s="193">
        <v>0.9</v>
      </c>
      <c r="EG7" s="193">
        <v>1</v>
      </c>
      <c r="EH7" s="193">
        <v>1.1000000000000001</v>
      </c>
      <c r="EI7" s="196">
        <v>1</v>
      </c>
      <c r="EJ7" s="193">
        <v>0</v>
      </c>
      <c r="EK7" s="193">
        <v>0.9</v>
      </c>
      <c r="EL7" s="193">
        <v>1</v>
      </c>
      <c r="EM7" s="193">
        <v>1.1000000000000001</v>
      </c>
      <c r="EN7" s="196">
        <v>1</v>
      </c>
      <c r="EO7" s="193">
        <v>0</v>
      </c>
      <c r="EP7" s="193">
        <v>0.9</v>
      </c>
      <c r="EQ7" s="193">
        <v>1</v>
      </c>
      <c r="ER7" s="193">
        <v>1.1000000000000001</v>
      </c>
      <c r="ES7" s="196">
        <v>1</v>
      </c>
      <c r="ET7" s="193">
        <v>0</v>
      </c>
      <c r="EU7" s="193">
        <v>0.9</v>
      </c>
      <c r="EV7" s="193">
        <v>1</v>
      </c>
      <c r="EW7" s="193">
        <v>1.1000000000000001</v>
      </c>
      <c r="EX7" s="196">
        <v>1</v>
      </c>
      <c r="EY7" s="193">
        <v>0</v>
      </c>
      <c r="EZ7" s="193">
        <v>0.9</v>
      </c>
      <c r="FA7" s="193">
        <v>1</v>
      </c>
      <c r="FB7" s="193">
        <v>1.1000000000000001</v>
      </c>
      <c r="FC7" s="196">
        <v>1</v>
      </c>
      <c r="FD7" s="193">
        <v>0</v>
      </c>
      <c r="FE7" s="193">
        <v>0.9</v>
      </c>
      <c r="FF7" s="193">
        <v>1</v>
      </c>
      <c r="FG7" s="193">
        <v>1.1000000000000001</v>
      </c>
      <c r="FH7" s="196">
        <v>1</v>
      </c>
      <c r="FI7" s="193">
        <v>0</v>
      </c>
      <c r="FJ7" s="193">
        <v>0.9</v>
      </c>
      <c r="FK7" s="193">
        <v>1</v>
      </c>
      <c r="FL7" s="193">
        <v>1.1000000000000001</v>
      </c>
      <c r="FM7" s="196">
        <v>1</v>
      </c>
      <c r="FN7" s="193">
        <v>0</v>
      </c>
      <c r="FO7" s="193">
        <v>0.9</v>
      </c>
      <c r="FP7" s="193">
        <v>1</v>
      </c>
      <c r="FQ7" s="193">
        <v>1.1000000000000001</v>
      </c>
      <c r="FR7" s="196">
        <v>1</v>
      </c>
      <c r="FS7" s="193">
        <v>0</v>
      </c>
      <c r="FT7" s="193">
        <v>0.9</v>
      </c>
      <c r="FU7" s="193">
        <v>1</v>
      </c>
      <c r="FV7" s="193">
        <v>1.1000000000000001</v>
      </c>
      <c r="FW7" s="196">
        <v>1</v>
      </c>
      <c r="FX7" s="193">
        <v>0</v>
      </c>
      <c r="FY7" s="193">
        <v>0.9</v>
      </c>
      <c r="FZ7" s="193">
        <v>1</v>
      </c>
      <c r="GA7" s="193">
        <v>1.1000000000000001</v>
      </c>
      <c r="GB7" s="196">
        <v>1</v>
      </c>
      <c r="GC7" s="193">
        <v>0</v>
      </c>
      <c r="GD7" s="193">
        <v>0.9</v>
      </c>
      <c r="GE7" s="193">
        <v>1</v>
      </c>
      <c r="GF7" s="193">
        <v>1.1000000000000001</v>
      </c>
      <c r="GG7" s="196">
        <v>1</v>
      </c>
      <c r="GH7" s="193">
        <v>0</v>
      </c>
      <c r="GI7" s="193">
        <v>0.9</v>
      </c>
      <c r="GJ7" s="193">
        <v>1</v>
      </c>
      <c r="GK7" s="193">
        <v>1.1000000000000001</v>
      </c>
      <c r="GL7" s="196">
        <v>1</v>
      </c>
      <c r="GM7" s="197">
        <v>0</v>
      </c>
      <c r="GN7" s="193">
        <v>0.9</v>
      </c>
      <c r="GO7" s="193">
        <v>1</v>
      </c>
      <c r="GP7" s="187">
        <v>1.1000000000000001</v>
      </c>
      <c r="GQ7" s="196">
        <v>1</v>
      </c>
    </row>
    <row r="8" spans="1:199">
      <c r="A8" s="195"/>
      <c r="B8" s="188"/>
      <c r="C8" s="188"/>
      <c r="D8" s="188" t="s">
        <v>966</v>
      </c>
      <c r="E8" s="190">
        <v>0</v>
      </c>
      <c r="F8" s="193">
        <v>0.8</v>
      </c>
      <c r="G8" s="193">
        <v>1</v>
      </c>
      <c r="H8" s="193">
        <v>1.2</v>
      </c>
      <c r="I8" s="197">
        <v>1</v>
      </c>
      <c r="J8" s="197">
        <v>0</v>
      </c>
      <c r="K8" s="193">
        <v>0.8</v>
      </c>
      <c r="L8" s="193">
        <v>1</v>
      </c>
      <c r="M8" s="193">
        <v>1.2</v>
      </c>
      <c r="N8" s="197">
        <v>1</v>
      </c>
      <c r="O8" s="193">
        <v>0</v>
      </c>
      <c r="P8" s="193">
        <v>0.8</v>
      </c>
      <c r="Q8" s="193">
        <v>1</v>
      </c>
      <c r="R8" s="187">
        <v>1.2</v>
      </c>
      <c r="S8" s="196">
        <v>1</v>
      </c>
      <c r="T8" s="190">
        <v>0</v>
      </c>
      <c r="U8" s="193">
        <v>0.8</v>
      </c>
      <c r="V8" s="193">
        <v>1</v>
      </c>
      <c r="W8" s="193">
        <v>1.2</v>
      </c>
      <c r="X8" s="196">
        <v>1</v>
      </c>
      <c r="Y8" s="196">
        <v>0</v>
      </c>
      <c r="Z8" s="193">
        <v>0.8</v>
      </c>
      <c r="AA8" s="193">
        <v>1</v>
      </c>
      <c r="AB8" s="193">
        <v>1.2</v>
      </c>
      <c r="AC8" s="196">
        <v>1</v>
      </c>
      <c r="AD8" s="188">
        <v>0</v>
      </c>
      <c r="AE8" s="193">
        <v>0.8</v>
      </c>
      <c r="AF8" s="193">
        <v>1</v>
      </c>
      <c r="AG8" s="193">
        <v>1.2</v>
      </c>
      <c r="AH8" s="197">
        <v>1</v>
      </c>
      <c r="AI8" s="193">
        <v>0</v>
      </c>
      <c r="AJ8" s="193">
        <v>0.8</v>
      </c>
      <c r="AK8" s="193">
        <v>1</v>
      </c>
      <c r="AL8" s="193">
        <v>1.2</v>
      </c>
      <c r="AM8" s="197">
        <v>1</v>
      </c>
      <c r="AN8" s="193">
        <v>0</v>
      </c>
      <c r="AO8" s="193">
        <v>0.8</v>
      </c>
      <c r="AP8" s="193">
        <v>1</v>
      </c>
      <c r="AQ8" s="193">
        <v>1.2</v>
      </c>
      <c r="AR8" s="196">
        <v>1</v>
      </c>
      <c r="AS8" s="188">
        <v>0</v>
      </c>
      <c r="AT8" s="193">
        <v>0.8</v>
      </c>
      <c r="AU8" s="193">
        <v>1</v>
      </c>
      <c r="AV8" s="193">
        <v>1.2</v>
      </c>
      <c r="AW8" s="196">
        <v>1</v>
      </c>
      <c r="AX8" s="193">
        <v>0</v>
      </c>
      <c r="AY8" s="193">
        <v>0.8</v>
      </c>
      <c r="AZ8" s="193">
        <v>1</v>
      </c>
      <c r="BA8" s="193">
        <v>1.2</v>
      </c>
      <c r="BB8" s="196">
        <v>1</v>
      </c>
      <c r="BC8" s="193">
        <v>0</v>
      </c>
      <c r="BD8" s="193">
        <v>0.8</v>
      </c>
      <c r="BE8" s="193">
        <v>1</v>
      </c>
      <c r="BF8" s="193">
        <v>1.2</v>
      </c>
      <c r="BG8" s="196">
        <v>1</v>
      </c>
      <c r="BH8" s="193">
        <v>0</v>
      </c>
      <c r="BI8" s="193">
        <v>0.8</v>
      </c>
      <c r="BJ8" s="193">
        <v>1</v>
      </c>
      <c r="BK8" s="193">
        <v>1.2</v>
      </c>
      <c r="BL8" s="196">
        <v>1</v>
      </c>
      <c r="BM8" s="193">
        <v>0</v>
      </c>
      <c r="BN8" s="193">
        <v>0.8</v>
      </c>
      <c r="BO8" s="193">
        <v>1</v>
      </c>
      <c r="BP8" s="193">
        <v>1.2</v>
      </c>
      <c r="BQ8" s="196">
        <v>1</v>
      </c>
      <c r="BR8" s="193">
        <v>0</v>
      </c>
      <c r="BS8" s="193">
        <v>0.8</v>
      </c>
      <c r="BT8" s="193">
        <v>1</v>
      </c>
      <c r="BU8" s="193">
        <v>1.2</v>
      </c>
      <c r="BV8" s="196">
        <v>1</v>
      </c>
      <c r="BW8" s="193">
        <v>0</v>
      </c>
      <c r="BX8" s="193">
        <v>0.8</v>
      </c>
      <c r="BY8" s="193">
        <v>1</v>
      </c>
      <c r="BZ8" s="193">
        <v>1.2</v>
      </c>
      <c r="CA8" s="196">
        <v>1</v>
      </c>
      <c r="CB8" s="193">
        <v>0</v>
      </c>
      <c r="CC8" s="193">
        <v>0.8</v>
      </c>
      <c r="CD8" s="193">
        <v>1</v>
      </c>
      <c r="CE8" s="193">
        <v>1.2</v>
      </c>
      <c r="CF8" s="196">
        <v>1</v>
      </c>
      <c r="CG8" s="193">
        <v>0</v>
      </c>
      <c r="CH8" s="193">
        <v>0.8</v>
      </c>
      <c r="CI8" s="193">
        <v>1</v>
      </c>
      <c r="CJ8" s="193">
        <v>1.2</v>
      </c>
      <c r="CK8" s="196">
        <v>1</v>
      </c>
      <c r="CL8" s="193">
        <v>0</v>
      </c>
      <c r="CM8" s="193">
        <v>0.8</v>
      </c>
      <c r="CN8" s="193">
        <v>1</v>
      </c>
      <c r="CO8" s="193">
        <v>1.2</v>
      </c>
      <c r="CP8" s="196">
        <v>1</v>
      </c>
      <c r="CQ8" s="193">
        <v>0</v>
      </c>
      <c r="CR8" s="193">
        <v>0.8</v>
      </c>
      <c r="CS8" s="193">
        <v>1</v>
      </c>
      <c r="CT8" s="193">
        <v>1.2</v>
      </c>
      <c r="CU8" s="196">
        <v>1</v>
      </c>
      <c r="CV8" s="193">
        <v>0</v>
      </c>
      <c r="CW8" s="193">
        <v>0.8</v>
      </c>
      <c r="CX8" s="193">
        <v>1</v>
      </c>
      <c r="CY8" s="193">
        <v>1.2</v>
      </c>
      <c r="CZ8" s="196">
        <v>1</v>
      </c>
      <c r="DA8" s="193">
        <v>0</v>
      </c>
      <c r="DB8" s="193">
        <v>0.8</v>
      </c>
      <c r="DC8" s="193">
        <v>1</v>
      </c>
      <c r="DD8" s="193">
        <v>1.2</v>
      </c>
      <c r="DE8" s="196">
        <v>1</v>
      </c>
      <c r="DF8" s="193">
        <v>0</v>
      </c>
      <c r="DG8" s="193">
        <v>0.8</v>
      </c>
      <c r="DH8" s="193">
        <v>1</v>
      </c>
      <c r="DI8" s="193">
        <v>1.2</v>
      </c>
      <c r="DJ8" s="196">
        <v>1</v>
      </c>
      <c r="DK8" s="193">
        <v>0</v>
      </c>
      <c r="DL8" s="193">
        <v>0.8</v>
      </c>
      <c r="DM8" s="193">
        <v>1</v>
      </c>
      <c r="DN8" s="193">
        <v>1.2</v>
      </c>
      <c r="DO8" s="196">
        <v>1</v>
      </c>
      <c r="DP8" s="193">
        <v>0</v>
      </c>
      <c r="DQ8" s="193">
        <v>0.8</v>
      </c>
      <c r="DR8" s="193">
        <v>1</v>
      </c>
      <c r="DS8" s="193">
        <v>1.2</v>
      </c>
      <c r="DT8" s="196">
        <v>1</v>
      </c>
      <c r="DU8" s="193">
        <v>0</v>
      </c>
      <c r="DV8" s="193">
        <v>0.8</v>
      </c>
      <c r="DW8" s="193">
        <v>1</v>
      </c>
      <c r="DX8" s="193">
        <v>1.2</v>
      </c>
      <c r="DY8" s="196">
        <v>1</v>
      </c>
      <c r="DZ8" s="193">
        <v>0</v>
      </c>
      <c r="EA8" s="193">
        <v>0.8</v>
      </c>
      <c r="EB8" s="193">
        <v>1</v>
      </c>
      <c r="EC8" s="193">
        <v>1.2</v>
      </c>
      <c r="ED8" s="196">
        <v>1</v>
      </c>
      <c r="EE8" s="197">
        <v>0</v>
      </c>
      <c r="EF8" s="193">
        <v>0.8</v>
      </c>
      <c r="EG8" s="193">
        <v>1</v>
      </c>
      <c r="EH8" s="193">
        <v>1.2</v>
      </c>
      <c r="EI8" s="196">
        <v>1</v>
      </c>
      <c r="EJ8" s="193">
        <v>0</v>
      </c>
      <c r="EK8" s="193">
        <v>0.8</v>
      </c>
      <c r="EL8" s="193">
        <v>1</v>
      </c>
      <c r="EM8" s="193">
        <v>1.2</v>
      </c>
      <c r="EN8" s="196">
        <v>1</v>
      </c>
      <c r="EO8" s="193">
        <v>0</v>
      </c>
      <c r="EP8" s="193">
        <v>0.8</v>
      </c>
      <c r="EQ8" s="193">
        <v>1</v>
      </c>
      <c r="ER8" s="193">
        <v>1.2</v>
      </c>
      <c r="ES8" s="196">
        <v>1</v>
      </c>
      <c r="ET8" s="193">
        <v>0</v>
      </c>
      <c r="EU8" s="193">
        <v>0.8</v>
      </c>
      <c r="EV8" s="193">
        <v>1</v>
      </c>
      <c r="EW8" s="193">
        <v>1.2</v>
      </c>
      <c r="EX8" s="196">
        <v>1</v>
      </c>
      <c r="EY8" s="193">
        <v>0</v>
      </c>
      <c r="EZ8" s="193">
        <v>0.8</v>
      </c>
      <c r="FA8" s="193">
        <v>1</v>
      </c>
      <c r="FB8" s="193">
        <v>1.2</v>
      </c>
      <c r="FC8" s="196">
        <v>1</v>
      </c>
      <c r="FD8" s="193">
        <v>0</v>
      </c>
      <c r="FE8" s="193">
        <v>0.8</v>
      </c>
      <c r="FF8" s="193">
        <v>1</v>
      </c>
      <c r="FG8" s="193">
        <v>1.2</v>
      </c>
      <c r="FH8" s="196">
        <v>1</v>
      </c>
      <c r="FI8" s="193">
        <v>0</v>
      </c>
      <c r="FJ8" s="193">
        <v>0.8</v>
      </c>
      <c r="FK8" s="193">
        <v>1</v>
      </c>
      <c r="FL8" s="193">
        <v>1.2</v>
      </c>
      <c r="FM8" s="196">
        <v>1</v>
      </c>
      <c r="FN8" s="193">
        <v>0</v>
      </c>
      <c r="FO8" s="193">
        <v>0.8</v>
      </c>
      <c r="FP8" s="193">
        <v>1</v>
      </c>
      <c r="FQ8" s="193">
        <v>1.2</v>
      </c>
      <c r="FR8" s="196">
        <v>1</v>
      </c>
      <c r="FS8" s="193">
        <v>0</v>
      </c>
      <c r="FT8" s="193">
        <v>0.8</v>
      </c>
      <c r="FU8" s="193">
        <v>1</v>
      </c>
      <c r="FV8" s="193">
        <v>1.2</v>
      </c>
      <c r="FW8" s="196">
        <v>1</v>
      </c>
      <c r="FX8" s="193">
        <v>0</v>
      </c>
      <c r="FY8" s="193">
        <v>0.8</v>
      </c>
      <c r="FZ8" s="193">
        <v>1</v>
      </c>
      <c r="GA8" s="193">
        <v>1.2</v>
      </c>
      <c r="GB8" s="196">
        <v>1</v>
      </c>
      <c r="GC8" s="193">
        <v>0</v>
      </c>
      <c r="GD8" s="193">
        <v>0.8</v>
      </c>
      <c r="GE8" s="193">
        <v>1</v>
      </c>
      <c r="GF8" s="193">
        <v>1.2</v>
      </c>
      <c r="GG8" s="196">
        <v>1</v>
      </c>
      <c r="GH8" s="193">
        <v>0</v>
      </c>
      <c r="GI8" s="193">
        <v>0.8</v>
      </c>
      <c r="GJ8" s="193">
        <v>1</v>
      </c>
      <c r="GK8" s="193">
        <v>1.2</v>
      </c>
      <c r="GL8" s="196">
        <v>1</v>
      </c>
      <c r="GM8" s="197">
        <v>0</v>
      </c>
      <c r="GN8" s="193">
        <v>0.8</v>
      </c>
      <c r="GO8" s="193">
        <v>1</v>
      </c>
      <c r="GP8" s="187">
        <v>1.2</v>
      </c>
      <c r="GQ8" s="196">
        <v>1</v>
      </c>
    </row>
    <row r="9" spans="1:199">
      <c r="A9" s="195"/>
      <c r="B9" s="200"/>
      <c r="C9" s="200" t="s">
        <v>989</v>
      </c>
      <c r="D9" s="382" t="s">
        <v>186</v>
      </c>
      <c r="E9" s="386">
        <v>0</v>
      </c>
      <c r="F9" s="201">
        <v>0.8</v>
      </c>
      <c r="G9" s="201">
        <v>1</v>
      </c>
      <c r="H9" s="201">
        <v>1.2</v>
      </c>
      <c r="I9" s="204">
        <v>1</v>
      </c>
      <c r="J9" s="204">
        <v>0</v>
      </c>
      <c r="K9" s="201">
        <v>0</v>
      </c>
      <c r="L9" s="201">
        <v>1</v>
      </c>
      <c r="M9" s="201">
        <v>1.2</v>
      </c>
      <c r="N9" s="204">
        <v>1</v>
      </c>
      <c r="O9" s="383">
        <v>0</v>
      </c>
      <c r="P9" s="201">
        <v>0.8</v>
      </c>
      <c r="Q9" s="201">
        <v>1</v>
      </c>
      <c r="R9" s="202">
        <v>1.2</v>
      </c>
      <c r="S9" s="186">
        <v>1</v>
      </c>
      <c r="T9" s="386">
        <v>0</v>
      </c>
      <c r="U9" s="201">
        <v>0.8</v>
      </c>
      <c r="V9" s="201">
        <v>1</v>
      </c>
      <c r="W9" s="201">
        <v>1.2</v>
      </c>
      <c r="X9" s="186">
        <v>1</v>
      </c>
      <c r="Y9" s="186">
        <v>0</v>
      </c>
      <c r="Z9" s="201">
        <v>0</v>
      </c>
      <c r="AA9" s="201">
        <v>1</v>
      </c>
      <c r="AB9" s="201">
        <v>1.2</v>
      </c>
      <c r="AC9" s="186">
        <v>1</v>
      </c>
      <c r="AD9" s="200">
        <v>0</v>
      </c>
      <c r="AE9" s="201">
        <v>0.8</v>
      </c>
      <c r="AF9" s="201">
        <v>1</v>
      </c>
      <c r="AG9" s="383">
        <v>1.2</v>
      </c>
      <c r="AH9" s="204">
        <v>1</v>
      </c>
      <c r="AI9" s="383">
        <v>0</v>
      </c>
      <c r="AJ9" s="383">
        <v>0.8</v>
      </c>
      <c r="AK9" s="201">
        <v>1</v>
      </c>
      <c r="AL9" s="201">
        <v>1.2</v>
      </c>
      <c r="AM9" s="204">
        <v>1</v>
      </c>
      <c r="AN9" s="383">
        <v>0</v>
      </c>
      <c r="AO9" s="201">
        <v>0</v>
      </c>
      <c r="AP9" s="201">
        <v>1</v>
      </c>
      <c r="AQ9" s="201">
        <v>1.2</v>
      </c>
      <c r="AR9" s="186">
        <v>1</v>
      </c>
      <c r="AS9" s="200">
        <v>0</v>
      </c>
      <c r="AT9" s="201">
        <v>0.8</v>
      </c>
      <c r="AU9" s="201">
        <v>1</v>
      </c>
      <c r="AV9" s="201">
        <v>1.2</v>
      </c>
      <c r="AW9" s="186">
        <v>1</v>
      </c>
      <c r="AX9" s="201">
        <v>0</v>
      </c>
      <c r="AY9" s="201">
        <v>0.8</v>
      </c>
      <c r="AZ9" s="201">
        <v>1</v>
      </c>
      <c r="BA9" s="201">
        <v>1.2</v>
      </c>
      <c r="BB9" s="186">
        <v>1</v>
      </c>
      <c r="BC9" s="201">
        <v>0</v>
      </c>
      <c r="BD9" s="201">
        <v>0</v>
      </c>
      <c r="BE9" s="201">
        <v>1</v>
      </c>
      <c r="BF9" s="201">
        <v>1.2</v>
      </c>
      <c r="BG9" s="186">
        <v>1</v>
      </c>
      <c r="BH9" s="201">
        <v>0</v>
      </c>
      <c r="BI9" s="201">
        <v>0.8</v>
      </c>
      <c r="BJ9" s="201">
        <v>1</v>
      </c>
      <c r="BK9" s="201">
        <v>1.2</v>
      </c>
      <c r="BL9" s="186">
        <v>1</v>
      </c>
      <c r="BM9" s="201">
        <v>0</v>
      </c>
      <c r="BN9" s="201">
        <v>0.8</v>
      </c>
      <c r="BO9" s="201">
        <v>1</v>
      </c>
      <c r="BP9" s="201">
        <v>1.2</v>
      </c>
      <c r="BQ9" s="186">
        <v>1</v>
      </c>
      <c r="BR9" s="201">
        <v>0</v>
      </c>
      <c r="BS9" s="201">
        <v>0</v>
      </c>
      <c r="BT9" s="201">
        <v>1</v>
      </c>
      <c r="BU9" s="201">
        <v>1.2</v>
      </c>
      <c r="BV9" s="186">
        <v>1</v>
      </c>
      <c r="BW9" s="201">
        <v>0</v>
      </c>
      <c r="BX9" s="201">
        <v>0.8</v>
      </c>
      <c r="BY9" s="201">
        <v>1</v>
      </c>
      <c r="BZ9" s="201">
        <v>1.2</v>
      </c>
      <c r="CA9" s="186">
        <v>1</v>
      </c>
      <c r="CB9" s="201">
        <v>0</v>
      </c>
      <c r="CC9" s="201">
        <v>0.8</v>
      </c>
      <c r="CD9" s="201">
        <v>1</v>
      </c>
      <c r="CE9" s="201">
        <v>1.2</v>
      </c>
      <c r="CF9" s="186">
        <v>1</v>
      </c>
      <c r="CG9" s="201">
        <v>0</v>
      </c>
      <c r="CH9" s="201">
        <v>0</v>
      </c>
      <c r="CI9" s="201">
        <v>1</v>
      </c>
      <c r="CJ9" s="201">
        <v>1.2</v>
      </c>
      <c r="CK9" s="186">
        <v>1</v>
      </c>
      <c r="CL9" s="201">
        <v>0</v>
      </c>
      <c r="CM9" s="201">
        <v>0.8</v>
      </c>
      <c r="CN9" s="201">
        <v>1</v>
      </c>
      <c r="CO9" s="201">
        <v>1.2</v>
      </c>
      <c r="CP9" s="186">
        <v>1</v>
      </c>
      <c r="CQ9" s="201">
        <v>0</v>
      </c>
      <c r="CR9" s="201">
        <v>0.8</v>
      </c>
      <c r="CS9" s="201">
        <v>1</v>
      </c>
      <c r="CT9" s="201">
        <v>1.2</v>
      </c>
      <c r="CU9" s="186">
        <v>1</v>
      </c>
      <c r="CV9" s="201">
        <v>0</v>
      </c>
      <c r="CW9" s="201">
        <v>0</v>
      </c>
      <c r="CX9" s="201">
        <v>1</v>
      </c>
      <c r="CY9" s="201">
        <v>1.2</v>
      </c>
      <c r="CZ9" s="186">
        <v>1</v>
      </c>
      <c r="DA9" s="201">
        <v>0</v>
      </c>
      <c r="DB9" s="201">
        <v>0.8</v>
      </c>
      <c r="DC9" s="201">
        <v>1</v>
      </c>
      <c r="DD9" s="201">
        <v>1.2</v>
      </c>
      <c r="DE9" s="186">
        <v>1</v>
      </c>
      <c r="DF9" s="201">
        <v>0</v>
      </c>
      <c r="DG9" s="201">
        <v>0.8</v>
      </c>
      <c r="DH9" s="201">
        <v>1</v>
      </c>
      <c r="DI9" s="201">
        <v>1.2</v>
      </c>
      <c r="DJ9" s="186">
        <v>1</v>
      </c>
      <c r="DK9" s="201">
        <v>0</v>
      </c>
      <c r="DL9" s="201">
        <v>0</v>
      </c>
      <c r="DM9" s="201">
        <v>1</v>
      </c>
      <c r="DN9" s="201">
        <v>1.2</v>
      </c>
      <c r="DO9" s="186">
        <v>1</v>
      </c>
      <c r="DP9" s="201">
        <v>0</v>
      </c>
      <c r="DQ9" s="201">
        <v>0.8</v>
      </c>
      <c r="DR9" s="201">
        <v>1</v>
      </c>
      <c r="DS9" s="201">
        <v>1.2</v>
      </c>
      <c r="DT9" s="186">
        <v>1</v>
      </c>
      <c r="DU9" s="201">
        <v>0</v>
      </c>
      <c r="DV9" s="201">
        <v>0.8</v>
      </c>
      <c r="DW9" s="201">
        <v>1</v>
      </c>
      <c r="DX9" s="201">
        <v>1.2</v>
      </c>
      <c r="DY9" s="186">
        <v>1</v>
      </c>
      <c r="DZ9" s="201">
        <v>0</v>
      </c>
      <c r="EA9" s="201">
        <v>0</v>
      </c>
      <c r="EB9" s="201">
        <v>1</v>
      </c>
      <c r="EC9" s="201">
        <v>1.2</v>
      </c>
      <c r="ED9" s="186">
        <v>1</v>
      </c>
      <c r="EE9" s="197">
        <v>0</v>
      </c>
      <c r="EF9" s="201">
        <v>0.8</v>
      </c>
      <c r="EG9" s="201">
        <v>1</v>
      </c>
      <c r="EH9" s="201">
        <v>1.2</v>
      </c>
      <c r="EI9" s="186">
        <v>1</v>
      </c>
      <c r="EJ9" s="201">
        <v>0</v>
      </c>
      <c r="EK9" s="201">
        <v>0.8</v>
      </c>
      <c r="EL9" s="201">
        <v>1</v>
      </c>
      <c r="EM9" s="201">
        <v>1.2</v>
      </c>
      <c r="EN9" s="186">
        <v>1</v>
      </c>
      <c r="EO9" s="201">
        <v>0</v>
      </c>
      <c r="EP9" s="201">
        <v>0</v>
      </c>
      <c r="EQ9" s="201">
        <v>1</v>
      </c>
      <c r="ER9" s="201">
        <v>1.2</v>
      </c>
      <c r="ES9" s="186">
        <v>1</v>
      </c>
      <c r="ET9" s="201">
        <v>0</v>
      </c>
      <c r="EU9" s="201">
        <v>0.8</v>
      </c>
      <c r="EV9" s="201">
        <v>1</v>
      </c>
      <c r="EW9" s="201">
        <v>1.2</v>
      </c>
      <c r="EX9" s="186">
        <v>1</v>
      </c>
      <c r="EY9" s="201">
        <v>0</v>
      </c>
      <c r="EZ9" s="201">
        <v>0.8</v>
      </c>
      <c r="FA9" s="201">
        <v>1</v>
      </c>
      <c r="FB9" s="201">
        <v>1.2</v>
      </c>
      <c r="FC9" s="186">
        <v>1</v>
      </c>
      <c r="FD9" s="201">
        <v>0</v>
      </c>
      <c r="FE9" s="201">
        <v>0</v>
      </c>
      <c r="FF9" s="201">
        <v>1</v>
      </c>
      <c r="FG9" s="201">
        <v>1.2</v>
      </c>
      <c r="FH9" s="186">
        <v>1</v>
      </c>
      <c r="FI9" s="201">
        <v>0</v>
      </c>
      <c r="FJ9" s="201">
        <v>0.8</v>
      </c>
      <c r="FK9" s="201">
        <v>1</v>
      </c>
      <c r="FL9" s="201">
        <v>1.2</v>
      </c>
      <c r="FM9" s="186">
        <v>1</v>
      </c>
      <c r="FN9" s="201">
        <v>0</v>
      </c>
      <c r="FO9" s="201">
        <v>0.8</v>
      </c>
      <c r="FP9" s="201">
        <v>1</v>
      </c>
      <c r="FQ9" s="201">
        <v>1.2</v>
      </c>
      <c r="FR9" s="186">
        <v>1</v>
      </c>
      <c r="FS9" s="201">
        <v>0</v>
      </c>
      <c r="FT9" s="201">
        <v>0</v>
      </c>
      <c r="FU9" s="201">
        <v>1</v>
      </c>
      <c r="FV9" s="201">
        <v>1.2</v>
      </c>
      <c r="FW9" s="186">
        <v>1</v>
      </c>
      <c r="FX9" s="201">
        <v>0</v>
      </c>
      <c r="FY9" s="201">
        <v>0.8</v>
      </c>
      <c r="FZ9" s="201">
        <v>1</v>
      </c>
      <c r="GA9" s="201">
        <v>1.2</v>
      </c>
      <c r="GB9" s="186">
        <v>1</v>
      </c>
      <c r="GC9" s="201">
        <v>0</v>
      </c>
      <c r="GD9" s="201">
        <v>0.8</v>
      </c>
      <c r="GE9" s="201">
        <v>1</v>
      </c>
      <c r="GF9" s="201">
        <v>1.2</v>
      </c>
      <c r="GG9" s="186">
        <v>1</v>
      </c>
      <c r="GH9" s="201">
        <v>0</v>
      </c>
      <c r="GI9" s="201">
        <v>0</v>
      </c>
      <c r="GJ9" s="201">
        <v>1</v>
      </c>
      <c r="GK9" s="201">
        <v>1.2</v>
      </c>
      <c r="GL9" s="186">
        <v>1</v>
      </c>
      <c r="GM9" s="204">
        <v>0</v>
      </c>
      <c r="GN9" s="201">
        <v>0.8</v>
      </c>
      <c r="GO9" s="201">
        <v>1</v>
      </c>
      <c r="GP9" s="202">
        <v>1.2</v>
      </c>
      <c r="GQ9" s="186">
        <v>1</v>
      </c>
    </row>
    <row r="10" spans="1:199">
      <c r="A10" s="195"/>
    </row>
    <row r="11" spans="1:199">
      <c r="A11" s="195" t="s">
        <v>990</v>
      </c>
      <c r="B11" s="195" t="s">
        <v>14</v>
      </c>
    </row>
    <row r="12" spans="1:199">
      <c r="A12" s="195"/>
      <c r="B12" s="196"/>
      <c r="C12" s="196" t="s">
        <v>987</v>
      </c>
      <c r="D12" s="196" t="s">
        <v>206</v>
      </c>
      <c r="E12" s="199">
        <v>0</v>
      </c>
      <c r="F12" s="197">
        <v>0.8</v>
      </c>
      <c r="G12" s="204">
        <v>1</v>
      </c>
      <c r="H12" s="204">
        <v>2</v>
      </c>
      <c r="I12" s="204">
        <v>1</v>
      </c>
      <c r="J12" s="197">
        <v>0</v>
      </c>
      <c r="K12" s="204">
        <v>0</v>
      </c>
      <c r="L12" s="204">
        <v>0</v>
      </c>
      <c r="M12" s="204">
        <v>0</v>
      </c>
      <c r="N12" s="204">
        <v>1</v>
      </c>
      <c r="O12" s="204">
        <v>0</v>
      </c>
      <c r="P12" s="204">
        <v>0.8</v>
      </c>
      <c r="Q12" s="204">
        <v>1</v>
      </c>
      <c r="R12" s="205">
        <v>2</v>
      </c>
      <c r="S12" s="186">
        <v>1</v>
      </c>
      <c r="T12" s="199">
        <v>0</v>
      </c>
      <c r="U12" s="197">
        <v>0.8</v>
      </c>
      <c r="V12" s="204">
        <v>1</v>
      </c>
      <c r="W12" s="204">
        <v>2</v>
      </c>
      <c r="X12" s="186">
        <v>1</v>
      </c>
      <c r="Y12" s="196">
        <v>0</v>
      </c>
      <c r="Z12" s="204">
        <v>0</v>
      </c>
      <c r="AA12" s="204">
        <v>0</v>
      </c>
      <c r="AB12" s="204">
        <v>2</v>
      </c>
      <c r="AC12" s="186">
        <v>1</v>
      </c>
      <c r="AD12" s="186">
        <v>0</v>
      </c>
      <c r="AE12" s="204">
        <v>0.8</v>
      </c>
      <c r="AF12" s="204">
        <v>1</v>
      </c>
      <c r="AG12" s="204">
        <v>2</v>
      </c>
      <c r="AH12" s="204">
        <v>1</v>
      </c>
      <c r="AI12" s="204">
        <v>0</v>
      </c>
      <c r="AJ12" s="204">
        <v>0.8</v>
      </c>
      <c r="AK12" s="204">
        <v>1</v>
      </c>
      <c r="AL12" s="204">
        <v>2</v>
      </c>
      <c r="AM12" s="204">
        <v>1</v>
      </c>
      <c r="AN12" s="204">
        <v>0</v>
      </c>
      <c r="AO12" s="204">
        <v>0</v>
      </c>
      <c r="AP12" s="204">
        <v>0</v>
      </c>
      <c r="AQ12" s="204">
        <v>2</v>
      </c>
      <c r="AR12" s="186">
        <v>1</v>
      </c>
      <c r="AS12" s="186">
        <v>0</v>
      </c>
      <c r="AT12" s="204">
        <v>0.8</v>
      </c>
      <c r="AU12" s="204">
        <v>1</v>
      </c>
      <c r="AV12" s="197">
        <v>2</v>
      </c>
      <c r="AW12" s="186">
        <v>1</v>
      </c>
      <c r="AX12" s="197">
        <v>0</v>
      </c>
      <c r="AY12" s="197">
        <v>0.8</v>
      </c>
      <c r="AZ12" s="197">
        <v>1</v>
      </c>
      <c r="BA12" s="197">
        <v>2</v>
      </c>
      <c r="BB12" s="186">
        <v>1</v>
      </c>
      <c r="BC12" s="197">
        <v>0</v>
      </c>
      <c r="BD12" s="197">
        <v>0</v>
      </c>
      <c r="BE12" s="197">
        <v>0</v>
      </c>
      <c r="BF12" s="197">
        <v>2</v>
      </c>
      <c r="BG12" s="186">
        <v>1</v>
      </c>
      <c r="BH12" s="197">
        <v>0</v>
      </c>
      <c r="BI12" s="197">
        <v>0.8</v>
      </c>
      <c r="BJ12" s="197">
        <v>1</v>
      </c>
      <c r="BK12" s="197">
        <v>2</v>
      </c>
      <c r="BL12" s="186">
        <v>1</v>
      </c>
      <c r="BM12" s="197">
        <v>0</v>
      </c>
      <c r="BN12" s="197">
        <v>0.8</v>
      </c>
      <c r="BO12" s="197">
        <v>1</v>
      </c>
      <c r="BP12" s="197">
        <v>2</v>
      </c>
      <c r="BQ12" s="186">
        <v>1</v>
      </c>
      <c r="BR12" s="197">
        <v>0</v>
      </c>
      <c r="BS12" s="197">
        <v>0</v>
      </c>
      <c r="BT12" s="197">
        <v>0</v>
      </c>
      <c r="BU12" s="197">
        <v>2</v>
      </c>
      <c r="BV12" s="186">
        <v>1</v>
      </c>
      <c r="BW12" s="197">
        <v>0</v>
      </c>
      <c r="BX12" s="197">
        <v>0.8</v>
      </c>
      <c r="BY12" s="197">
        <v>1</v>
      </c>
      <c r="BZ12" s="197">
        <v>2</v>
      </c>
      <c r="CA12" s="186">
        <v>1</v>
      </c>
      <c r="CB12" s="197">
        <v>0</v>
      </c>
      <c r="CC12" s="197">
        <v>0.8</v>
      </c>
      <c r="CD12" s="197">
        <v>1</v>
      </c>
      <c r="CE12" s="197">
        <v>2</v>
      </c>
      <c r="CF12" s="186">
        <v>1</v>
      </c>
      <c r="CG12" s="197">
        <v>0</v>
      </c>
      <c r="CH12" s="197">
        <v>0</v>
      </c>
      <c r="CI12" s="197">
        <v>0</v>
      </c>
      <c r="CJ12" s="197">
        <v>2</v>
      </c>
      <c r="CK12" s="186">
        <v>1</v>
      </c>
      <c r="CL12" s="197">
        <v>0</v>
      </c>
      <c r="CM12" s="197">
        <v>0.8</v>
      </c>
      <c r="CN12" s="197">
        <v>1</v>
      </c>
      <c r="CO12" s="197">
        <v>2</v>
      </c>
      <c r="CP12" s="186">
        <v>1</v>
      </c>
      <c r="CQ12" s="197">
        <v>0</v>
      </c>
      <c r="CR12" s="197">
        <v>0.8</v>
      </c>
      <c r="CS12" s="197">
        <v>1</v>
      </c>
      <c r="CT12" s="197">
        <v>2</v>
      </c>
      <c r="CU12" s="186">
        <v>1</v>
      </c>
      <c r="CV12" s="197">
        <v>0</v>
      </c>
      <c r="CW12" s="197">
        <v>0</v>
      </c>
      <c r="CX12" s="197">
        <v>0</v>
      </c>
      <c r="CY12" s="197">
        <v>2</v>
      </c>
      <c r="CZ12" s="186">
        <v>1</v>
      </c>
      <c r="DA12" s="197">
        <v>0</v>
      </c>
      <c r="DB12" s="197">
        <v>0.8</v>
      </c>
      <c r="DC12" s="197">
        <v>1</v>
      </c>
      <c r="DD12" s="197">
        <v>2</v>
      </c>
      <c r="DE12" s="186">
        <v>1</v>
      </c>
      <c r="DF12" s="197">
        <v>0</v>
      </c>
      <c r="DG12" s="197">
        <v>0.8</v>
      </c>
      <c r="DH12" s="197">
        <v>1</v>
      </c>
      <c r="DI12" s="197">
        <v>2</v>
      </c>
      <c r="DJ12" s="186">
        <v>1</v>
      </c>
      <c r="DK12" s="197">
        <v>0</v>
      </c>
      <c r="DL12" s="197">
        <v>0</v>
      </c>
      <c r="DM12" s="197">
        <v>0</v>
      </c>
      <c r="DN12" s="197">
        <v>2</v>
      </c>
      <c r="DO12" s="186">
        <v>1</v>
      </c>
      <c r="DP12" s="197">
        <v>0</v>
      </c>
      <c r="DQ12" s="197">
        <v>0.8</v>
      </c>
      <c r="DR12" s="197">
        <v>1</v>
      </c>
      <c r="DS12" s="197">
        <v>2</v>
      </c>
      <c r="DT12" s="186">
        <v>1</v>
      </c>
      <c r="DU12" s="197">
        <v>0</v>
      </c>
      <c r="DV12" s="197">
        <v>0.8</v>
      </c>
      <c r="DW12" s="197">
        <v>1</v>
      </c>
      <c r="DX12" s="197">
        <v>2</v>
      </c>
      <c r="DY12" s="186">
        <v>1</v>
      </c>
      <c r="DZ12" s="197">
        <v>0</v>
      </c>
      <c r="EA12" s="197">
        <v>0</v>
      </c>
      <c r="EB12" s="197">
        <v>0</v>
      </c>
      <c r="EC12" s="197">
        <v>2</v>
      </c>
      <c r="ED12" s="186">
        <v>1</v>
      </c>
      <c r="EE12" s="197">
        <v>0</v>
      </c>
      <c r="EF12" s="197">
        <v>0.8</v>
      </c>
      <c r="EG12" s="197">
        <v>1</v>
      </c>
      <c r="EH12" s="197">
        <v>2</v>
      </c>
      <c r="EI12" s="186">
        <v>1</v>
      </c>
      <c r="EJ12" s="197">
        <v>0</v>
      </c>
      <c r="EK12" s="197">
        <v>0.8</v>
      </c>
      <c r="EL12" s="197">
        <v>1</v>
      </c>
      <c r="EM12" s="197">
        <v>2</v>
      </c>
      <c r="EN12" s="186">
        <v>1</v>
      </c>
      <c r="EO12" s="197">
        <v>0</v>
      </c>
      <c r="EP12" s="197">
        <v>0</v>
      </c>
      <c r="EQ12" s="197">
        <v>0</v>
      </c>
      <c r="ER12" s="197">
        <v>2</v>
      </c>
      <c r="ES12" s="186">
        <v>1</v>
      </c>
      <c r="ET12" s="197">
        <v>0</v>
      </c>
      <c r="EU12" s="197">
        <v>0.8</v>
      </c>
      <c r="EV12" s="197">
        <v>1</v>
      </c>
      <c r="EW12" s="197">
        <v>2</v>
      </c>
      <c r="EX12" s="186">
        <v>1</v>
      </c>
      <c r="EY12" s="197">
        <v>0</v>
      </c>
      <c r="EZ12" s="197">
        <v>0.8</v>
      </c>
      <c r="FA12" s="197">
        <v>1</v>
      </c>
      <c r="FB12" s="197">
        <v>2</v>
      </c>
      <c r="FC12" s="186">
        <v>1</v>
      </c>
      <c r="FD12" s="197">
        <v>0</v>
      </c>
      <c r="FE12" s="197">
        <v>0</v>
      </c>
      <c r="FF12" s="197">
        <v>0</v>
      </c>
      <c r="FG12" s="197">
        <v>2</v>
      </c>
      <c r="FH12" s="186">
        <v>1</v>
      </c>
      <c r="FI12" s="197">
        <v>0</v>
      </c>
      <c r="FJ12" s="197">
        <v>0.8</v>
      </c>
      <c r="FK12" s="197">
        <v>1</v>
      </c>
      <c r="FL12" s="197">
        <v>2</v>
      </c>
      <c r="FM12" s="186">
        <v>1</v>
      </c>
      <c r="FN12" s="197">
        <v>0</v>
      </c>
      <c r="FO12" s="197">
        <v>0.8</v>
      </c>
      <c r="FP12" s="197">
        <v>1</v>
      </c>
      <c r="FQ12" s="197">
        <v>2</v>
      </c>
      <c r="FR12" s="186">
        <v>1</v>
      </c>
      <c r="FS12" s="197">
        <v>0</v>
      </c>
      <c r="FT12" s="197">
        <v>0</v>
      </c>
      <c r="FU12" s="197">
        <v>0</v>
      </c>
      <c r="FV12" s="197">
        <v>2</v>
      </c>
      <c r="FW12" s="186">
        <v>1</v>
      </c>
      <c r="FX12" s="197">
        <v>0</v>
      </c>
      <c r="FY12" s="197">
        <v>0.8</v>
      </c>
      <c r="FZ12" s="197">
        <v>1</v>
      </c>
      <c r="GA12" s="197">
        <v>2</v>
      </c>
      <c r="GB12" s="186">
        <v>1</v>
      </c>
      <c r="GC12" s="197">
        <v>0</v>
      </c>
      <c r="GD12" s="197">
        <v>0.8</v>
      </c>
      <c r="GE12" s="197">
        <v>1</v>
      </c>
      <c r="GF12" s="197">
        <v>2</v>
      </c>
      <c r="GG12" s="186">
        <v>1</v>
      </c>
      <c r="GH12" s="197">
        <v>0</v>
      </c>
      <c r="GI12" s="197">
        <v>0</v>
      </c>
      <c r="GJ12" s="197">
        <v>0</v>
      </c>
      <c r="GK12" s="197">
        <v>2</v>
      </c>
      <c r="GL12" s="186">
        <v>1</v>
      </c>
      <c r="GM12" s="197">
        <v>0</v>
      </c>
      <c r="GN12" s="197">
        <v>0.8</v>
      </c>
      <c r="GO12" s="197">
        <v>1</v>
      </c>
      <c r="GP12" s="198">
        <v>2</v>
      </c>
      <c r="GQ12" s="186">
        <v>1</v>
      </c>
    </row>
    <row r="13" spans="1:199">
      <c r="A13" s="195"/>
      <c r="B13" s="188"/>
      <c r="C13" s="188" t="s">
        <v>303</v>
      </c>
      <c r="D13" s="188" t="s">
        <v>238</v>
      </c>
      <c r="E13" s="190">
        <v>0</v>
      </c>
      <c r="F13" s="193">
        <v>0.8</v>
      </c>
      <c r="G13" s="201">
        <v>1</v>
      </c>
      <c r="H13" s="201">
        <v>1.2</v>
      </c>
      <c r="I13" s="383">
        <v>1</v>
      </c>
      <c r="J13" s="383">
        <v>0</v>
      </c>
      <c r="K13" s="201">
        <v>0.8</v>
      </c>
      <c r="L13" s="201">
        <v>1</v>
      </c>
      <c r="M13" s="201">
        <v>1.2</v>
      </c>
      <c r="N13" s="383">
        <v>1</v>
      </c>
      <c r="O13" s="383">
        <v>0</v>
      </c>
      <c r="P13" s="201">
        <v>0.8</v>
      </c>
      <c r="Q13" s="201">
        <v>1</v>
      </c>
      <c r="R13" s="202">
        <v>1.2</v>
      </c>
      <c r="S13" s="382">
        <v>1</v>
      </c>
      <c r="T13" s="190">
        <v>0</v>
      </c>
      <c r="U13" s="193">
        <v>0.8</v>
      </c>
      <c r="V13" s="201">
        <v>1</v>
      </c>
      <c r="W13" s="201">
        <v>1.2</v>
      </c>
      <c r="X13" s="382">
        <v>1</v>
      </c>
      <c r="Y13" s="200">
        <v>0</v>
      </c>
      <c r="Z13" s="201">
        <v>0.8</v>
      </c>
      <c r="AA13" s="201">
        <v>1</v>
      </c>
      <c r="AB13" s="201">
        <v>1.2</v>
      </c>
      <c r="AC13" s="382">
        <v>1</v>
      </c>
      <c r="AD13" s="200">
        <v>0</v>
      </c>
      <c r="AE13" s="201">
        <v>0.8</v>
      </c>
      <c r="AF13" s="201">
        <v>1</v>
      </c>
      <c r="AG13" s="383">
        <v>1.2</v>
      </c>
      <c r="AH13" s="383">
        <v>1</v>
      </c>
      <c r="AI13" s="383">
        <v>0</v>
      </c>
      <c r="AJ13" s="383">
        <v>0.8</v>
      </c>
      <c r="AK13" s="201">
        <v>1</v>
      </c>
      <c r="AL13" s="201">
        <v>1.2</v>
      </c>
      <c r="AM13" s="383">
        <v>1</v>
      </c>
      <c r="AN13" s="383">
        <v>0</v>
      </c>
      <c r="AO13" s="201">
        <v>0.8</v>
      </c>
      <c r="AP13" s="201">
        <v>1</v>
      </c>
      <c r="AQ13" s="201">
        <v>1.2</v>
      </c>
      <c r="AR13" s="382">
        <v>1</v>
      </c>
      <c r="AS13" s="200">
        <v>0</v>
      </c>
      <c r="AT13" s="201">
        <v>0.8</v>
      </c>
      <c r="AU13" s="201">
        <v>1</v>
      </c>
      <c r="AV13" s="193">
        <v>1.2</v>
      </c>
      <c r="AW13" s="382">
        <v>1</v>
      </c>
      <c r="AX13" s="193">
        <v>0</v>
      </c>
      <c r="AY13" s="193">
        <v>0.8</v>
      </c>
      <c r="AZ13" s="193">
        <v>1</v>
      </c>
      <c r="BA13" s="193">
        <v>1.2</v>
      </c>
      <c r="BB13" s="382">
        <v>1</v>
      </c>
      <c r="BC13" s="193">
        <v>0</v>
      </c>
      <c r="BD13" s="193">
        <v>0.8</v>
      </c>
      <c r="BE13" s="193">
        <v>1</v>
      </c>
      <c r="BF13" s="193">
        <v>1.2</v>
      </c>
      <c r="BG13" s="382">
        <v>1</v>
      </c>
      <c r="BH13" s="193">
        <v>0</v>
      </c>
      <c r="BI13" s="193">
        <v>0.8</v>
      </c>
      <c r="BJ13" s="193">
        <v>1</v>
      </c>
      <c r="BK13" s="193">
        <v>1.2</v>
      </c>
      <c r="BL13" s="382">
        <v>1</v>
      </c>
      <c r="BM13" s="193">
        <v>0</v>
      </c>
      <c r="BN13" s="193">
        <v>0.8</v>
      </c>
      <c r="BO13" s="193">
        <v>1</v>
      </c>
      <c r="BP13" s="193">
        <v>1.2</v>
      </c>
      <c r="BQ13" s="382">
        <v>1</v>
      </c>
      <c r="BR13" s="193">
        <v>0</v>
      </c>
      <c r="BS13" s="193">
        <v>0.8</v>
      </c>
      <c r="BT13" s="193">
        <v>1</v>
      </c>
      <c r="BU13" s="193">
        <v>1.2</v>
      </c>
      <c r="BV13" s="382">
        <v>1</v>
      </c>
      <c r="BW13" s="193">
        <v>0</v>
      </c>
      <c r="BX13" s="193">
        <v>0.8</v>
      </c>
      <c r="BY13" s="193">
        <v>1</v>
      </c>
      <c r="BZ13" s="193">
        <v>1.2</v>
      </c>
      <c r="CA13" s="382">
        <v>1</v>
      </c>
      <c r="CB13" s="193">
        <v>0</v>
      </c>
      <c r="CC13" s="193">
        <v>0.8</v>
      </c>
      <c r="CD13" s="193">
        <v>1</v>
      </c>
      <c r="CE13" s="193">
        <v>1.2</v>
      </c>
      <c r="CF13" s="382">
        <v>1</v>
      </c>
      <c r="CG13" s="193">
        <v>0</v>
      </c>
      <c r="CH13" s="193">
        <v>0.8</v>
      </c>
      <c r="CI13" s="193">
        <v>1</v>
      </c>
      <c r="CJ13" s="193">
        <v>1.2</v>
      </c>
      <c r="CK13" s="382">
        <v>1</v>
      </c>
      <c r="CL13" s="193">
        <v>0</v>
      </c>
      <c r="CM13" s="193">
        <v>0.8</v>
      </c>
      <c r="CN13" s="193">
        <v>1</v>
      </c>
      <c r="CO13" s="193">
        <v>1.2</v>
      </c>
      <c r="CP13" s="382">
        <v>1</v>
      </c>
      <c r="CQ13" s="193">
        <v>0</v>
      </c>
      <c r="CR13" s="193">
        <v>0.8</v>
      </c>
      <c r="CS13" s="193">
        <v>1</v>
      </c>
      <c r="CT13" s="193">
        <v>1.2</v>
      </c>
      <c r="CU13" s="382">
        <v>1</v>
      </c>
      <c r="CV13" s="193">
        <v>0</v>
      </c>
      <c r="CW13" s="193">
        <v>0.8</v>
      </c>
      <c r="CX13" s="193">
        <v>1</v>
      </c>
      <c r="CY13" s="193">
        <v>1.2</v>
      </c>
      <c r="CZ13" s="382">
        <v>1</v>
      </c>
      <c r="DA13" s="193">
        <v>0</v>
      </c>
      <c r="DB13" s="193">
        <v>0.8</v>
      </c>
      <c r="DC13" s="193">
        <v>1</v>
      </c>
      <c r="DD13" s="193">
        <v>1.2</v>
      </c>
      <c r="DE13" s="382">
        <v>1</v>
      </c>
      <c r="DF13" s="193">
        <v>0</v>
      </c>
      <c r="DG13" s="193">
        <v>0.8</v>
      </c>
      <c r="DH13" s="193">
        <v>1</v>
      </c>
      <c r="DI13" s="193">
        <v>1.2</v>
      </c>
      <c r="DJ13" s="382">
        <v>1</v>
      </c>
      <c r="DK13" s="193">
        <v>0</v>
      </c>
      <c r="DL13" s="193">
        <v>0.8</v>
      </c>
      <c r="DM13" s="193">
        <v>1</v>
      </c>
      <c r="DN13" s="193">
        <v>1.2</v>
      </c>
      <c r="DO13" s="382">
        <v>1</v>
      </c>
      <c r="DP13" s="193">
        <v>0</v>
      </c>
      <c r="DQ13" s="193">
        <v>0.8</v>
      </c>
      <c r="DR13" s="193">
        <v>1</v>
      </c>
      <c r="DS13" s="193">
        <v>1.2</v>
      </c>
      <c r="DT13" s="382">
        <v>1</v>
      </c>
      <c r="DU13" s="193">
        <v>0</v>
      </c>
      <c r="DV13" s="193">
        <v>0.8</v>
      </c>
      <c r="DW13" s="193">
        <v>1</v>
      </c>
      <c r="DX13" s="193">
        <v>1.2</v>
      </c>
      <c r="DY13" s="382">
        <v>1</v>
      </c>
      <c r="DZ13" s="193">
        <v>0</v>
      </c>
      <c r="EA13" s="193">
        <v>0.8</v>
      </c>
      <c r="EB13" s="193">
        <v>1</v>
      </c>
      <c r="EC13" s="193">
        <v>1.2</v>
      </c>
      <c r="ED13" s="382">
        <v>1</v>
      </c>
      <c r="EE13" s="193">
        <v>0</v>
      </c>
      <c r="EF13" s="193">
        <v>0.8</v>
      </c>
      <c r="EG13" s="193">
        <v>1</v>
      </c>
      <c r="EH13" s="193">
        <v>1.2</v>
      </c>
      <c r="EI13" s="382">
        <v>1</v>
      </c>
      <c r="EJ13" s="193">
        <v>0</v>
      </c>
      <c r="EK13" s="193">
        <v>0.8</v>
      </c>
      <c r="EL13" s="193">
        <v>1</v>
      </c>
      <c r="EM13" s="193">
        <v>1.2</v>
      </c>
      <c r="EN13" s="382">
        <v>1</v>
      </c>
      <c r="EO13" s="193">
        <v>0</v>
      </c>
      <c r="EP13" s="193">
        <v>0.8</v>
      </c>
      <c r="EQ13" s="193">
        <v>1</v>
      </c>
      <c r="ER13" s="193">
        <v>1.2</v>
      </c>
      <c r="ES13" s="382">
        <v>1</v>
      </c>
      <c r="ET13" s="193">
        <v>0</v>
      </c>
      <c r="EU13" s="193">
        <v>0.8</v>
      </c>
      <c r="EV13" s="193">
        <v>1</v>
      </c>
      <c r="EW13" s="193">
        <v>1.2</v>
      </c>
      <c r="EX13" s="382">
        <v>1</v>
      </c>
      <c r="EY13" s="193">
        <v>0</v>
      </c>
      <c r="EZ13" s="193">
        <v>0.8</v>
      </c>
      <c r="FA13" s="193">
        <v>1</v>
      </c>
      <c r="FB13" s="193">
        <v>1.2</v>
      </c>
      <c r="FC13" s="382">
        <v>1</v>
      </c>
      <c r="FD13" s="193">
        <v>0</v>
      </c>
      <c r="FE13" s="193">
        <v>0.8</v>
      </c>
      <c r="FF13" s="193">
        <v>1</v>
      </c>
      <c r="FG13" s="193">
        <v>1.2</v>
      </c>
      <c r="FH13" s="382">
        <v>1</v>
      </c>
      <c r="FI13" s="193">
        <v>0</v>
      </c>
      <c r="FJ13" s="193">
        <v>0.8</v>
      </c>
      <c r="FK13" s="193">
        <v>1</v>
      </c>
      <c r="FL13" s="193">
        <v>1.2</v>
      </c>
      <c r="FM13" s="382">
        <v>1</v>
      </c>
      <c r="FN13" s="193">
        <v>0</v>
      </c>
      <c r="FO13" s="193">
        <v>0.8</v>
      </c>
      <c r="FP13" s="193">
        <v>1</v>
      </c>
      <c r="FQ13" s="193">
        <v>1.2</v>
      </c>
      <c r="FR13" s="382">
        <v>1</v>
      </c>
      <c r="FS13" s="193">
        <v>0</v>
      </c>
      <c r="FT13" s="193">
        <v>0.8</v>
      </c>
      <c r="FU13" s="193">
        <v>1</v>
      </c>
      <c r="FV13" s="193">
        <v>1.2</v>
      </c>
      <c r="FW13" s="382">
        <v>1</v>
      </c>
      <c r="FX13" s="193">
        <v>0</v>
      </c>
      <c r="FY13" s="193">
        <v>0.8</v>
      </c>
      <c r="FZ13" s="193">
        <v>1</v>
      </c>
      <c r="GA13" s="193">
        <v>1.2</v>
      </c>
      <c r="GB13" s="382">
        <v>1</v>
      </c>
      <c r="GC13" s="193">
        <v>0</v>
      </c>
      <c r="GD13" s="193">
        <v>0.8</v>
      </c>
      <c r="GE13" s="193">
        <v>1</v>
      </c>
      <c r="GF13" s="193">
        <v>1.2</v>
      </c>
      <c r="GG13" s="382">
        <v>1</v>
      </c>
      <c r="GH13" s="193">
        <v>0</v>
      </c>
      <c r="GI13" s="193">
        <v>0.8</v>
      </c>
      <c r="GJ13" s="193">
        <v>1</v>
      </c>
      <c r="GK13" s="193">
        <v>1.2</v>
      </c>
      <c r="GL13" s="382">
        <v>1</v>
      </c>
      <c r="GM13" s="193">
        <v>0</v>
      </c>
      <c r="GN13" s="193">
        <v>0.8</v>
      </c>
      <c r="GO13" s="193">
        <v>1</v>
      </c>
      <c r="GP13" s="187">
        <v>1.2</v>
      </c>
      <c r="GQ13" s="382">
        <v>1</v>
      </c>
    </row>
    <row r="14" spans="1:199">
      <c r="A14" s="195"/>
      <c r="B14" s="188"/>
      <c r="C14" s="188"/>
      <c r="D14" s="188" t="s">
        <v>965</v>
      </c>
      <c r="E14" s="190">
        <v>0</v>
      </c>
      <c r="F14" s="193">
        <v>0.9</v>
      </c>
      <c r="G14" s="201">
        <v>1</v>
      </c>
      <c r="H14" s="201">
        <v>1.1000000000000001</v>
      </c>
      <c r="I14" s="383">
        <v>1</v>
      </c>
      <c r="J14" s="383">
        <v>0</v>
      </c>
      <c r="K14" s="201">
        <v>0.9</v>
      </c>
      <c r="L14" s="201">
        <v>1</v>
      </c>
      <c r="M14" s="201">
        <v>1.1000000000000001</v>
      </c>
      <c r="N14" s="383">
        <v>1</v>
      </c>
      <c r="O14" s="383">
        <v>0</v>
      </c>
      <c r="P14" s="201">
        <v>0.9</v>
      </c>
      <c r="Q14" s="201">
        <v>1</v>
      </c>
      <c r="R14" s="202">
        <v>1.1000000000000001</v>
      </c>
      <c r="S14" s="382">
        <v>1</v>
      </c>
      <c r="T14" s="190">
        <v>0</v>
      </c>
      <c r="U14" s="193">
        <v>0.9</v>
      </c>
      <c r="V14" s="201">
        <v>1</v>
      </c>
      <c r="W14" s="201">
        <v>1.1000000000000001</v>
      </c>
      <c r="X14" s="382">
        <v>1</v>
      </c>
      <c r="Y14" s="200">
        <v>0</v>
      </c>
      <c r="Z14" s="201">
        <v>0.9</v>
      </c>
      <c r="AA14" s="201">
        <v>1</v>
      </c>
      <c r="AB14" s="201">
        <v>1.1000000000000001</v>
      </c>
      <c r="AC14" s="382">
        <v>1</v>
      </c>
      <c r="AD14" s="200">
        <v>0</v>
      </c>
      <c r="AE14" s="201">
        <v>0.9</v>
      </c>
      <c r="AF14" s="201">
        <v>1</v>
      </c>
      <c r="AG14" s="383">
        <v>1.1000000000000001</v>
      </c>
      <c r="AH14" s="383">
        <v>1</v>
      </c>
      <c r="AI14" s="383">
        <v>0</v>
      </c>
      <c r="AJ14" s="383">
        <v>0.9</v>
      </c>
      <c r="AK14" s="201">
        <v>1</v>
      </c>
      <c r="AL14" s="201">
        <v>1.1000000000000001</v>
      </c>
      <c r="AM14" s="383">
        <v>1</v>
      </c>
      <c r="AN14" s="383">
        <v>0</v>
      </c>
      <c r="AO14" s="201">
        <v>0.9</v>
      </c>
      <c r="AP14" s="201">
        <v>1</v>
      </c>
      <c r="AQ14" s="201">
        <v>1.1000000000000001</v>
      </c>
      <c r="AR14" s="382">
        <v>1</v>
      </c>
      <c r="AS14" s="200">
        <v>0</v>
      </c>
      <c r="AT14" s="201">
        <v>0.9</v>
      </c>
      <c r="AU14" s="201">
        <v>1</v>
      </c>
      <c r="AV14" s="193">
        <v>1.1000000000000001</v>
      </c>
      <c r="AW14" s="382">
        <v>1</v>
      </c>
      <c r="AX14" s="193">
        <v>0</v>
      </c>
      <c r="AY14" s="193">
        <v>0.9</v>
      </c>
      <c r="AZ14" s="193">
        <v>1</v>
      </c>
      <c r="BA14" s="193">
        <v>1.1000000000000001</v>
      </c>
      <c r="BB14" s="382">
        <v>1</v>
      </c>
      <c r="BC14" s="193">
        <v>0</v>
      </c>
      <c r="BD14" s="193">
        <v>0.9</v>
      </c>
      <c r="BE14" s="193">
        <v>1</v>
      </c>
      <c r="BF14" s="193">
        <v>1.1000000000000001</v>
      </c>
      <c r="BG14" s="382">
        <v>1</v>
      </c>
      <c r="BH14" s="193">
        <v>0</v>
      </c>
      <c r="BI14" s="193">
        <v>0.9</v>
      </c>
      <c r="BJ14" s="193">
        <v>1</v>
      </c>
      <c r="BK14" s="193">
        <v>1.1000000000000001</v>
      </c>
      <c r="BL14" s="382">
        <v>1</v>
      </c>
      <c r="BM14" s="193">
        <v>0</v>
      </c>
      <c r="BN14" s="193">
        <v>0.9</v>
      </c>
      <c r="BO14" s="193">
        <v>1</v>
      </c>
      <c r="BP14" s="193">
        <v>1.1000000000000001</v>
      </c>
      <c r="BQ14" s="382">
        <v>1</v>
      </c>
      <c r="BR14" s="193">
        <v>0</v>
      </c>
      <c r="BS14" s="193">
        <v>0.9</v>
      </c>
      <c r="BT14" s="193">
        <v>1</v>
      </c>
      <c r="BU14" s="193">
        <v>1.1000000000000001</v>
      </c>
      <c r="BV14" s="382">
        <v>1</v>
      </c>
      <c r="BW14" s="193">
        <v>0</v>
      </c>
      <c r="BX14" s="193">
        <v>0.9</v>
      </c>
      <c r="BY14" s="193">
        <v>1</v>
      </c>
      <c r="BZ14" s="193">
        <v>1.1000000000000001</v>
      </c>
      <c r="CA14" s="382">
        <v>1</v>
      </c>
      <c r="CB14" s="193">
        <v>0</v>
      </c>
      <c r="CC14" s="193">
        <v>0.9</v>
      </c>
      <c r="CD14" s="193">
        <v>1</v>
      </c>
      <c r="CE14" s="193">
        <v>1.1000000000000001</v>
      </c>
      <c r="CF14" s="382">
        <v>1</v>
      </c>
      <c r="CG14" s="193">
        <v>0</v>
      </c>
      <c r="CH14" s="193">
        <v>0.9</v>
      </c>
      <c r="CI14" s="193">
        <v>1</v>
      </c>
      <c r="CJ14" s="193">
        <v>1.1000000000000001</v>
      </c>
      <c r="CK14" s="382">
        <v>1</v>
      </c>
      <c r="CL14" s="193">
        <v>0</v>
      </c>
      <c r="CM14" s="193">
        <v>0.9</v>
      </c>
      <c r="CN14" s="193">
        <v>1</v>
      </c>
      <c r="CO14" s="193">
        <v>1.1000000000000001</v>
      </c>
      <c r="CP14" s="382">
        <v>1</v>
      </c>
      <c r="CQ14" s="193">
        <v>0</v>
      </c>
      <c r="CR14" s="193">
        <v>0.9</v>
      </c>
      <c r="CS14" s="193">
        <v>1</v>
      </c>
      <c r="CT14" s="193">
        <v>1.1000000000000001</v>
      </c>
      <c r="CU14" s="382">
        <v>1</v>
      </c>
      <c r="CV14" s="193">
        <v>0</v>
      </c>
      <c r="CW14" s="193">
        <v>0.9</v>
      </c>
      <c r="CX14" s="193">
        <v>1</v>
      </c>
      <c r="CY14" s="193">
        <v>1.1000000000000001</v>
      </c>
      <c r="CZ14" s="382">
        <v>1</v>
      </c>
      <c r="DA14" s="193">
        <v>0</v>
      </c>
      <c r="DB14" s="193">
        <v>0.9</v>
      </c>
      <c r="DC14" s="193">
        <v>1</v>
      </c>
      <c r="DD14" s="193">
        <v>1.1000000000000001</v>
      </c>
      <c r="DE14" s="382">
        <v>1</v>
      </c>
      <c r="DF14" s="193">
        <v>0</v>
      </c>
      <c r="DG14" s="193">
        <v>0.9</v>
      </c>
      <c r="DH14" s="193">
        <v>1</v>
      </c>
      <c r="DI14" s="193">
        <v>1.1000000000000001</v>
      </c>
      <c r="DJ14" s="382">
        <v>1</v>
      </c>
      <c r="DK14" s="193">
        <v>0</v>
      </c>
      <c r="DL14" s="193">
        <v>0.9</v>
      </c>
      <c r="DM14" s="193">
        <v>1</v>
      </c>
      <c r="DN14" s="193">
        <v>1.1000000000000001</v>
      </c>
      <c r="DO14" s="382">
        <v>1</v>
      </c>
      <c r="DP14" s="193">
        <v>0</v>
      </c>
      <c r="DQ14" s="193">
        <v>0.9</v>
      </c>
      <c r="DR14" s="193">
        <v>1</v>
      </c>
      <c r="DS14" s="193">
        <v>1.1000000000000001</v>
      </c>
      <c r="DT14" s="382">
        <v>1</v>
      </c>
      <c r="DU14" s="193">
        <v>0</v>
      </c>
      <c r="DV14" s="193">
        <v>0.9</v>
      </c>
      <c r="DW14" s="193">
        <v>1</v>
      </c>
      <c r="DX14" s="193">
        <v>1.1000000000000001</v>
      </c>
      <c r="DY14" s="382">
        <v>1</v>
      </c>
      <c r="DZ14" s="193">
        <v>0</v>
      </c>
      <c r="EA14" s="193">
        <v>0.9</v>
      </c>
      <c r="EB14" s="193">
        <v>1</v>
      </c>
      <c r="EC14" s="193">
        <v>1.1000000000000001</v>
      </c>
      <c r="ED14" s="382">
        <v>1</v>
      </c>
      <c r="EE14" s="193">
        <v>0</v>
      </c>
      <c r="EF14" s="193">
        <v>0.9</v>
      </c>
      <c r="EG14" s="193">
        <v>1</v>
      </c>
      <c r="EH14" s="193">
        <v>1.1000000000000001</v>
      </c>
      <c r="EI14" s="382">
        <v>1</v>
      </c>
      <c r="EJ14" s="193">
        <v>0</v>
      </c>
      <c r="EK14" s="193">
        <v>0.9</v>
      </c>
      <c r="EL14" s="193">
        <v>1</v>
      </c>
      <c r="EM14" s="193">
        <v>1.1000000000000001</v>
      </c>
      <c r="EN14" s="382">
        <v>1</v>
      </c>
      <c r="EO14" s="193">
        <v>0</v>
      </c>
      <c r="EP14" s="193">
        <v>0.9</v>
      </c>
      <c r="EQ14" s="193">
        <v>1</v>
      </c>
      <c r="ER14" s="193">
        <v>1.1000000000000001</v>
      </c>
      <c r="ES14" s="382">
        <v>1</v>
      </c>
      <c r="ET14" s="193">
        <v>0</v>
      </c>
      <c r="EU14" s="193">
        <v>0.9</v>
      </c>
      <c r="EV14" s="193">
        <v>1</v>
      </c>
      <c r="EW14" s="193">
        <v>1.1000000000000001</v>
      </c>
      <c r="EX14" s="382">
        <v>1</v>
      </c>
      <c r="EY14" s="193">
        <v>0</v>
      </c>
      <c r="EZ14" s="193">
        <v>0.9</v>
      </c>
      <c r="FA14" s="193">
        <v>1</v>
      </c>
      <c r="FB14" s="193">
        <v>1.1000000000000001</v>
      </c>
      <c r="FC14" s="382">
        <v>1</v>
      </c>
      <c r="FD14" s="193">
        <v>0</v>
      </c>
      <c r="FE14" s="193">
        <v>0.9</v>
      </c>
      <c r="FF14" s="193">
        <v>1</v>
      </c>
      <c r="FG14" s="193">
        <v>1.1000000000000001</v>
      </c>
      <c r="FH14" s="382">
        <v>1</v>
      </c>
      <c r="FI14" s="193">
        <v>0</v>
      </c>
      <c r="FJ14" s="193">
        <v>0.9</v>
      </c>
      <c r="FK14" s="193">
        <v>1</v>
      </c>
      <c r="FL14" s="193">
        <v>1.1000000000000001</v>
      </c>
      <c r="FM14" s="382">
        <v>1</v>
      </c>
      <c r="FN14" s="193">
        <v>0</v>
      </c>
      <c r="FO14" s="193">
        <v>0.9</v>
      </c>
      <c r="FP14" s="193">
        <v>1</v>
      </c>
      <c r="FQ14" s="193">
        <v>1.1000000000000001</v>
      </c>
      <c r="FR14" s="382">
        <v>1</v>
      </c>
      <c r="FS14" s="193">
        <v>0</v>
      </c>
      <c r="FT14" s="193">
        <v>0.9</v>
      </c>
      <c r="FU14" s="193">
        <v>1</v>
      </c>
      <c r="FV14" s="193">
        <v>1.1000000000000001</v>
      </c>
      <c r="FW14" s="382">
        <v>1</v>
      </c>
      <c r="FX14" s="193">
        <v>0</v>
      </c>
      <c r="FY14" s="193">
        <v>0.9</v>
      </c>
      <c r="FZ14" s="193">
        <v>1</v>
      </c>
      <c r="GA14" s="193">
        <v>1.1000000000000001</v>
      </c>
      <c r="GB14" s="382">
        <v>1</v>
      </c>
      <c r="GC14" s="193">
        <v>0</v>
      </c>
      <c r="GD14" s="193">
        <v>0.9</v>
      </c>
      <c r="GE14" s="193">
        <v>1</v>
      </c>
      <c r="GF14" s="193">
        <v>1.1000000000000001</v>
      </c>
      <c r="GG14" s="382">
        <v>1</v>
      </c>
      <c r="GH14" s="193">
        <v>0</v>
      </c>
      <c r="GI14" s="193">
        <v>0.9</v>
      </c>
      <c r="GJ14" s="193">
        <v>1</v>
      </c>
      <c r="GK14" s="193">
        <v>1.1000000000000001</v>
      </c>
      <c r="GL14" s="382">
        <v>1</v>
      </c>
      <c r="GM14" s="193">
        <v>0</v>
      </c>
      <c r="GN14" s="193">
        <v>0.9</v>
      </c>
      <c r="GO14" s="193">
        <v>1</v>
      </c>
      <c r="GP14" s="187">
        <v>1.1000000000000001</v>
      </c>
      <c r="GQ14" s="382">
        <v>1</v>
      </c>
    </row>
    <row r="15" spans="1:199">
      <c r="A15" s="195"/>
      <c r="B15" s="188"/>
      <c r="C15" s="188"/>
      <c r="D15" s="188" t="s">
        <v>966</v>
      </c>
      <c r="E15" s="190">
        <v>0</v>
      </c>
      <c r="F15" s="193">
        <v>0.8</v>
      </c>
      <c r="G15" s="201">
        <v>1</v>
      </c>
      <c r="H15" s="201">
        <v>1.2</v>
      </c>
      <c r="I15" s="383">
        <v>1</v>
      </c>
      <c r="J15" s="383">
        <v>0</v>
      </c>
      <c r="K15" s="201">
        <v>0.8</v>
      </c>
      <c r="L15" s="201">
        <v>1</v>
      </c>
      <c r="M15" s="201">
        <v>1.2</v>
      </c>
      <c r="N15" s="383">
        <v>1</v>
      </c>
      <c r="O15" s="383">
        <v>0</v>
      </c>
      <c r="P15" s="201">
        <v>0.8</v>
      </c>
      <c r="Q15" s="201">
        <v>1</v>
      </c>
      <c r="R15" s="202">
        <v>1.2</v>
      </c>
      <c r="S15" s="382">
        <v>1</v>
      </c>
      <c r="T15" s="190">
        <v>0</v>
      </c>
      <c r="U15" s="193">
        <v>0.8</v>
      </c>
      <c r="V15" s="201">
        <v>1</v>
      </c>
      <c r="W15" s="201">
        <v>1.2</v>
      </c>
      <c r="X15" s="382">
        <v>1</v>
      </c>
      <c r="Y15" s="200">
        <v>0</v>
      </c>
      <c r="Z15" s="201">
        <v>0.8</v>
      </c>
      <c r="AA15" s="201">
        <v>1</v>
      </c>
      <c r="AB15" s="201">
        <v>1.2</v>
      </c>
      <c r="AC15" s="382">
        <v>1</v>
      </c>
      <c r="AD15" s="200">
        <v>0</v>
      </c>
      <c r="AE15" s="201">
        <v>0.8</v>
      </c>
      <c r="AF15" s="201">
        <v>1</v>
      </c>
      <c r="AG15" s="383">
        <v>1.2</v>
      </c>
      <c r="AH15" s="383">
        <v>1</v>
      </c>
      <c r="AI15" s="383">
        <v>0</v>
      </c>
      <c r="AJ15" s="383">
        <v>0.8</v>
      </c>
      <c r="AK15" s="201">
        <v>1</v>
      </c>
      <c r="AL15" s="201">
        <v>1.2</v>
      </c>
      <c r="AM15" s="383">
        <v>1</v>
      </c>
      <c r="AN15" s="383">
        <v>0</v>
      </c>
      <c r="AO15" s="201">
        <v>0.8</v>
      </c>
      <c r="AP15" s="201">
        <v>1</v>
      </c>
      <c r="AQ15" s="201">
        <v>1.2</v>
      </c>
      <c r="AR15" s="382">
        <v>1</v>
      </c>
      <c r="AS15" s="200">
        <v>0</v>
      </c>
      <c r="AT15" s="201">
        <v>0.8</v>
      </c>
      <c r="AU15" s="201">
        <v>1</v>
      </c>
      <c r="AV15" s="193">
        <v>1.2</v>
      </c>
      <c r="AW15" s="382">
        <v>1</v>
      </c>
      <c r="AX15" s="193">
        <v>0</v>
      </c>
      <c r="AY15" s="193">
        <v>0.8</v>
      </c>
      <c r="AZ15" s="193">
        <v>1</v>
      </c>
      <c r="BA15" s="193">
        <v>1.2</v>
      </c>
      <c r="BB15" s="382">
        <v>1</v>
      </c>
      <c r="BC15" s="193">
        <v>0</v>
      </c>
      <c r="BD15" s="193">
        <v>0.8</v>
      </c>
      <c r="BE15" s="193">
        <v>1</v>
      </c>
      <c r="BF15" s="193">
        <v>1.2</v>
      </c>
      <c r="BG15" s="382">
        <v>1</v>
      </c>
      <c r="BH15" s="193">
        <v>0</v>
      </c>
      <c r="BI15" s="193">
        <v>0.8</v>
      </c>
      <c r="BJ15" s="193">
        <v>1</v>
      </c>
      <c r="BK15" s="193">
        <v>1.2</v>
      </c>
      <c r="BL15" s="382">
        <v>1</v>
      </c>
      <c r="BM15" s="193">
        <v>0</v>
      </c>
      <c r="BN15" s="193">
        <v>0.8</v>
      </c>
      <c r="BO15" s="193">
        <v>1</v>
      </c>
      <c r="BP15" s="193">
        <v>1.2</v>
      </c>
      <c r="BQ15" s="382">
        <v>1</v>
      </c>
      <c r="BR15" s="193">
        <v>0</v>
      </c>
      <c r="BS15" s="193">
        <v>0.8</v>
      </c>
      <c r="BT15" s="193">
        <v>1</v>
      </c>
      <c r="BU15" s="193">
        <v>1.2</v>
      </c>
      <c r="BV15" s="382">
        <v>1</v>
      </c>
      <c r="BW15" s="193">
        <v>0</v>
      </c>
      <c r="BX15" s="193">
        <v>0.8</v>
      </c>
      <c r="BY15" s="193">
        <v>1</v>
      </c>
      <c r="BZ15" s="193">
        <v>1.2</v>
      </c>
      <c r="CA15" s="382">
        <v>1</v>
      </c>
      <c r="CB15" s="193">
        <v>0</v>
      </c>
      <c r="CC15" s="193">
        <v>0.8</v>
      </c>
      <c r="CD15" s="193">
        <v>1</v>
      </c>
      <c r="CE15" s="193">
        <v>1.2</v>
      </c>
      <c r="CF15" s="382">
        <v>1</v>
      </c>
      <c r="CG15" s="193">
        <v>0</v>
      </c>
      <c r="CH15" s="193">
        <v>0.8</v>
      </c>
      <c r="CI15" s="193">
        <v>1</v>
      </c>
      <c r="CJ15" s="193">
        <v>1.2</v>
      </c>
      <c r="CK15" s="382">
        <v>1</v>
      </c>
      <c r="CL15" s="193">
        <v>0</v>
      </c>
      <c r="CM15" s="193">
        <v>0.8</v>
      </c>
      <c r="CN15" s="193">
        <v>1</v>
      </c>
      <c r="CO15" s="193">
        <v>1.2</v>
      </c>
      <c r="CP15" s="382">
        <v>1</v>
      </c>
      <c r="CQ15" s="193">
        <v>0</v>
      </c>
      <c r="CR15" s="193">
        <v>0.8</v>
      </c>
      <c r="CS15" s="193">
        <v>1</v>
      </c>
      <c r="CT15" s="193">
        <v>1.2</v>
      </c>
      <c r="CU15" s="382">
        <v>1</v>
      </c>
      <c r="CV15" s="193">
        <v>0</v>
      </c>
      <c r="CW15" s="193">
        <v>0.8</v>
      </c>
      <c r="CX15" s="193">
        <v>1</v>
      </c>
      <c r="CY15" s="193">
        <v>1.2</v>
      </c>
      <c r="CZ15" s="382">
        <v>1</v>
      </c>
      <c r="DA15" s="193">
        <v>0</v>
      </c>
      <c r="DB15" s="193">
        <v>0.8</v>
      </c>
      <c r="DC15" s="193">
        <v>1</v>
      </c>
      <c r="DD15" s="193">
        <v>1.2</v>
      </c>
      <c r="DE15" s="382">
        <v>1</v>
      </c>
      <c r="DF15" s="193">
        <v>0</v>
      </c>
      <c r="DG15" s="193">
        <v>0.8</v>
      </c>
      <c r="DH15" s="193">
        <v>1</v>
      </c>
      <c r="DI15" s="193">
        <v>1.2</v>
      </c>
      <c r="DJ15" s="382">
        <v>1</v>
      </c>
      <c r="DK15" s="193">
        <v>0</v>
      </c>
      <c r="DL15" s="193">
        <v>0.8</v>
      </c>
      <c r="DM15" s="193">
        <v>1</v>
      </c>
      <c r="DN15" s="193">
        <v>1.2</v>
      </c>
      <c r="DO15" s="382">
        <v>1</v>
      </c>
      <c r="DP15" s="193">
        <v>0</v>
      </c>
      <c r="DQ15" s="193">
        <v>0.8</v>
      </c>
      <c r="DR15" s="193">
        <v>1</v>
      </c>
      <c r="DS15" s="193">
        <v>1.2</v>
      </c>
      <c r="DT15" s="382">
        <v>1</v>
      </c>
      <c r="DU15" s="193">
        <v>0</v>
      </c>
      <c r="DV15" s="193">
        <v>0.8</v>
      </c>
      <c r="DW15" s="193">
        <v>1</v>
      </c>
      <c r="DX15" s="193">
        <v>1.2</v>
      </c>
      <c r="DY15" s="382">
        <v>1</v>
      </c>
      <c r="DZ15" s="193">
        <v>0</v>
      </c>
      <c r="EA15" s="193">
        <v>0.8</v>
      </c>
      <c r="EB15" s="193">
        <v>1</v>
      </c>
      <c r="EC15" s="193">
        <v>1.2</v>
      </c>
      <c r="ED15" s="382">
        <v>1</v>
      </c>
      <c r="EE15" s="193">
        <v>0</v>
      </c>
      <c r="EF15" s="193">
        <v>0.8</v>
      </c>
      <c r="EG15" s="193">
        <v>1</v>
      </c>
      <c r="EH15" s="193">
        <v>1.2</v>
      </c>
      <c r="EI15" s="382">
        <v>1</v>
      </c>
      <c r="EJ15" s="193">
        <v>0</v>
      </c>
      <c r="EK15" s="193">
        <v>0.8</v>
      </c>
      <c r="EL15" s="193">
        <v>1</v>
      </c>
      <c r="EM15" s="193">
        <v>1.2</v>
      </c>
      <c r="EN15" s="382">
        <v>1</v>
      </c>
      <c r="EO15" s="193">
        <v>0</v>
      </c>
      <c r="EP15" s="193">
        <v>0.8</v>
      </c>
      <c r="EQ15" s="193">
        <v>1</v>
      </c>
      <c r="ER15" s="193">
        <v>1.2</v>
      </c>
      <c r="ES15" s="382">
        <v>1</v>
      </c>
      <c r="ET15" s="193">
        <v>0</v>
      </c>
      <c r="EU15" s="193">
        <v>0.8</v>
      </c>
      <c r="EV15" s="193">
        <v>1</v>
      </c>
      <c r="EW15" s="193">
        <v>1.2</v>
      </c>
      <c r="EX15" s="382">
        <v>1</v>
      </c>
      <c r="EY15" s="193">
        <v>0</v>
      </c>
      <c r="EZ15" s="193">
        <v>0.8</v>
      </c>
      <c r="FA15" s="193">
        <v>1</v>
      </c>
      <c r="FB15" s="193">
        <v>1.2</v>
      </c>
      <c r="FC15" s="382">
        <v>1</v>
      </c>
      <c r="FD15" s="193">
        <v>0</v>
      </c>
      <c r="FE15" s="193">
        <v>0.8</v>
      </c>
      <c r="FF15" s="193">
        <v>1</v>
      </c>
      <c r="FG15" s="193">
        <v>1.2</v>
      </c>
      <c r="FH15" s="382">
        <v>1</v>
      </c>
      <c r="FI15" s="193">
        <v>0</v>
      </c>
      <c r="FJ15" s="193">
        <v>0.8</v>
      </c>
      <c r="FK15" s="193">
        <v>1</v>
      </c>
      <c r="FL15" s="193">
        <v>1.2</v>
      </c>
      <c r="FM15" s="382">
        <v>1</v>
      </c>
      <c r="FN15" s="193">
        <v>0</v>
      </c>
      <c r="FO15" s="193">
        <v>0.8</v>
      </c>
      <c r="FP15" s="193">
        <v>1</v>
      </c>
      <c r="FQ15" s="193">
        <v>1.2</v>
      </c>
      <c r="FR15" s="382">
        <v>1</v>
      </c>
      <c r="FS15" s="193">
        <v>0</v>
      </c>
      <c r="FT15" s="193">
        <v>0.8</v>
      </c>
      <c r="FU15" s="193">
        <v>1</v>
      </c>
      <c r="FV15" s="193">
        <v>1.2</v>
      </c>
      <c r="FW15" s="382">
        <v>1</v>
      </c>
      <c r="FX15" s="193">
        <v>0</v>
      </c>
      <c r="FY15" s="193">
        <v>0.8</v>
      </c>
      <c r="FZ15" s="193">
        <v>1</v>
      </c>
      <c r="GA15" s="193">
        <v>1.2</v>
      </c>
      <c r="GB15" s="382">
        <v>1</v>
      </c>
      <c r="GC15" s="193">
        <v>0</v>
      </c>
      <c r="GD15" s="193">
        <v>0.8</v>
      </c>
      <c r="GE15" s="193">
        <v>1</v>
      </c>
      <c r="GF15" s="193">
        <v>1.2</v>
      </c>
      <c r="GG15" s="382">
        <v>1</v>
      </c>
      <c r="GH15" s="193">
        <v>0</v>
      </c>
      <c r="GI15" s="193">
        <v>0.8</v>
      </c>
      <c r="GJ15" s="193">
        <v>1</v>
      </c>
      <c r="GK15" s="193">
        <v>1.2</v>
      </c>
      <c r="GL15" s="382">
        <v>1</v>
      </c>
      <c r="GM15" s="193">
        <v>0</v>
      </c>
      <c r="GN15" s="193">
        <v>0.8</v>
      </c>
      <c r="GO15" s="193">
        <v>1</v>
      </c>
      <c r="GP15" s="187">
        <v>1.2</v>
      </c>
      <c r="GQ15" s="382">
        <v>1</v>
      </c>
    </row>
    <row r="16" spans="1:199">
      <c r="A16" s="195"/>
      <c r="B16" s="200"/>
      <c r="C16" s="200" t="s">
        <v>989</v>
      </c>
      <c r="D16" s="382" t="s">
        <v>186</v>
      </c>
      <c r="E16" s="386">
        <v>0</v>
      </c>
      <c r="F16" s="201">
        <v>0.8</v>
      </c>
      <c r="G16" s="201">
        <v>1</v>
      </c>
      <c r="H16" s="201">
        <v>1.2</v>
      </c>
      <c r="I16" s="383">
        <v>1</v>
      </c>
      <c r="J16" s="383">
        <v>0</v>
      </c>
      <c r="K16" s="201">
        <v>0</v>
      </c>
      <c r="L16" s="201">
        <v>1</v>
      </c>
      <c r="M16" s="201">
        <v>1.2</v>
      </c>
      <c r="N16" s="383">
        <v>1</v>
      </c>
      <c r="O16" s="383">
        <v>0</v>
      </c>
      <c r="P16" s="201">
        <v>0.8</v>
      </c>
      <c r="Q16" s="201">
        <v>1</v>
      </c>
      <c r="R16" s="202">
        <v>1.2</v>
      </c>
      <c r="S16" s="382">
        <v>1</v>
      </c>
      <c r="T16" s="386">
        <v>0</v>
      </c>
      <c r="U16" s="201">
        <v>0.8</v>
      </c>
      <c r="V16" s="201">
        <v>1</v>
      </c>
      <c r="W16" s="201">
        <v>1.2</v>
      </c>
      <c r="X16" s="382">
        <v>1</v>
      </c>
      <c r="Y16" s="200">
        <v>0</v>
      </c>
      <c r="Z16" s="201">
        <v>0</v>
      </c>
      <c r="AA16" s="201">
        <v>1</v>
      </c>
      <c r="AB16" s="201">
        <v>1.2</v>
      </c>
      <c r="AC16" s="382">
        <v>1</v>
      </c>
      <c r="AD16" s="200">
        <v>0</v>
      </c>
      <c r="AE16" s="201">
        <v>0.8</v>
      </c>
      <c r="AF16" s="201">
        <v>1</v>
      </c>
      <c r="AG16" s="383">
        <v>1.2</v>
      </c>
      <c r="AH16" s="383">
        <v>1</v>
      </c>
      <c r="AI16" s="383">
        <v>0</v>
      </c>
      <c r="AJ16" s="383">
        <v>0.8</v>
      </c>
      <c r="AK16" s="201">
        <v>1</v>
      </c>
      <c r="AL16" s="201">
        <v>1.2</v>
      </c>
      <c r="AM16" s="383">
        <v>1</v>
      </c>
      <c r="AN16" s="383">
        <v>0</v>
      </c>
      <c r="AO16" s="201">
        <v>0</v>
      </c>
      <c r="AP16" s="201">
        <v>1</v>
      </c>
      <c r="AQ16" s="201">
        <v>1.2</v>
      </c>
      <c r="AR16" s="382">
        <v>1</v>
      </c>
      <c r="AS16" s="200">
        <v>0</v>
      </c>
      <c r="AT16" s="201">
        <v>0.8</v>
      </c>
      <c r="AU16" s="201">
        <v>1</v>
      </c>
      <c r="AV16" s="201">
        <v>1.2</v>
      </c>
      <c r="AW16" s="382">
        <v>1</v>
      </c>
      <c r="AX16" s="201">
        <v>0</v>
      </c>
      <c r="AY16" s="201">
        <v>0.8</v>
      </c>
      <c r="AZ16" s="201">
        <v>1</v>
      </c>
      <c r="BA16" s="201">
        <v>1.2</v>
      </c>
      <c r="BB16" s="382">
        <v>1</v>
      </c>
      <c r="BC16" s="201">
        <v>0</v>
      </c>
      <c r="BD16" s="201">
        <v>0</v>
      </c>
      <c r="BE16" s="201">
        <v>1</v>
      </c>
      <c r="BF16" s="201">
        <v>1.2</v>
      </c>
      <c r="BG16" s="382">
        <v>1</v>
      </c>
      <c r="BH16" s="201">
        <v>0</v>
      </c>
      <c r="BI16" s="201">
        <v>0.8</v>
      </c>
      <c r="BJ16" s="201">
        <v>1</v>
      </c>
      <c r="BK16" s="201">
        <v>1.2</v>
      </c>
      <c r="BL16" s="382">
        <v>1</v>
      </c>
      <c r="BM16" s="201">
        <v>0</v>
      </c>
      <c r="BN16" s="201">
        <v>0.8</v>
      </c>
      <c r="BO16" s="201">
        <v>1</v>
      </c>
      <c r="BP16" s="201">
        <v>1.2</v>
      </c>
      <c r="BQ16" s="382">
        <v>1</v>
      </c>
      <c r="BR16" s="201">
        <v>0</v>
      </c>
      <c r="BS16" s="201">
        <v>0</v>
      </c>
      <c r="BT16" s="201">
        <v>1</v>
      </c>
      <c r="BU16" s="201">
        <v>1.2</v>
      </c>
      <c r="BV16" s="382">
        <v>1</v>
      </c>
      <c r="BW16" s="201">
        <v>0</v>
      </c>
      <c r="BX16" s="201">
        <v>0.8</v>
      </c>
      <c r="BY16" s="201">
        <v>1</v>
      </c>
      <c r="BZ16" s="201">
        <v>1.2</v>
      </c>
      <c r="CA16" s="382">
        <v>1</v>
      </c>
      <c r="CB16" s="201">
        <v>0</v>
      </c>
      <c r="CC16" s="201">
        <v>0.8</v>
      </c>
      <c r="CD16" s="201">
        <v>1</v>
      </c>
      <c r="CE16" s="201">
        <v>1.2</v>
      </c>
      <c r="CF16" s="382">
        <v>1</v>
      </c>
      <c r="CG16" s="201">
        <v>0</v>
      </c>
      <c r="CH16" s="201">
        <v>0</v>
      </c>
      <c r="CI16" s="201">
        <v>1</v>
      </c>
      <c r="CJ16" s="201">
        <v>1.2</v>
      </c>
      <c r="CK16" s="382">
        <v>1</v>
      </c>
      <c r="CL16" s="201">
        <v>0</v>
      </c>
      <c r="CM16" s="201">
        <v>0.8</v>
      </c>
      <c r="CN16" s="201">
        <v>1</v>
      </c>
      <c r="CO16" s="201">
        <v>1.2</v>
      </c>
      <c r="CP16" s="382">
        <v>1</v>
      </c>
      <c r="CQ16" s="201">
        <v>0</v>
      </c>
      <c r="CR16" s="201">
        <v>0.8</v>
      </c>
      <c r="CS16" s="201">
        <v>1</v>
      </c>
      <c r="CT16" s="201">
        <v>1.2</v>
      </c>
      <c r="CU16" s="382">
        <v>1</v>
      </c>
      <c r="CV16" s="201">
        <v>0</v>
      </c>
      <c r="CW16" s="201">
        <v>0</v>
      </c>
      <c r="CX16" s="201">
        <v>1</v>
      </c>
      <c r="CY16" s="201">
        <v>1.2</v>
      </c>
      <c r="CZ16" s="382">
        <v>1</v>
      </c>
      <c r="DA16" s="201">
        <v>0</v>
      </c>
      <c r="DB16" s="201">
        <v>0.8</v>
      </c>
      <c r="DC16" s="201">
        <v>1</v>
      </c>
      <c r="DD16" s="201">
        <v>1.2</v>
      </c>
      <c r="DE16" s="382">
        <v>1</v>
      </c>
      <c r="DF16" s="201">
        <v>0</v>
      </c>
      <c r="DG16" s="201">
        <v>0.8</v>
      </c>
      <c r="DH16" s="201">
        <v>1</v>
      </c>
      <c r="DI16" s="201">
        <v>1.2</v>
      </c>
      <c r="DJ16" s="382">
        <v>1</v>
      </c>
      <c r="DK16" s="201">
        <v>0</v>
      </c>
      <c r="DL16" s="201">
        <v>0</v>
      </c>
      <c r="DM16" s="201">
        <v>1</v>
      </c>
      <c r="DN16" s="201">
        <v>1.2</v>
      </c>
      <c r="DO16" s="382">
        <v>1</v>
      </c>
      <c r="DP16" s="201">
        <v>0</v>
      </c>
      <c r="DQ16" s="201">
        <v>0.8</v>
      </c>
      <c r="DR16" s="201">
        <v>1</v>
      </c>
      <c r="DS16" s="201">
        <v>1.2</v>
      </c>
      <c r="DT16" s="382">
        <v>1</v>
      </c>
      <c r="DU16" s="201">
        <v>0</v>
      </c>
      <c r="DV16" s="201">
        <v>0.8</v>
      </c>
      <c r="DW16" s="201">
        <v>1</v>
      </c>
      <c r="DX16" s="201">
        <v>1.2</v>
      </c>
      <c r="DY16" s="382">
        <v>1</v>
      </c>
      <c r="DZ16" s="201">
        <v>0</v>
      </c>
      <c r="EA16" s="201">
        <v>0</v>
      </c>
      <c r="EB16" s="201">
        <v>1</v>
      </c>
      <c r="EC16" s="201">
        <v>1.2</v>
      </c>
      <c r="ED16" s="382">
        <v>1</v>
      </c>
      <c r="EE16" s="201">
        <v>0</v>
      </c>
      <c r="EF16" s="201">
        <v>0.8</v>
      </c>
      <c r="EG16" s="201">
        <v>1</v>
      </c>
      <c r="EH16" s="201">
        <v>1.2</v>
      </c>
      <c r="EI16" s="382">
        <v>1</v>
      </c>
      <c r="EJ16" s="201">
        <v>0</v>
      </c>
      <c r="EK16" s="201">
        <v>0.8</v>
      </c>
      <c r="EL16" s="201">
        <v>1</v>
      </c>
      <c r="EM16" s="201">
        <v>1.2</v>
      </c>
      <c r="EN16" s="382">
        <v>1</v>
      </c>
      <c r="EO16" s="201">
        <v>0</v>
      </c>
      <c r="EP16" s="201">
        <v>0</v>
      </c>
      <c r="EQ16" s="201">
        <v>1</v>
      </c>
      <c r="ER16" s="201">
        <v>1.2</v>
      </c>
      <c r="ES16" s="382">
        <v>1</v>
      </c>
      <c r="ET16" s="201">
        <v>0</v>
      </c>
      <c r="EU16" s="201">
        <v>0.8</v>
      </c>
      <c r="EV16" s="201">
        <v>1</v>
      </c>
      <c r="EW16" s="201">
        <v>1.2</v>
      </c>
      <c r="EX16" s="382">
        <v>1</v>
      </c>
      <c r="EY16" s="201">
        <v>0</v>
      </c>
      <c r="EZ16" s="201">
        <v>0.8</v>
      </c>
      <c r="FA16" s="201">
        <v>1</v>
      </c>
      <c r="FB16" s="201">
        <v>1.2</v>
      </c>
      <c r="FC16" s="382">
        <v>1</v>
      </c>
      <c r="FD16" s="201">
        <v>0</v>
      </c>
      <c r="FE16" s="201">
        <v>0</v>
      </c>
      <c r="FF16" s="201">
        <v>1</v>
      </c>
      <c r="FG16" s="201">
        <v>1.2</v>
      </c>
      <c r="FH16" s="382">
        <v>1</v>
      </c>
      <c r="FI16" s="201">
        <v>0</v>
      </c>
      <c r="FJ16" s="201">
        <v>0.8</v>
      </c>
      <c r="FK16" s="201">
        <v>1</v>
      </c>
      <c r="FL16" s="201">
        <v>1.2</v>
      </c>
      <c r="FM16" s="382">
        <v>1</v>
      </c>
      <c r="FN16" s="201">
        <v>0</v>
      </c>
      <c r="FO16" s="201">
        <v>0.8</v>
      </c>
      <c r="FP16" s="201">
        <v>1</v>
      </c>
      <c r="FQ16" s="201">
        <v>1.2</v>
      </c>
      <c r="FR16" s="382">
        <v>1</v>
      </c>
      <c r="FS16" s="201">
        <v>0</v>
      </c>
      <c r="FT16" s="201">
        <v>0</v>
      </c>
      <c r="FU16" s="201">
        <v>1</v>
      </c>
      <c r="FV16" s="201">
        <v>1.2</v>
      </c>
      <c r="FW16" s="382">
        <v>1</v>
      </c>
      <c r="FX16" s="201">
        <v>0</v>
      </c>
      <c r="FY16" s="201">
        <v>0.8</v>
      </c>
      <c r="FZ16" s="201">
        <v>1</v>
      </c>
      <c r="GA16" s="201">
        <v>1.2</v>
      </c>
      <c r="GB16" s="382">
        <v>1</v>
      </c>
      <c r="GC16" s="201">
        <v>0</v>
      </c>
      <c r="GD16" s="201">
        <v>0.8</v>
      </c>
      <c r="GE16" s="201">
        <v>1</v>
      </c>
      <c r="GF16" s="201">
        <v>1.2</v>
      </c>
      <c r="GG16" s="382">
        <v>1</v>
      </c>
      <c r="GH16" s="201">
        <v>0</v>
      </c>
      <c r="GI16" s="201">
        <v>0</v>
      </c>
      <c r="GJ16" s="201">
        <v>1</v>
      </c>
      <c r="GK16" s="201">
        <v>1.2</v>
      </c>
      <c r="GL16" s="382">
        <v>1</v>
      </c>
      <c r="GM16" s="201">
        <v>0</v>
      </c>
      <c r="GN16" s="201">
        <v>0.8</v>
      </c>
      <c r="GO16" s="201">
        <v>1</v>
      </c>
      <c r="GP16" s="202">
        <v>1.2</v>
      </c>
      <c r="GQ16" s="382">
        <v>1</v>
      </c>
    </row>
    <row r="17" spans="1:199">
      <c r="A17" s="195"/>
    </row>
    <row r="18" spans="1:199">
      <c r="A18" s="195" t="s">
        <v>991</v>
      </c>
      <c r="B18" s="195" t="s">
        <v>1</v>
      </c>
      <c r="C18" s="207"/>
    </row>
    <row r="19" spans="1:199">
      <c r="A19" s="195"/>
      <c r="B19" s="196"/>
      <c r="C19" s="196" t="s">
        <v>987</v>
      </c>
      <c r="D19" s="196" t="s">
        <v>243</v>
      </c>
      <c r="E19" s="199">
        <v>0</v>
      </c>
      <c r="F19" s="197">
        <v>0.8</v>
      </c>
      <c r="G19" s="204">
        <v>1</v>
      </c>
      <c r="H19" s="204">
        <v>1.2</v>
      </c>
      <c r="I19" s="204">
        <v>1</v>
      </c>
      <c r="J19" s="204">
        <v>0</v>
      </c>
      <c r="K19" s="204">
        <v>0</v>
      </c>
      <c r="L19" s="204">
        <v>0</v>
      </c>
      <c r="M19" s="204">
        <v>0</v>
      </c>
      <c r="N19" s="204">
        <v>1</v>
      </c>
      <c r="O19" s="204">
        <v>0</v>
      </c>
      <c r="P19" s="204">
        <v>0.8</v>
      </c>
      <c r="Q19" s="204">
        <v>1</v>
      </c>
      <c r="R19" s="205">
        <v>1.2</v>
      </c>
      <c r="S19" s="186">
        <v>1</v>
      </c>
      <c r="T19" s="199">
        <v>0</v>
      </c>
      <c r="U19" s="197">
        <v>0.8</v>
      </c>
      <c r="V19" s="204">
        <v>1</v>
      </c>
      <c r="W19" s="204">
        <v>1.2</v>
      </c>
      <c r="X19" s="186">
        <v>1</v>
      </c>
      <c r="Y19" s="186">
        <v>0</v>
      </c>
      <c r="Z19" s="204">
        <v>0</v>
      </c>
      <c r="AA19" s="204">
        <v>0</v>
      </c>
      <c r="AB19" s="204">
        <v>1.2</v>
      </c>
      <c r="AC19" s="186">
        <v>1</v>
      </c>
      <c r="AD19" s="186">
        <v>0</v>
      </c>
      <c r="AE19" s="204">
        <v>0.8</v>
      </c>
      <c r="AF19" s="204">
        <v>1</v>
      </c>
      <c r="AG19" s="204">
        <v>1.2</v>
      </c>
      <c r="AH19" s="204">
        <v>1</v>
      </c>
      <c r="AI19" s="204">
        <v>0</v>
      </c>
      <c r="AJ19" s="204">
        <v>0.8</v>
      </c>
      <c r="AK19" s="204">
        <v>1</v>
      </c>
      <c r="AL19" s="204">
        <v>1.2</v>
      </c>
      <c r="AM19" s="204">
        <v>1</v>
      </c>
      <c r="AN19" s="204">
        <v>0</v>
      </c>
      <c r="AO19" s="204">
        <v>0</v>
      </c>
      <c r="AP19" s="204">
        <v>0</v>
      </c>
      <c r="AQ19" s="204">
        <v>1.2</v>
      </c>
      <c r="AR19" s="186">
        <v>1</v>
      </c>
      <c r="AS19" s="186">
        <v>0</v>
      </c>
      <c r="AT19" s="204">
        <v>0.8</v>
      </c>
      <c r="AU19" s="204">
        <v>1</v>
      </c>
      <c r="AV19" s="197">
        <v>1.2</v>
      </c>
      <c r="AW19" s="186">
        <v>1</v>
      </c>
      <c r="AX19" s="197">
        <v>0</v>
      </c>
      <c r="AY19" s="197">
        <v>0.8</v>
      </c>
      <c r="AZ19" s="197">
        <v>1</v>
      </c>
      <c r="BA19" s="197">
        <v>1.2</v>
      </c>
      <c r="BB19" s="186">
        <v>1</v>
      </c>
      <c r="BC19" s="197">
        <v>0</v>
      </c>
      <c r="BD19" s="197">
        <v>0</v>
      </c>
      <c r="BE19" s="197">
        <v>0</v>
      </c>
      <c r="BF19" s="197">
        <v>1.2</v>
      </c>
      <c r="BG19" s="186">
        <v>1</v>
      </c>
      <c r="BH19" s="197">
        <v>0</v>
      </c>
      <c r="BI19" s="197">
        <v>0.8</v>
      </c>
      <c r="BJ19" s="197">
        <v>1</v>
      </c>
      <c r="BK19" s="197">
        <v>1.2</v>
      </c>
      <c r="BL19" s="186">
        <v>1</v>
      </c>
      <c r="BM19" s="197">
        <v>0</v>
      </c>
      <c r="BN19" s="197">
        <v>0.8</v>
      </c>
      <c r="BO19" s="197">
        <v>1</v>
      </c>
      <c r="BP19" s="197">
        <v>1.2</v>
      </c>
      <c r="BQ19" s="186">
        <v>1</v>
      </c>
      <c r="BR19" s="197">
        <v>0</v>
      </c>
      <c r="BS19" s="197">
        <v>0</v>
      </c>
      <c r="BT19" s="197">
        <v>0</v>
      </c>
      <c r="BU19" s="197">
        <v>1.2</v>
      </c>
      <c r="BV19" s="186">
        <v>1</v>
      </c>
      <c r="BW19" s="197">
        <v>0</v>
      </c>
      <c r="BX19" s="197">
        <v>0.8</v>
      </c>
      <c r="BY19" s="197">
        <v>1</v>
      </c>
      <c r="BZ19" s="197">
        <v>1.2</v>
      </c>
      <c r="CA19" s="186">
        <v>1</v>
      </c>
      <c r="CB19" s="197">
        <v>0</v>
      </c>
      <c r="CC19" s="197">
        <v>0.8</v>
      </c>
      <c r="CD19" s="197">
        <v>1</v>
      </c>
      <c r="CE19" s="197">
        <v>1.2</v>
      </c>
      <c r="CF19" s="186">
        <v>1</v>
      </c>
      <c r="CG19" s="197">
        <v>0</v>
      </c>
      <c r="CH19" s="197">
        <v>0</v>
      </c>
      <c r="CI19" s="197">
        <v>0</v>
      </c>
      <c r="CJ19" s="197">
        <v>1.2</v>
      </c>
      <c r="CK19" s="186">
        <v>1</v>
      </c>
      <c r="CL19" s="197">
        <v>0</v>
      </c>
      <c r="CM19" s="197">
        <v>0.8</v>
      </c>
      <c r="CN19" s="197">
        <v>1</v>
      </c>
      <c r="CO19" s="197">
        <v>1.2</v>
      </c>
      <c r="CP19" s="186">
        <v>1</v>
      </c>
      <c r="CQ19" s="197">
        <v>0</v>
      </c>
      <c r="CR19" s="197">
        <v>0.8</v>
      </c>
      <c r="CS19" s="197">
        <v>1</v>
      </c>
      <c r="CT19" s="197">
        <v>1.2</v>
      </c>
      <c r="CU19" s="186">
        <v>1</v>
      </c>
      <c r="CV19" s="197">
        <v>0</v>
      </c>
      <c r="CW19" s="197">
        <v>0</v>
      </c>
      <c r="CX19" s="197">
        <v>0</v>
      </c>
      <c r="CY19" s="197">
        <v>1.2</v>
      </c>
      <c r="CZ19" s="186">
        <v>1</v>
      </c>
      <c r="DA19" s="197">
        <v>0</v>
      </c>
      <c r="DB19" s="197">
        <v>0.8</v>
      </c>
      <c r="DC19" s="197">
        <v>1</v>
      </c>
      <c r="DD19" s="197">
        <v>1.2</v>
      </c>
      <c r="DE19" s="186">
        <v>1</v>
      </c>
      <c r="DF19" s="197">
        <v>0</v>
      </c>
      <c r="DG19" s="197">
        <v>0.8</v>
      </c>
      <c r="DH19" s="197">
        <v>1</v>
      </c>
      <c r="DI19" s="197">
        <v>1.2</v>
      </c>
      <c r="DJ19" s="186">
        <v>1</v>
      </c>
      <c r="DK19" s="197">
        <v>0</v>
      </c>
      <c r="DL19" s="197">
        <v>0</v>
      </c>
      <c r="DM19" s="197">
        <v>0</v>
      </c>
      <c r="DN19" s="197">
        <v>1.2</v>
      </c>
      <c r="DO19" s="186">
        <v>1</v>
      </c>
      <c r="DP19" s="197">
        <v>0</v>
      </c>
      <c r="DQ19" s="197">
        <v>0.8</v>
      </c>
      <c r="DR19" s="197">
        <v>1</v>
      </c>
      <c r="DS19" s="197">
        <v>1.2</v>
      </c>
      <c r="DT19" s="186">
        <v>1</v>
      </c>
      <c r="DU19" s="197">
        <v>0</v>
      </c>
      <c r="DV19" s="197">
        <v>0.8</v>
      </c>
      <c r="DW19" s="197">
        <v>1</v>
      </c>
      <c r="DX19" s="197">
        <v>1.2</v>
      </c>
      <c r="DY19" s="186">
        <v>1</v>
      </c>
      <c r="DZ19" s="197">
        <v>0</v>
      </c>
      <c r="EA19" s="197">
        <v>0</v>
      </c>
      <c r="EB19" s="197">
        <v>0</v>
      </c>
      <c r="EC19" s="197">
        <v>1.2</v>
      </c>
      <c r="ED19" s="186">
        <v>1</v>
      </c>
      <c r="EE19" s="197">
        <v>0</v>
      </c>
      <c r="EF19" s="197">
        <v>0.8</v>
      </c>
      <c r="EG19" s="197">
        <v>1</v>
      </c>
      <c r="EH19" s="197">
        <v>1.2</v>
      </c>
      <c r="EI19" s="186">
        <v>1</v>
      </c>
      <c r="EJ19" s="197">
        <v>0</v>
      </c>
      <c r="EK19" s="197">
        <v>0.8</v>
      </c>
      <c r="EL19" s="197">
        <v>1</v>
      </c>
      <c r="EM19" s="197">
        <v>1.2</v>
      </c>
      <c r="EN19" s="186">
        <v>1</v>
      </c>
      <c r="EO19" s="197">
        <v>0</v>
      </c>
      <c r="EP19" s="197">
        <v>0</v>
      </c>
      <c r="EQ19" s="197">
        <v>0</v>
      </c>
      <c r="ER19" s="197">
        <v>1.2</v>
      </c>
      <c r="ES19" s="186">
        <v>1</v>
      </c>
      <c r="ET19" s="197">
        <v>0</v>
      </c>
      <c r="EU19" s="197">
        <v>0.8</v>
      </c>
      <c r="EV19" s="197">
        <v>1</v>
      </c>
      <c r="EW19" s="197">
        <v>1.2</v>
      </c>
      <c r="EX19" s="186">
        <v>1</v>
      </c>
      <c r="EY19" s="197">
        <v>0</v>
      </c>
      <c r="EZ19" s="197">
        <v>0.8</v>
      </c>
      <c r="FA19" s="197">
        <v>1</v>
      </c>
      <c r="FB19" s="197">
        <v>1.2</v>
      </c>
      <c r="FC19" s="186">
        <v>1</v>
      </c>
      <c r="FD19" s="197">
        <v>0</v>
      </c>
      <c r="FE19" s="197">
        <v>0</v>
      </c>
      <c r="FF19" s="197">
        <v>0</v>
      </c>
      <c r="FG19" s="197">
        <v>1.2</v>
      </c>
      <c r="FH19" s="186">
        <v>1</v>
      </c>
      <c r="FI19" s="197">
        <v>0</v>
      </c>
      <c r="FJ19" s="197">
        <v>0.8</v>
      </c>
      <c r="FK19" s="197">
        <v>1</v>
      </c>
      <c r="FL19" s="197">
        <v>1.2</v>
      </c>
      <c r="FM19" s="186">
        <v>1</v>
      </c>
      <c r="FN19" s="197">
        <v>0</v>
      </c>
      <c r="FO19" s="197">
        <v>0.8</v>
      </c>
      <c r="FP19" s="197">
        <v>1</v>
      </c>
      <c r="FQ19" s="197">
        <v>1.2</v>
      </c>
      <c r="FR19" s="186">
        <v>1</v>
      </c>
      <c r="FS19" s="197">
        <v>0</v>
      </c>
      <c r="FT19" s="197">
        <v>0</v>
      </c>
      <c r="FU19" s="197">
        <v>0</v>
      </c>
      <c r="FV19" s="197">
        <v>1.2</v>
      </c>
      <c r="FW19" s="186">
        <v>1</v>
      </c>
      <c r="FX19" s="197">
        <v>0</v>
      </c>
      <c r="FY19" s="197">
        <v>0.8</v>
      </c>
      <c r="FZ19" s="197">
        <v>1</v>
      </c>
      <c r="GA19" s="197">
        <v>1.2</v>
      </c>
      <c r="GB19" s="186">
        <v>1</v>
      </c>
      <c r="GC19" s="197">
        <v>0</v>
      </c>
      <c r="GD19" s="197">
        <v>0.8</v>
      </c>
      <c r="GE19" s="197">
        <v>1</v>
      </c>
      <c r="GF19" s="197">
        <v>1.2</v>
      </c>
      <c r="GG19" s="186">
        <v>1</v>
      </c>
      <c r="GH19" s="197">
        <v>0</v>
      </c>
      <c r="GI19" s="197">
        <v>0</v>
      </c>
      <c r="GJ19" s="197">
        <v>0</v>
      </c>
      <c r="GK19" s="197">
        <v>1.2</v>
      </c>
      <c r="GL19" s="186">
        <v>1</v>
      </c>
      <c r="GM19" s="197">
        <v>0</v>
      </c>
      <c r="GN19" s="197">
        <v>0.8</v>
      </c>
      <c r="GO19" s="197">
        <v>1</v>
      </c>
      <c r="GP19" s="198">
        <v>1.2</v>
      </c>
      <c r="GQ19" s="186">
        <v>1</v>
      </c>
    </row>
    <row r="20" spans="1:199">
      <c r="A20" s="195"/>
      <c r="B20" s="188"/>
      <c r="C20" s="188"/>
      <c r="D20" s="188" t="s">
        <v>242</v>
      </c>
      <c r="E20" s="190">
        <v>0</v>
      </c>
      <c r="F20" s="193">
        <v>0.8</v>
      </c>
      <c r="G20" s="201">
        <v>1</v>
      </c>
      <c r="H20" s="201">
        <v>1.2</v>
      </c>
      <c r="I20" s="383">
        <v>1</v>
      </c>
      <c r="J20" s="383">
        <v>0</v>
      </c>
      <c r="K20" s="201">
        <v>0.8</v>
      </c>
      <c r="L20" s="201">
        <v>1</v>
      </c>
      <c r="M20" s="201">
        <v>1.2</v>
      </c>
      <c r="N20" s="383">
        <v>1</v>
      </c>
      <c r="O20" s="383">
        <v>0</v>
      </c>
      <c r="P20" s="201">
        <v>0.8</v>
      </c>
      <c r="Q20" s="201">
        <v>1</v>
      </c>
      <c r="R20" s="202">
        <v>1.2</v>
      </c>
      <c r="S20" s="382">
        <v>1</v>
      </c>
      <c r="T20" s="190">
        <v>0</v>
      </c>
      <c r="U20" s="193">
        <v>0.8</v>
      </c>
      <c r="V20" s="201">
        <v>1</v>
      </c>
      <c r="W20" s="201">
        <v>1.2</v>
      </c>
      <c r="X20" s="382">
        <v>1</v>
      </c>
      <c r="Y20" s="200">
        <v>0</v>
      </c>
      <c r="Z20" s="201">
        <v>0.8</v>
      </c>
      <c r="AA20" s="201">
        <v>1</v>
      </c>
      <c r="AB20" s="201">
        <v>1.2</v>
      </c>
      <c r="AC20" s="382">
        <v>1</v>
      </c>
      <c r="AD20" s="200">
        <v>0</v>
      </c>
      <c r="AE20" s="201">
        <v>0.8</v>
      </c>
      <c r="AF20" s="201">
        <v>1</v>
      </c>
      <c r="AG20" s="383">
        <v>1.2</v>
      </c>
      <c r="AH20" s="383">
        <v>1</v>
      </c>
      <c r="AI20" s="383">
        <v>0</v>
      </c>
      <c r="AJ20" s="383">
        <v>0.8</v>
      </c>
      <c r="AK20" s="201">
        <v>1</v>
      </c>
      <c r="AL20" s="201">
        <v>1.2</v>
      </c>
      <c r="AM20" s="383">
        <v>1</v>
      </c>
      <c r="AN20" s="383">
        <v>0</v>
      </c>
      <c r="AO20" s="201">
        <v>0.8</v>
      </c>
      <c r="AP20" s="201">
        <v>1</v>
      </c>
      <c r="AQ20" s="201">
        <v>1.2</v>
      </c>
      <c r="AR20" s="382">
        <v>1</v>
      </c>
      <c r="AS20" s="200">
        <v>0</v>
      </c>
      <c r="AT20" s="201">
        <v>0.8</v>
      </c>
      <c r="AU20" s="201">
        <v>1</v>
      </c>
      <c r="AV20" s="193">
        <v>1.2</v>
      </c>
      <c r="AW20" s="382">
        <v>1</v>
      </c>
      <c r="AX20" s="193">
        <v>0</v>
      </c>
      <c r="AY20" s="193">
        <v>0.8</v>
      </c>
      <c r="AZ20" s="193">
        <v>1</v>
      </c>
      <c r="BA20" s="193">
        <v>1.2</v>
      </c>
      <c r="BB20" s="382">
        <v>1</v>
      </c>
      <c r="BC20" s="193">
        <v>0</v>
      </c>
      <c r="BD20" s="193">
        <v>0.8</v>
      </c>
      <c r="BE20" s="193">
        <v>1</v>
      </c>
      <c r="BF20" s="193">
        <v>1.2</v>
      </c>
      <c r="BG20" s="382">
        <v>1</v>
      </c>
      <c r="BH20" s="193">
        <v>0</v>
      </c>
      <c r="BI20" s="193">
        <v>0.8</v>
      </c>
      <c r="BJ20" s="193">
        <v>1</v>
      </c>
      <c r="BK20" s="193">
        <v>1.2</v>
      </c>
      <c r="BL20" s="382">
        <v>1</v>
      </c>
      <c r="BM20" s="193">
        <v>0</v>
      </c>
      <c r="BN20" s="193">
        <v>0.8</v>
      </c>
      <c r="BO20" s="193">
        <v>1</v>
      </c>
      <c r="BP20" s="193">
        <v>1.2</v>
      </c>
      <c r="BQ20" s="382">
        <v>1</v>
      </c>
      <c r="BR20" s="193">
        <v>0</v>
      </c>
      <c r="BS20" s="193">
        <v>0.8</v>
      </c>
      <c r="BT20" s="193">
        <v>1</v>
      </c>
      <c r="BU20" s="193">
        <v>1.2</v>
      </c>
      <c r="BV20" s="382">
        <v>1</v>
      </c>
      <c r="BW20" s="193">
        <v>0</v>
      </c>
      <c r="BX20" s="193">
        <v>0.8</v>
      </c>
      <c r="BY20" s="193">
        <v>1</v>
      </c>
      <c r="BZ20" s="193">
        <v>1.2</v>
      </c>
      <c r="CA20" s="382">
        <v>1</v>
      </c>
      <c r="CB20" s="193">
        <v>0</v>
      </c>
      <c r="CC20" s="193">
        <v>0.8</v>
      </c>
      <c r="CD20" s="193">
        <v>1</v>
      </c>
      <c r="CE20" s="193">
        <v>1.2</v>
      </c>
      <c r="CF20" s="382">
        <v>1</v>
      </c>
      <c r="CG20" s="193">
        <v>0</v>
      </c>
      <c r="CH20" s="193">
        <v>0.8</v>
      </c>
      <c r="CI20" s="193">
        <v>1</v>
      </c>
      <c r="CJ20" s="193">
        <v>1.2</v>
      </c>
      <c r="CK20" s="382">
        <v>1</v>
      </c>
      <c r="CL20" s="193">
        <v>0</v>
      </c>
      <c r="CM20" s="193">
        <v>0.8</v>
      </c>
      <c r="CN20" s="193">
        <v>1</v>
      </c>
      <c r="CO20" s="193">
        <v>1.2</v>
      </c>
      <c r="CP20" s="382">
        <v>1</v>
      </c>
      <c r="CQ20" s="193">
        <v>0</v>
      </c>
      <c r="CR20" s="193">
        <v>0.8</v>
      </c>
      <c r="CS20" s="193">
        <v>1</v>
      </c>
      <c r="CT20" s="193">
        <v>1.2</v>
      </c>
      <c r="CU20" s="382">
        <v>1</v>
      </c>
      <c r="CV20" s="193">
        <v>0</v>
      </c>
      <c r="CW20" s="193">
        <v>0.8</v>
      </c>
      <c r="CX20" s="193">
        <v>1</v>
      </c>
      <c r="CY20" s="193">
        <v>1.2</v>
      </c>
      <c r="CZ20" s="382">
        <v>1</v>
      </c>
      <c r="DA20" s="193">
        <v>0</v>
      </c>
      <c r="DB20" s="193">
        <v>0.8</v>
      </c>
      <c r="DC20" s="193">
        <v>1</v>
      </c>
      <c r="DD20" s="193">
        <v>1.2</v>
      </c>
      <c r="DE20" s="382">
        <v>1</v>
      </c>
      <c r="DF20" s="193">
        <v>0</v>
      </c>
      <c r="DG20" s="193">
        <v>0.8</v>
      </c>
      <c r="DH20" s="193">
        <v>1</v>
      </c>
      <c r="DI20" s="193">
        <v>1.2</v>
      </c>
      <c r="DJ20" s="382">
        <v>1</v>
      </c>
      <c r="DK20" s="193">
        <v>0</v>
      </c>
      <c r="DL20" s="193">
        <v>0.8</v>
      </c>
      <c r="DM20" s="193">
        <v>1</v>
      </c>
      <c r="DN20" s="193">
        <v>1.2</v>
      </c>
      <c r="DO20" s="382">
        <v>1</v>
      </c>
      <c r="DP20" s="193">
        <v>0</v>
      </c>
      <c r="DQ20" s="193">
        <v>0.8</v>
      </c>
      <c r="DR20" s="193">
        <v>1</v>
      </c>
      <c r="DS20" s="193">
        <v>1.2</v>
      </c>
      <c r="DT20" s="382">
        <v>1</v>
      </c>
      <c r="DU20" s="193">
        <v>0</v>
      </c>
      <c r="DV20" s="193">
        <v>0.8</v>
      </c>
      <c r="DW20" s="193">
        <v>1</v>
      </c>
      <c r="DX20" s="193">
        <v>1.2</v>
      </c>
      <c r="DY20" s="382">
        <v>1</v>
      </c>
      <c r="DZ20" s="193">
        <v>0</v>
      </c>
      <c r="EA20" s="193">
        <v>0.8</v>
      </c>
      <c r="EB20" s="193">
        <v>1</v>
      </c>
      <c r="EC20" s="193">
        <v>1.2</v>
      </c>
      <c r="ED20" s="382">
        <v>1</v>
      </c>
      <c r="EE20" s="193">
        <v>0</v>
      </c>
      <c r="EF20" s="193">
        <v>0.8</v>
      </c>
      <c r="EG20" s="193">
        <v>1</v>
      </c>
      <c r="EH20" s="193">
        <v>1.2</v>
      </c>
      <c r="EI20" s="382">
        <v>1</v>
      </c>
      <c r="EJ20" s="193">
        <v>0</v>
      </c>
      <c r="EK20" s="193">
        <v>0.8</v>
      </c>
      <c r="EL20" s="193">
        <v>1</v>
      </c>
      <c r="EM20" s="193">
        <v>1.2</v>
      </c>
      <c r="EN20" s="382">
        <v>1</v>
      </c>
      <c r="EO20" s="193">
        <v>0</v>
      </c>
      <c r="EP20" s="193">
        <v>0.8</v>
      </c>
      <c r="EQ20" s="193">
        <v>1</v>
      </c>
      <c r="ER20" s="193">
        <v>1.2</v>
      </c>
      <c r="ES20" s="382">
        <v>1</v>
      </c>
      <c r="ET20" s="193">
        <v>0</v>
      </c>
      <c r="EU20" s="193">
        <v>0.8</v>
      </c>
      <c r="EV20" s="193">
        <v>1</v>
      </c>
      <c r="EW20" s="193">
        <v>1.2</v>
      </c>
      <c r="EX20" s="382">
        <v>1</v>
      </c>
      <c r="EY20" s="193">
        <v>0</v>
      </c>
      <c r="EZ20" s="193">
        <v>0.8</v>
      </c>
      <c r="FA20" s="193">
        <v>1</v>
      </c>
      <c r="FB20" s="193">
        <v>1.2</v>
      </c>
      <c r="FC20" s="382">
        <v>1</v>
      </c>
      <c r="FD20" s="193">
        <v>0</v>
      </c>
      <c r="FE20" s="193">
        <v>0.8</v>
      </c>
      <c r="FF20" s="193">
        <v>1</v>
      </c>
      <c r="FG20" s="193">
        <v>1.2</v>
      </c>
      <c r="FH20" s="382">
        <v>1</v>
      </c>
      <c r="FI20" s="193">
        <v>0</v>
      </c>
      <c r="FJ20" s="193">
        <v>0.8</v>
      </c>
      <c r="FK20" s="193">
        <v>1</v>
      </c>
      <c r="FL20" s="193">
        <v>1.2</v>
      </c>
      <c r="FM20" s="382">
        <v>1</v>
      </c>
      <c r="FN20" s="193">
        <v>0</v>
      </c>
      <c r="FO20" s="193">
        <v>0.8</v>
      </c>
      <c r="FP20" s="193">
        <v>1</v>
      </c>
      <c r="FQ20" s="193">
        <v>1.2</v>
      </c>
      <c r="FR20" s="382">
        <v>1</v>
      </c>
      <c r="FS20" s="193">
        <v>0</v>
      </c>
      <c r="FT20" s="193">
        <v>0.8</v>
      </c>
      <c r="FU20" s="193">
        <v>1</v>
      </c>
      <c r="FV20" s="193">
        <v>1.2</v>
      </c>
      <c r="FW20" s="382">
        <v>1</v>
      </c>
      <c r="FX20" s="193">
        <v>0</v>
      </c>
      <c r="FY20" s="193">
        <v>0.8</v>
      </c>
      <c r="FZ20" s="193">
        <v>1</v>
      </c>
      <c r="GA20" s="193">
        <v>1.2</v>
      </c>
      <c r="GB20" s="382">
        <v>1</v>
      </c>
      <c r="GC20" s="193">
        <v>0</v>
      </c>
      <c r="GD20" s="193">
        <v>0.8</v>
      </c>
      <c r="GE20" s="193">
        <v>1</v>
      </c>
      <c r="GF20" s="193">
        <v>1.2</v>
      </c>
      <c r="GG20" s="382">
        <v>1</v>
      </c>
      <c r="GH20" s="193">
        <v>0</v>
      </c>
      <c r="GI20" s="193">
        <v>0.8</v>
      </c>
      <c r="GJ20" s="193">
        <v>1</v>
      </c>
      <c r="GK20" s="193">
        <v>1.2</v>
      </c>
      <c r="GL20" s="382">
        <v>1</v>
      </c>
      <c r="GM20" s="193">
        <v>0</v>
      </c>
      <c r="GN20" s="193">
        <v>0.8</v>
      </c>
      <c r="GO20" s="193">
        <v>1</v>
      </c>
      <c r="GP20" s="187">
        <v>1.2</v>
      </c>
      <c r="GQ20" s="382">
        <v>1</v>
      </c>
    </row>
    <row r="21" spans="1:199">
      <c r="A21" s="195"/>
      <c r="B21" s="188"/>
      <c r="C21" s="188" t="s">
        <v>303</v>
      </c>
      <c r="D21" s="188" t="s">
        <v>992</v>
      </c>
      <c r="E21" s="190">
        <v>0</v>
      </c>
      <c r="F21" s="193">
        <v>0.8</v>
      </c>
      <c r="G21" s="201">
        <v>1</v>
      </c>
      <c r="H21" s="201">
        <v>1.2</v>
      </c>
      <c r="I21" s="383">
        <v>1</v>
      </c>
      <c r="J21" s="383">
        <v>0</v>
      </c>
      <c r="K21" s="201">
        <v>0.8</v>
      </c>
      <c r="L21" s="201">
        <v>1</v>
      </c>
      <c r="M21" s="201">
        <v>1.2</v>
      </c>
      <c r="N21" s="383">
        <v>1</v>
      </c>
      <c r="O21" s="383">
        <v>0</v>
      </c>
      <c r="P21" s="201">
        <v>0.8</v>
      </c>
      <c r="Q21" s="201">
        <v>1</v>
      </c>
      <c r="R21" s="202">
        <v>1.2</v>
      </c>
      <c r="S21" s="382">
        <v>1</v>
      </c>
      <c r="T21" s="190">
        <v>0</v>
      </c>
      <c r="U21" s="193">
        <v>0.8</v>
      </c>
      <c r="V21" s="201">
        <v>1</v>
      </c>
      <c r="W21" s="201">
        <v>1.2</v>
      </c>
      <c r="X21" s="382">
        <v>1</v>
      </c>
      <c r="Y21" s="200">
        <v>0</v>
      </c>
      <c r="Z21" s="201">
        <v>0.8</v>
      </c>
      <c r="AA21" s="201">
        <v>1</v>
      </c>
      <c r="AB21" s="201">
        <v>1.2</v>
      </c>
      <c r="AC21" s="382">
        <v>1</v>
      </c>
      <c r="AD21" s="200">
        <v>0</v>
      </c>
      <c r="AE21" s="201">
        <v>0.8</v>
      </c>
      <c r="AF21" s="201">
        <v>1</v>
      </c>
      <c r="AG21" s="383">
        <v>1.2</v>
      </c>
      <c r="AH21" s="383">
        <v>1</v>
      </c>
      <c r="AI21" s="383">
        <v>0</v>
      </c>
      <c r="AJ21" s="383">
        <v>0.8</v>
      </c>
      <c r="AK21" s="201">
        <v>1</v>
      </c>
      <c r="AL21" s="201">
        <v>1.2</v>
      </c>
      <c r="AM21" s="383">
        <v>1</v>
      </c>
      <c r="AN21" s="383">
        <v>0</v>
      </c>
      <c r="AO21" s="201">
        <v>0.8</v>
      </c>
      <c r="AP21" s="201">
        <v>1</v>
      </c>
      <c r="AQ21" s="201">
        <v>1.2</v>
      </c>
      <c r="AR21" s="382">
        <v>1</v>
      </c>
      <c r="AS21" s="200">
        <v>0</v>
      </c>
      <c r="AT21" s="201">
        <v>0.8</v>
      </c>
      <c r="AU21" s="201">
        <v>1</v>
      </c>
      <c r="AV21" s="193">
        <v>1.2</v>
      </c>
      <c r="AW21" s="382">
        <v>1</v>
      </c>
      <c r="AX21" s="193">
        <v>0</v>
      </c>
      <c r="AY21" s="193">
        <v>0.8</v>
      </c>
      <c r="AZ21" s="193">
        <v>1</v>
      </c>
      <c r="BA21" s="193">
        <v>1.2</v>
      </c>
      <c r="BB21" s="382">
        <v>1</v>
      </c>
      <c r="BC21" s="193">
        <v>0</v>
      </c>
      <c r="BD21" s="193">
        <v>0.8</v>
      </c>
      <c r="BE21" s="193">
        <v>1</v>
      </c>
      <c r="BF21" s="193">
        <v>1.2</v>
      </c>
      <c r="BG21" s="382">
        <v>1</v>
      </c>
      <c r="BH21" s="193">
        <v>0</v>
      </c>
      <c r="BI21" s="193">
        <v>0.8</v>
      </c>
      <c r="BJ21" s="193">
        <v>1</v>
      </c>
      <c r="BK21" s="193">
        <v>1.2</v>
      </c>
      <c r="BL21" s="382">
        <v>1</v>
      </c>
      <c r="BM21" s="193">
        <v>0</v>
      </c>
      <c r="BN21" s="193">
        <v>0.8</v>
      </c>
      <c r="BO21" s="193">
        <v>1</v>
      </c>
      <c r="BP21" s="193">
        <v>1.2</v>
      </c>
      <c r="BQ21" s="382">
        <v>1</v>
      </c>
      <c r="BR21" s="193">
        <v>0</v>
      </c>
      <c r="BS21" s="193">
        <v>0.8</v>
      </c>
      <c r="BT21" s="193">
        <v>1</v>
      </c>
      <c r="BU21" s="193">
        <v>1.2</v>
      </c>
      <c r="BV21" s="382">
        <v>1</v>
      </c>
      <c r="BW21" s="193">
        <v>0</v>
      </c>
      <c r="BX21" s="193">
        <v>0.8</v>
      </c>
      <c r="BY21" s="193">
        <v>1</v>
      </c>
      <c r="BZ21" s="193">
        <v>1.2</v>
      </c>
      <c r="CA21" s="382">
        <v>1</v>
      </c>
      <c r="CB21" s="193">
        <v>0</v>
      </c>
      <c r="CC21" s="193">
        <v>0.8</v>
      </c>
      <c r="CD21" s="193">
        <v>1</v>
      </c>
      <c r="CE21" s="193">
        <v>1.2</v>
      </c>
      <c r="CF21" s="382">
        <v>1</v>
      </c>
      <c r="CG21" s="193">
        <v>0</v>
      </c>
      <c r="CH21" s="193">
        <v>0.8</v>
      </c>
      <c r="CI21" s="193">
        <v>1</v>
      </c>
      <c r="CJ21" s="193">
        <v>1.2</v>
      </c>
      <c r="CK21" s="382">
        <v>1</v>
      </c>
      <c r="CL21" s="193">
        <v>0</v>
      </c>
      <c r="CM21" s="193">
        <v>0.8</v>
      </c>
      <c r="CN21" s="193">
        <v>1</v>
      </c>
      <c r="CO21" s="193">
        <v>1.2</v>
      </c>
      <c r="CP21" s="382">
        <v>1</v>
      </c>
      <c r="CQ21" s="193">
        <v>0</v>
      </c>
      <c r="CR21" s="193">
        <v>0.8</v>
      </c>
      <c r="CS21" s="193">
        <v>1</v>
      </c>
      <c r="CT21" s="193">
        <v>1.2</v>
      </c>
      <c r="CU21" s="382">
        <v>1</v>
      </c>
      <c r="CV21" s="193">
        <v>0</v>
      </c>
      <c r="CW21" s="193">
        <v>0.8</v>
      </c>
      <c r="CX21" s="193">
        <v>1</v>
      </c>
      <c r="CY21" s="193">
        <v>1.2</v>
      </c>
      <c r="CZ21" s="382">
        <v>1</v>
      </c>
      <c r="DA21" s="193">
        <v>0</v>
      </c>
      <c r="DB21" s="193">
        <v>0.8</v>
      </c>
      <c r="DC21" s="193">
        <v>1</v>
      </c>
      <c r="DD21" s="193">
        <v>1.2</v>
      </c>
      <c r="DE21" s="382">
        <v>1</v>
      </c>
      <c r="DF21" s="193">
        <v>0</v>
      </c>
      <c r="DG21" s="193">
        <v>0.8</v>
      </c>
      <c r="DH21" s="193">
        <v>1</v>
      </c>
      <c r="DI21" s="193">
        <v>1.2</v>
      </c>
      <c r="DJ21" s="382">
        <v>1</v>
      </c>
      <c r="DK21" s="193">
        <v>0</v>
      </c>
      <c r="DL21" s="193">
        <v>0.8</v>
      </c>
      <c r="DM21" s="193">
        <v>1</v>
      </c>
      <c r="DN21" s="193">
        <v>1.2</v>
      </c>
      <c r="DO21" s="382">
        <v>1</v>
      </c>
      <c r="DP21" s="193">
        <v>0</v>
      </c>
      <c r="DQ21" s="193">
        <v>0.8</v>
      </c>
      <c r="DR21" s="193">
        <v>1</v>
      </c>
      <c r="DS21" s="193">
        <v>1.2</v>
      </c>
      <c r="DT21" s="382">
        <v>1</v>
      </c>
      <c r="DU21" s="193">
        <v>0</v>
      </c>
      <c r="DV21" s="193">
        <v>0.8</v>
      </c>
      <c r="DW21" s="193">
        <v>1</v>
      </c>
      <c r="DX21" s="193">
        <v>1.2</v>
      </c>
      <c r="DY21" s="382">
        <v>1</v>
      </c>
      <c r="DZ21" s="193">
        <v>0</v>
      </c>
      <c r="EA21" s="193">
        <v>0.8</v>
      </c>
      <c r="EB21" s="193">
        <v>1</v>
      </c>
      <c r="EC21" s="193">
        <v>1.2</v>
      </c>
      <c r="ED21" s="382">
        <v>1</v>
      </c>
      <c r="EE21" s="193">
        <v>0</v>
      </c>
      <c r="EF21" s="193">
        <v>0.8</v>
      </c>
      <c r="EG21" s="193">
        <v>1</v>
      </c>
      <c r="EH21" s="193">
        <v>1.2</v>
      </c>
      <c r="EI21" s="382">
        <v>1</v>
      </c>
      <c r="EJ21" s="193">
        <v>0</v>
      </c>
      <c r="EK21" s="193">
        <v>0.8</v>
      </c>
      <c r="EL21" s="193">
        <v>1</v>
      </c>
      <c r="EM21" s="193">
        <v>1.2</v>
      </c>
      <c r="EN21" s="382">
        <v>1</v>
      </c>
      <c r="EO21" s="193">
        <v>0</v>
      </c>
      <c r="EP21" s="193">
        <v>0.8</v>
      </c>
      <c r="EQ21" s="193">
        <v>1</v>
      </c>
      <c r="ER21" s="193">
        <v>1.2</v>
      </c>
      <c r="ES21" s="382">
        <v>1</v>
      </c>
      <c r="ET21" s="193">
        <v>0</v>
      </c>
      <c r="EU21" s="193">
        <v>0.8</v>
      </c>
      <c r="EV21" s="193">
        <v>1</v>
      </c>
      <c r="EW21" s="193">
        <v>1.2</v>
      </c>
      <c r="EX21" s="382">
        <v>1</v>
      </c>
      <c r="EY21" s="193">
        <v>0</v>
      </c>
      <c r="EZ21" s="193">
        <v>0.8</v>
      </c>
      <c r="FA21" s="193">
        <v>1</v>
      </c>
      <c r="FB21" s="193">
        <v>1.2</v>
      </c>
      <c r="FC21" s="382">
        <v>1</v>
      </c>
      <c r="FD21" s="193">
        <v>0</v>
      </c>
      <c r="FE21" s="193">
        <v>0.8</v>
      </c>
      <c r="FF21" s="193">
        <v>1</v>
      </c>
      <c r="FG21" s="193">
        <v>1.2</v>
      </c>
      <c r="FH21" s="382">
        <v>1</v>
      </c>
      <c r="FI21" s="193">
        <v>0</v>
      </c>
      <c r="FJ21" s="193">
        <v>0.8</v>
      </c>
      <c r="FK21" s="193">
        <v>1</v>
      </c>
      <c r="FL21" s="193">
        <v>1.2</v>
      </c>
      <c r="FM21" s="382">
        <v>1</v>
      </c>
      <c r="FN21" s="193">
        <v>0</v>
      </c>
      <c r="FO21" s="193">
        <v>0.8</v>
      </c>
      <c r="FP21" s="193">
        <v>1</v>
      </c>
      <c r="FQ21" s="193">
        <v>1.2</v>
      </c>
      <c r="FR21" s="382">
        <v>1</v>
      </c>
      <c r="FS21" s="193">
        <v>0</v>
      </c>
      <c r="FT21" s="193">
        <v>0.8</v>
      </c>
      <c r="FU21" s="193">
        <v>1</v>
      </c>
      <c r="FV21" s="193">
        <v>1.2</v>
      </c>
      <c r="FW21" s="382">
        <v>1</v>
      </c>
      <c r="FX21" s="193">
        <v>0</v>
      </c>
      <c r="FY21" s="193">
        <v>0.8</v>
      </c>
      <c r="FZ21" s="193">
        <v>1</v>
      </c>
      <c r="GA21" s="193">
        <v>1.2</v>
      </c>
      <c r="GB21" s="382">
        <v>1</v>
      </c>
      <c r="GC21" s="193">
        <v>0</v>
      </c>
      <c r="GD21" s="193">
        <v>0.8</v>
      </c>
      <c r="GE21" s="193">
        <v>1</v>
      </c>
      <c r="GF21" s="193">
        <v>1.2</v>
      </c>
      <c r="GG21" s="382">
        <v>1</v>
      </c>
      <c r="GH21" s="193">
        <v>0</v>
      </c>
      <c r="GI21" s="193">
        <v>0.8</v>
      </c>
      <c r="GJ21" s="193">
        <v>1</v>
      </c>
      <c r="GK21" s="193">
        <v>1.2</v>
      </c>
      <c r="GL21" s="382">
        <v>1</v>
      </c>
      <c r="GM21" s="193">
        <v>0</v>
      </c>
      <c r="GN21" s="193">
        <v>0.8</v>
      </c>
      <c r="GO21" s="193">
        <v>1</v>
      </c>
      <c r="GP21" s="187">
        <v>1.2</v>
      </c>
      <c r="GQ21" s="382">
        <v>1</v>
      </c>
    </row>
    <row r="22" spans="1:199">
      <c r="A22" s="195"/>
      <c r="B22" s="188"/>
      <c r="C22" s="188"/>
      <c r="D22" s="188" t="s">
        <v>965</v>
      </c>
      <c r="E22" s="190">
        <v>0</v>
      </c>
      <c r="F22" s="193">
        <v>0.9</v>
      </c>
      <c r="G22" s="201">
        <v>1</v>
      </c>
      <c r="H22" s="201">
        <v>1.1000000000000001</v>
      </c>
      <c r="I22" s="383">
        <v>1</v>
      </c>
      <c r="J22" s="383">
        <v>0</v>
      </c>
      <c r="K22" s="201">
        <v>0.9</v>
      </c>
      <c r="L22" s="201">
        <v>1</v>
      </c>
      <c r="M22" s="201">
        <v>1.1000000000000001</v>
      </c>
      <c r="N22" s="383">
        <v>1</v>
      </c>
      <c r="O22" s="383">
        <v>0</v>
      </c>
      <c r="P22" s="201">
        <v>0.9</v>
      </c>
      <c r="Q22" s="201">
        <v>1</v>
      </c>
      <c r="R22" s="202">
        <v>1.1000000000000001</v>
      </c>
      <c r="S22" s="382">
        <v>1</v>
      </c>
      <c r="T22" s="190">
        <v>0</v>
      </c>
      <c r="U22" s="193">
        <v>0.9</v>
      </c>
      <c r="V22" s="201">
        <v>1</v>
      </c>
      <c r="W22" s="201">
        <v>1.1000000000000001</v>
      </c>
      <c r="X22" s="382">
        <v>1</v>
      </c>
      <c r="Y22" s="200">
        <v>0</v>
      </c>
      <c r="Z22" s="201">
        <v>0.9</v>
      </c>
      <c r="AA22" s="201">
        <v>1</v>
      </c>
      <c r="AB22" s="201">
        <v>1.1000000000000001</v>
      </c>
      <c r="AC22" s="382">
        <v>1</v>
      </c>
      <c r="AD22" s="200">
        <v>0</v>
      </c>
      <c r="AE22" s="201">
        <v>0.9</v>
      </c>
      <c r="AF22" s="201">
        <v>1</v>
      </c>
      <c r="AG22" s="383">
        <v>1.1000000000000001</v>
      </c>
      <c r="AH22" s="383">
        <v>1</v>
      </c>
      <c r="AI22" s="383">
        <v>0</v>
      </c>
      <c r="AJ22" s="383">
        <v>0.9</v>
      </c>
      <c r="AK22" s="201">
        <v>1</v>
      </c>
      <c r="AL22" s="201">
        <v>1.1000000000000001</v>
      </c>
      <c r="AM22" s="383">
        <v>1</v>
      </c>
      <c r="AN22" s="383">
        <v>0</v>
      </c>
      <c r="AO22" s="201">
        <v>0.9</v>
      </c>
      <c r="AP22" s="201">
        <v>1</v>
      </c>
      <c r="AQ22" s="201">
        <v>1.1000000000000001</v>
      </c>
      <c r="AR22" s="382">
        <v>1</v>
      </c>
      <c r="AS22" s="200">
        <v>0</v>
      </c>
      <c r="AT22" s="201">
        <v>0.9</v>
      </c>
      <c r="AU22" s="201">
        <v>1</v>
      </c>
      <c r="AV22" s="193">
        <v>1.1000000000000001</v>
      </c>
      <c r="AW22" s="382">
        <v>1</v>
      </c>
      <c r="AX22" s="193">
        <v>0</v>
      </c>
      <c r="AY22" s="193">
        <v>0.9</v>
      </c>
      <c r="AZ22" s="193">
        <v>1</v>
      </c>
      <c r="BA22" s="193">
        <v>1.1000000000000001</v>
      </c>
      <c r="BB22" s="382">
        <v>1</v>
      </c>
      <c r="BC22" s="193">
        <v>0</v>
      </c>
      <c r="BD22" s="193">
        <v>0.9</v>
      </c>
      <c r="BE22" s="193">
        <v>1</v>
      </c>
      <c r="BF22" s="193">
        <v>1.1000000000000001</v>
      </c>
      <c r="BG22" s="382">
        <v>1</v>
      </c>
      <c r="BH22" s="193">
        <v>0</v>
      </c>
      <c r="BI22" s="193">
        <v>0.9</v>
      </c>
      <c r="BJ22" s="193">
        <v>1</v>
      </c>
      <c r="BK22" s="193">
        <v>1.1000000000000001</v>
      </c>
      <c r="BL22" s="382">
        <v>1</v>
      </c>
      <c r="BM22" s="193">
        <v>0</v>
      </c>
      <c r="BN22" s="193">
        <v>0.9</v>
      </c>
      <c r="BO22" s="193">
        <v>1</v>
      </c>
      <c r="BP22" s="193">
        <v>1.1000000000000001</v>
      </c>
      <c r="BQ22" s="382">
        <v>1</v>
      </c>
      <c r="BR22" s="193">
        <v>0</v>
      </c>
      <c r="BS22" s="193">
        <v>0.9</v>
      </c>
      <c r="BT22" s="193">
        <v>1</v>
      </c>
      <c r="BU22" s="193">
        <v>1.1000000000000001</v>
      </c>
      <c r="BV22" s="382">
        <v>1</v>
      </c>
      <c r="BW22" s="193">
        <v>0</v>
      </c>
      <c r="BX22" s="193">
        <v>0.9</v>
      </c>
      <c r="BY22" s="193">
        <v>1</v>
      </c>
      <c r="BZ22" s="193">
        <v>1.1000000000000001</v>
      </c>
      <c r="CA22" s="382">
        <v>1</v>
      </c>
      <c r="CB22" s="193">
        <v>0</v>
      </c>
      <c r="CC22" s="193">
        <v>0.9</v>
      </c>
      <c r="CD22" s="193">
        <v>1</v>
      </c>
      <c r="CE22" s="193">
        <v>1.1000000000000001</v>
      </c>
      <c r="CF22" s="382">
        <v>1</v>
      </c>
      <c r="CG22" s="193">
        <v>0</v>
      </c>
      <c r="CH22" s="193">
        <v>0.9</v>
      </c>
      <c r="CI22" s="193">
        <v>1</v>
      </c>
      <c r="CJ22" s="193">
        <v>1.1000000000000001</v>
      </c>
      <c r="CK22" s="382">
        <v>1</v>
      </c>
      <c r="CL22" s="193">
        <v>0</v>
      </c>
      <c r="CM22" s="193">
        <v>0.9</v>
      </c>
      <c r="CN22" s="193">
        <v>1</v>
      </c>
      <c r="CO22" s="193">
        <v>1.1000000000000001</v>
      </c>
      <c r="CP22" s="382">
        <v>1</v>
      </c>
      <c r="CQ22" s="193">
        <v>0</v>
      </c>
      <c r="CR22" s="193">
        <v>0.9</v>
      </c>
      <c r="CS22" s="193">
        <v>1</v>
      </c>
      <c r="CT22" s="193">
        <v>1.1000000000000001</v>
      </c>
      <c r="CU22" s="382">
        <v>1</v>
      </c>
      <c r="CV22" s="193">
        <v>0</v>
      </c>
      <c r="CW22" s="193">
        <v>0.9</v>
      </c>
      <c r="CX22" s="193">
        <v>1</v>
      </c>
      <c r="CY22" s="193">
        <v>1.1000000000000001</v>
      </c>
      <c r="CZ22" s="382">
        <v>1</v>
      </c>
      <c r="DA22" s="193">
        <v>0</v>
      </c>
      <c r="DB22" s="193">
        <v>0.9</v>
      </c>
      <c r="DC22" s="193">
        <v>1</v>
      </c>
      <c r="DD22" s="193">
        <v>1.1000000000000001</v>
      </c>
      <c r="DE22" s="382">
        <v>1</v>
      </c>
      <c r="DF22" s="193">
        <v>0</v>
      </c>
      <c r="DG22" s="193">
        <v>0.9</v>
      </c>
      <c r="DH22" s="193">
        <v>1</v>
      </c>
      <c r="DI22" s="193">
        <v>1.1000000000000001</v>
      </c>
      <c r="DJ22" s="382">
        <v>1</v>
      </c>
      <c r="DK22" s="193">
        <v>0</v>
      </c>
      <c r="DL22" s="193">
        <v>0.9</v>
      </c>
      <c r="DM22" s="193">
        <v>1</v>
      </c>
      <c r="DN22" s="193">
        <v>1.1000000000000001</v>
      </c>
      <c r="DO22" s="382">
        <v>1</v>
      </c>
      <c r="DP22" s="193">
        <v>0</v>
      </c>
      <c r="DQ22" s="193">
        <v>0.9</v>
      </c>
      <c r="DR22" s="193">
        <v>1</v>
      </c>
      <c r="DS22" s="193">
        <v>1.1000000000000001</v>
      </c>
      <c r="DT22" s="382">
        <v>1</v>
      </c>
      <c r="DU22" s="193">
        <v>0</v>
      </c>
      <c r="DV22" s="193">
        <v>0.9</v>
      </c>
      <c r="DW22" s="193">
        <v>1</v>
      </c>
      <c r="DX22" s="193">
        <v>1.1000000000000001</v>
      </c>
      <c r="DY22" s="382">
        <v>1</v>
      </c>
      <c r="DZ22" s="193">
        <v>0</v>
      </c>
      <c r="EA22" s="193">
        <v>0.9</v>
      </c>
      <c r="EB22" s="193">
        <v>1</v>
      </c>
      <c r="EC22" s="193">
        <v>1.1000000000000001</v>
      </c>
      <c r="ED22" s="382">
        <v>1</v>
      </c>
      <c r="EE22" s="193">
        <v>0</v>
      </c>
      <c r="EF22" s="193">
        <v>0.9</v>
      </c>
      <c r="EG22" s="193">
        <v>1</v>
      </c>
      <c r="EH22" s="193">
        <v>1.1000000000000001</v>
      </c>
      <c r="EI22" s="382">
        <v>1</v>
      </c>
      <c r="EJ22" s="193">
        <v>0</v>
      </c>
      <c r="EK22" s="193">
        <v>0.9</v>
      </c>
      <c r="EL22" s="193">
        <v>1</v>
      </c>
      <c r="EM22" s="193">
        <v>1.1000000000000001</v>
      </c>
      <c r="EN22" s="382">
        <v>1</v>
      </c>
      <c r="EO22" s="193">
        <v>0</v>
      </c>
      <c r="EP22" s="193">
        <v>0.9</v>
      </c>
      <c r="EQ22" s="193">
        <v>1</v>
      </c>
      <c r="ER22" s="193">
        <v>1.1000000000000001</v>
      </c>
      <c r="ES22" s="382">
        <v>1</v>
      </c>
      <c r="ET22" s="193">
        <v>0</v>
      </c>
      <c r="EU22" s="193">
        <v>0.9</v>
      </c>
      <c r="EV22" s="193">
        <v>1</v>
      </c>
      <c r="EW22" s="193">
        <v>1.1000000000000001</v>
      </c>
      <c r="EX22" s="382">
        <v>1</v>
      </c>
      <c r="EY22" s="193">
        <v>0</v>
      </c>
      <c r="EZ22" s="193">
        <v>0.9</v>
      </c>
      <c r="FA22" s="193">
        <v>1</v>
      </c>
      <c r="FB22" s="193">
        <v>1.1000000000000001</v>
      </c>
      <c r="FC22" s="382">
        <v>1</v>
      </c>
      <c r="FD22" s="193">
        <v>0</v>
      </c>
      <c r="FE22" s="193">
        <v>0.9</v>
      </c>
      <c r="FF22" s="193">
        <v>1</v>
      </c>
      <c r="FG22" s="193">
        <v>1.1000000000000001</v>
      </c>
      <c r="FH22" s="382">
        <v>1</v>
      </c>
      <c r="FI22" s="193">
        <v>0</v>
      </c>
      <c r="FJ22" s="193">
        <v>0.9</v>
      </c>
      <c r="FK22" s="193">
        <v>1</v>
      </c>
      <c r="FL22" s="193">
        <v>1.1000000000000001</v>
      </c>
      <c r="FM22" s="382">
        <v>1</v>
      </c>
      <c r="FN22" s="193">
        <v>0</v>
      </c>
      <c r="FO22" s="193">
        <v>0.9</v>
      </c>
      <c r="FP22" s="193">
        <v>1</v>
      </c>
      <c r="FQ22" s="193">
        <v>1.1000000000000001</v>
      </c>
      <c r="FR22" s="382">
        <v>1</v>
      </c>
      <c r="FS22" s="193">
        <v>0</v>
      </c>
      <c r="FT22" s="193">
        <v>0.9</v>
      </c>
      <c r="FU22" s="193">
        <v>1</v>
      </c>
      <c r="FV22" s="193">
        <v>1.1000000000000001</v>
      </c>
      <c r="FW22" s="382">
        <v>1</v>
      </c>
      <c r="FX22" s="193">
        <v>0</v>
      </c>
      <c r="FY22" s="193">
        <v>0.9</v>
      </c>
      <c r="FZ22" s="193">
        <v>1</v>
      </c>
      <c r="GA22" s="193">
        <v>1.1000000000000001</v>
      </c>
      <c r="GB22" s="382">
        <v>1</v>
      </c>
      <c r="GC22" s="193">
        <v>0</v>
      </c>
      <c r="GD22" s="193">
        <v>0.9</v>
      </c>
      <c r="GE22" s="193">
        <v>1</v>
      </c>
      <c r="GF22" s="193">
        <v>1.1000000000000001</v>
      </c>
      <c r="GG22" s="382">
        <v>1</v>
      </c>
      <c r="GH22" s="193">
        <v>0</v>
      </c>
      <c r="GI22" s="193">
        <v>0.9</v>
      </c>
      <c r="GJ22" s="193">
        <v>1</v>
      </c>
      <c r="GK22" s="193">
        <v>1.1000000000000001</v>
      </c>
      <c r="GL22" s="382">
        <v>1</v>
      </c>
      <c r="GM22" s="193">
        <v>0</v>
      </c>
      <c r="GN22" s="193">
        <v>0.9</v>
      </c>
      <c r="GO22" s="193">
        <v>1</v>
      </c>
      <c r="GP22" s="187">
        <v>1.1000000000000001</v>
      </c>
      <c r="GQ22" s="382">
        <v>1</v>
      </c>
    </row>
    <row r="23" spans="1:199">
      <c r="A23" s="195"/>
      <c r="B23" s="188"/>
      <c r="C23" s="188"/>
      <c r="D23" s="188" t="s">
        <v>231</v>
      </c>
      <c r="E23" s="190">
        <v>0</v>
      </c>
      <c r="F23" s="193">
        <v>0.9</v>
      </c>
      <c r="G23" s="201">
        <v>1</v>
      </c>
      <c r="H23" s="201">
        <v>1.1000000000000001</v>
      </c>
      <c r="I23" s="383">
        <v>1</v>
      </c>
      <c r="J23" s="383">
        <v>0</v>
      </c>
      <c r="K23" s="201">
        <v>0</v>
      </c>
      <c r="L23" s="201">
        <v>1</v>
      </c>
      <c r="M23" s="201">
        <v>1.1000000000000001</v>
      </c>
      <c r="N23" s="383">
        <v>1</v>
      </c>
      <c r="O23" s="383">
        <v>0</v>
      </c>
      <c r="P23" s="201">
        <v>0.9</v>
      </c>
      <c r="Q23" s="201">
        <v>1</v>
      </c>
      <c r="R23" s="202">
        <v>1.1000000000000001</v>
      </c>
      <c r="S23" s="382">
        <v>1</v>
      </c>
      <c r="T23" s="190">
        <v>0</v>
      </c>
      <c r="U23" s="193">
        <v>0.9</v>
      </c>
      <c r="V23" s="201">
        <v>1</v>
      </c>
      <c r="W23" s="201">
        <v>1.1000000000000001</v>
      </c>
      <c r="X23" s="382">
        <v>1</v>
      </c>
      <c r="Y23" s="200">
        <v>0</v>
      </c>
      <c r="Z23" s="201">
        <v>0</v>
      </c>
      <c r="AA23" s="201">
        <v>1</v>
      </c>
      <c r="AB23" s="201">
        <v>1.1000000000000001</v>
      </c>
      <c r="AC23" s="382">
        <v>1</v>
      </c>
      <c r="AD23" s="200">
        <v>0</v>
      </c>
      <c r="AE23" s="201">
        <v>0.9</v>
      </c>
      <c r="AF23" s="201">
        <v>1</v>
      </c>
      <c r="AG23" s="383">
        <v>1.1000000000000001</v>
      </c>
      <c r="AH23" s="383">
        <v>1</v>
      </c>
      <c r="AI23" s="383">
        <v>0</v>
      </c>
      <c r="AJ23" s="383">
        <v>0.9</v>
      </c>
      <c r="AK23" s="201">
        <v>1</v>
      </c>
      <c r="AL23" s="201">
        <v>1.1000000000000001</v>
      </c>
      <c r="AM23" s="383">
        <v>1</v>
      </c>
      <c r="AN23" s="383">
        <v>0</v>
      </c>
      <c r="AO23" s="201">
        <v>0</v>
      </c>
      <c r="AP23" s="201">
        <v>1</v>
      </c>
      <c r="AQ23" s="201">
        <v>1.1000000000000001</v>
      </c>
      <c r="AR23" s="382">
        <v>1</v>
      </c>
      <c r="AS23" s="200">
        <v>0</v>
      </c>
      <c r="AT23" s="201">
        <v>0.9</v>
      </c>
      <c r="AU23" s="201">
        <v>1</v>
      </c>
      <c r="AV23" s="193">
        <v>1.1000000000000001</v>
      </c>
      <c r="AW23" s="382">
        <v>1</v>
      </c>
      <c r="AX23" s="193">
        <v>0</v>
      </c>
      <c r="AY23" s="193">
        <v>0.9</v>
      </c>
      <c r="AZ23" s="193">
        <v>1</v>
      </c>
      <c r="BA23" s="193">
        <v>1.1000000000000001</v>
      </c>
      <c r="BB23" s="382">
        <v>1</v>
      </c>
      <c r="BC23" s="193">
        <v>0</v>
      </c>
      <c r="BD23" s="193">
        <v>0</v>
      </c>
      <c r="BE23" s="193">
        <v>1</v>
      </c>
      <c r="BF23" s="193">
        <v>1.1000000000000001</v>
      </c>
      <c r="BG23" s="382">
        <v>1</v>
      </c>
      <c r="BH23" s="193">
        <v>0</v>
      </c>
      <c r="BI23" s="193">
        <v>0.9</v>
      </c>
      <c r="BJ23" s="193">
        <v>1</v>
      </c>
      <c r="BK23" s="193">
        <v>1.1000000000000001</v>
      </c>
      <c r="BL23" s="382">
        <v>1</v>
      </c>
      <c r="BM23" s="193">
        <v>0</v>
      </c>
      <c r="BN23" s="193">
        <v>0.9</v>
      </c>
      <c r="BO23" s="193">
        <v>1</v>
      </c>
      <c r="BP23" s="193">
        <v>1.1000000000000001</v>
      </c>
      <c r="BQ23" s="382">
        <v>1</v>
      </c>
      <c r="BR23" s="193">
        <v>0</v>
      </c>
      <c r="BS23" s="193">
        <v>0</v>
      </c>
      <c r="BT23" s="193">
        <v>1</v>
      </c>
      <c r="BU23" s="193">
        <v>1.1000000000000001</v>
      </c>
      <c r="BV23" s="382">
        <v>1</v>
      </c>
      <c r="BW23" s="193">
        <v>0</v>
      </c>
      <c r="BX23" s="193">
        <v>0.9</v>
      </c>
      <c r="BY23" s="193">
        <v>1</v>
      </c>
      <c r="BZ23" s="193">
        <v>1.1000000000000001</v>
      </c>
      <c r="CA23" s="382">
        <v>1</v>
      </c>
      <c r="CB23" s="193">
        <v>0</v>
      </c>
      <c r="CC23" s="193">
        <v>0.9</v>
      </c>
      <c r="CD23" s="193">
        <v>1</v>
      </c>
      <c r="CE23" s="193">
        <v>1.1000000000000001</v>
      </c>
      <c r="CF23" s="382">
        <v>1</v>
      </c>
      <c r="CG23" s="193">
        <v>0</v>
      </c>
      <c r="CH23" s="193">
        <v>0</v>
      </c>
      <c r="CI23" s="193">
        <v>1</v>
      </c>
      <c r="CJ23" s="193">
        <v>1.1000000000000001</v>
      </c>
      <c r="CK23" s="382">
        <v>1</v>
      </c>
      <c r="CL23" s="193">
        <v>0</v>
      </c>
      <c r="CM23" s="193">
        <v>0.9</v>
      </c>
      <c r="CN23" s="193">
        <v>1</v>
      </c>
      <c r="CO23" s="193">
        <v>1.1000000000000001</v>
      </c>
      <c r="CP23" s="382">
        <v>1</v>
      </c>
      <c r="CQ23" s="193">
        <v>0</v>
      </c>
      <c r="CR23" s="193">
        <v>0.9</v>
      </c>
      <c r="CS23" s="193">
        <v>1</v>
      </c>
      <c r="CT23" s="193">
        <v>1.1000000000000001</v>
      </c>
      <c r="CU23" s="382">
        <v>1</v>
      </c>
      <c r="CV23" s="193">
        <v>0</v>
      </c>
      <c r="CW23" s="193">
        <v>0</v>
      </c>
      <c r="CX23" s="193">
        <v>1</v>
      </c>
      <c r="CY23" s="193">
        <v>1.1000000000000001</v>
      </c>
      <c r="CZ23" s="382">
        <v>1</v>
      </c>
      <c r="DA23" s="193">
        <v>0</v>
      </c>
      <c r="DB23" s="193">
        <v>0.9</v>
      </c>
      <c r="DC23" s="193">
        <v>1</v>
      </c>
      <c r="DD23" s="193">
        <v>1.1000000000000001</v>
      </c>
      <c r="DE23" s="382">
        <v>1</v>
      </c>
      <c r="DF23" s="193">
        <v>0</v>
      </c>
      <c r="DG23" s="193">
        <v>0.9</v>
      </c>
      <c r="DH23" s="193">
        <v>1</v>
      </c>
      <c r="DI23" s="193">
        <v>1.1000000000000001</v>
      </c>
      <c r="DJ23" s="382">
        <v>1</v>
      </c>
      <c r="DK23" s="193">
        <v>0</v>
      </c>
      <c r="DL23" s="193">
        <v>0</v>
      </c>
      <c r="DM23" s="193">
        <v>1</v>
      </c>
      <c r="DN23" s="193">
        <v>1.1000000000000001</v>
      </c>
      <c r="DO23" s="382">
        <v>1</v>
      </c>
      <c r="DP23" s="193">
        <v>0</v>
      </c>
      <c r="DQ23" s="193">
        <v>0.9</v>
      </c>
      <c r="DR23" s="193">
        <v>1</v>
      </c>
      <c r="DS23" s="193">
        <v>1.1000000000000001</v>
      </c>
      <c r="DT23" s="382">
        <v>1</v>
      </c>
      <c r="DU23" s="193">
        <v>0</v>
      </c>
      <c r="DV23" s="193">
        <v>0.9</v>
      </c>
      <c r="DW23" s="193">
        <v>1</v>
      </c>
      <c r="DX23" s="193">
        <v>1.1000000000000001</v>
      </c>
      <c r="DY23" s="382">
        <v>1</v>
      </c>
      <c r="DZ23" s="193">
        <v>0</v>
      </c>
      <c r="EA23" s="193">
        <v>0</v>
      </c>
      <c r="EB23" s="193">
        <v>1</v>
      </c>
      <c r="EC23" s="193">
        <v>1.1000000000000001</v>
      </c>
      <c r="ED23" s="382">
        <v>1</v>
      </c>
      <c r="EE23" s="193">
        <v>0</v>
      </c>
      <c r="EF23" s="193">
        <v>0.9</v>
      </c>
      <c r="EG23" s="193">
        <v>1</v>
      </c>
      <c r="EH23" s="193">
        <v>1.1000000000000001</v>
      </c>
      <c r="EI23" s="382">
        <v>1</v>
      </c>
      <c r="EJ23" s="193">
        <v>0</v>
      </c>
      <c r="EK23" s="193">
        <v>0.9</v>
      </c>
      <c r="EL23" s="193">
        <v>1</v>
      </c>
      <c r="EM23" s="193">
        <v>1.1000000000000001</v>
      </c>
      <c r="EN23" s="382">
        <v>1</v>
      </c>
      <c r="EO23" s="193">
        <v>0</v>
      </c>
      <c r="EP23" s="193">
        <v>0</v>
      </c>
      <c r="EQ23" s="193">
        <v>1</v>
      </c>
      <c r="ER23" s="193">
        <v>1.1000000000000001</v>
      </c>
      <c r="ES23" s="382">
        <v>1</v>
      </c>
      <c r="ET23" s="193">
        <v>0</v>
      </c>
      <c r="EU23" s="193">
        <v>0.9</v>
      </c>
      <c r="EV23" s="193">
        <v>1</v>
      </c>
      <c r="EW23" s="193">
        <v>1.1000000000000001</v>
      </c>
      <c r="EX23" s="382">
        <v>1</v>
      </c>
      <c r="EY23" s="193">
        <v>0</v>
      </c>
      <c r="EZ23" s="193">
        <v>0.9</v>
      </c>
      <c r="FA23" s="193">
        <v>1</v>
      </c>
      <c r="FB23" s="193">
        <v>1.1000000000000001</v>
      </c>
      <c r="FC23" s="382">
        <v>1</v>
      </c>
      <c r="FD23" s="193">
        <v>0</v>
      </c>
      <c r="FE23" s="193">
        <v>0</v>
      </c>
      <c r="FF23" s="193">
        <v>1</v>
      </c>
      <c r="FG23" s="193">
        <v>1.1000000000000001</v>
      </c>
      <c r="FH23" s="382">
        <v>1</v>
      </c>
      <c r="FI23" s="193">
        <v>0</v>
      </c>
      <c r="FJ23" s="193">
        <v>0.9</v>
      </c>
      <c r="FK23" s="193">
        <v>1</v>
      </c>
      <c r="FL23" s="193">
        <v>1.1000000000000001</v>
      </c>
      <c r="FM23" s="382">
        <v>1</v>
      </c>
      <c r="FN23" s="193">
        <v>0</v>
      </c>
      <c r="FO23" s="193">
        <v>0.9</v>
      </c>
      <c r="FP23" s="193">
        <v>1</v>
      </c>
      <c r="FQ23" s="193">
        <v>1.1000000000000001</v>
      </c>
      <c r="FR23" s="382">
        <v>1</v>
      </c>
      <c r="FS23" s="193">
        <v>0</v>
      </c>
      <c r="FT23" s="193">
        <v>0</v>
      </c>
      <c r="FU23" s="193">
        <v>1</v>
      </c>
      <c r="FV23" s="193">
        <v>1.1000000000000001</v>
      </c>
      <c r="FW23" s="382">
        <v>1</v>
      </c>
      <c r="FX23" s="193">
        <v>0</v>
      </c>
      <c r="FY23" s="193">
        <v>0.9</v>
      </c>
      <c r="FZ23" s="193">
        <v>1</v>
      </c>
      <c r="GA23" s="193">
        <v>1.1000000000000001</v>
      </c>
      <c r="GB23" s="382">
        <v>1</v>
      </c>
      <c r="GC23" s="193">
        <v>0</v>
      </c>
      <c r="GD23" s="193">
        <v>0.9</v>
      </c>
      <c r="GE23" s="193">
        <v>1</v>
      </c>
      <c r="GF23" s="193">
        <v>1.1000000000000001</v>
      </c>
      <c r="GG23" s="382">
        <v>1</v>
      </c>
      <c r="GH23" s="193">
        <v>0</v>
      </c>
      <c r="GI23" s="193">
        <v>0</v>
      </c>
      <c r="GJ23" s="193">
        <v>1</v>
      </c>
      <c r="GK23" s="193">
        <v>1.1000000000000001</v>
      </c>
      <c r="GL23" s="382">
        <v>1</v>
      </c>
      <c r="GM23" s="193">
        <v>0</v>
      </c>
      <c r="GN23" s="193">
        <v>0.9</v>
      </c>
      <c r="GO23" s="193">
        <v>1</v>
      </c>
      <c r="GP23" s="187">
        <v>1.1000000000000001</v>
      </c>
      <c r="GQ23" s="382">
        <v>1</v>
      </c>
    </row>
    <row r="24" spans="1:199">
      <c r="A24" s="195"/>
      <c r="B24" s="188"/>
      <c r="C24" s="188"/>
      <c r="D24" s="188" t="s">
        <v>966</v>
      </c>
      <c r="E24" s="190">
        <v>0</v>
      </c>
      <c r="F24" s="193">
        <v>0.8</v>
      </c>
      <c r="G24" s="201">
        <v>1</v>
      </c>
      <c r="H24" s="201">
        <v>1.2</v>
      </c>
      <c r="I24" s="383">
        <v>1</v>
      </c>
      <c r="J24" s="383">
        <v>0</v>
      </c>
      <c r="K24" s="201">
        <v>0.8</v>
      </c>
      <c r="L24" s="201">
        <v>1</v>
      </c>
      <c r="M24" s="201">
        <v>1.2</v>
      </c>
      <c r="N24" s="383">
        <v>1</v>
      </c>
      <c r="O24" s="383">
        <v>0</v>
      </c>
      <c r="P24" s="201">
        <v>0.8</v>
      </c>
      <c r="Q24" s="201">
        <v>1</v>
      </c>
      <c r="R24" s="202">
        <v>1.2</v>
      </c>
      <c r="S24" s="382">
        <v>1</v>
      </c>
      <c r="T24" s="190">
        <v>0</v>
      </c>
      <c r="U24" s="193">
        <v>0.8</v>
      </c>
      <c r="V24" s="201">
        <v>1</v>
      </c>
      <c r="W24" s="201">
        <v>1.2</v>
      </c>
      <c r="X24" s="382">
        <v>1</v>
      </c>
      <c r="Y24" s="200">
        <v>0</v>
      </c>
      <c r="Z24" s="201">
        <v>0.8</v>
      </c>
      <c r="AA24" s="201">
        <v>1</v>
      </c>
      <c r="AB24" s="201">
        <v>1.2</v>
      </c>
      <c r="AC24" s="382">
        <v>1</v>
      </c>
      <c r="AD24" s="200">
        <v>0</v>
      </c>
      <c r="AE24" s="201">
        <v>0.8</v>
      </c>
      <c r="AF24" s="201">
        <v>1</v>
      </c>
      <c r="AG24" s="383">
        <v>1.2</v>
      </c>
      <c r="AH24" s="383">
        <v>1</v>
      </c>
      <c r="AI24" s="383">
        <v>0</v>
      </c>
      <c r="AJ24" s="383">
        <v>0.8</v>
      </c>
      <c r="AK24" s="201">
        <v>1</v>
      </c>
      <c r="AL24" s="201">
        <v>1.2</v>
      </c>
      <c r="AM24" s="383">
        <v>1</v>
      </c>
      <c r="AN24" s="383">
        <v>0</v>
      </c>
      <c r="AO24" s="201">
        <v>0.8</v>
      </c>
      <c r="AP24" s="201">
        <v>1</v>
      </c>
      <c r="AQ24" s="201">
        <v>1.2</v>
      </c>
      <c r="AR24" s="382">
        <v>1</v>
      </c>
      <c r="AS24" s="200">
        <v>0</v>
      </c>
      <c r="AT24" s="201">
        <v>0.8</v>
      </c>
      <c r="AU24" s="201">
        <v>1</v>
      </c>
      <c r="AV24" s="193">
        <v>1.2</v>
      </c>
      <c r="AW24" s="382">
        <v>1</v>
      </c>
      <c r="AX24" s="193">
        <v>0</v>
      </c>
      <c r="AY24" s="193">
        <v>0.8</v>
      </c>
      <c r="AZ24" s="193">
        <v>1</v>
      </c>
      <c r="BA24" s="193">
        <v>1.2</v>
      </c>
      <c r="BB24" s="382">
        <v>1</v>
      </c>
      <c r="BC24" s="193">
        <v>0</v>
      </c>
      <c r="BD24" s="193">
        <v>0.8</v>
      </c>
      <c r="BE24" s="193">
        <v>1</v>
      </c>
      <c r="BF24" s="193">
        <v>1.2</v>
      </c>
      <c r="BG24" s="382">
        <v>1</v>
      </c>
      <c r="BH24" s="193">
        <v>0</v>
      </c>
      <c r="BI24" s="193">
        <v>0.8</v>
      </c>
      <c r="BJ24" s="193">
        <v>1</v>
      </c>
      <c r="BK24" s="193">
        <v>1.2</v>
      </c>
      <c r="BL24" s="382">
        <v>1</v>
      </c>
      <c r="BM24" s="193">
        <v>0</v>
      </c>
      <c r="BN24" s="193">
        <v>0.8</v>
      </c>
      <c r="BO24" s="193">
        <v>1</v>
      </c>
      <c r="BP24" s="193">
        <v>1.2</v>
      </c>
      <c r="BQ24" s="382">
        <v>1</v>
      </c>
      <c r="BR24" s="193">
        <v>0</v>
      </c>
      <c r="BS24" s="193">
        <v>0.8</v>
      </c>
      <c r="BT24" s="193">
        <v>1</v>
      </c>
      <c r="BU24" s="193">
        <v>1.2</v>
      </c>
      <c r="BV24" s="382">
        <v>1</v>
      </c>
      <c r="BW24" s="193">
        <v>0</v>
      </c>
      <c r="BX24" s="193">
        <v>0.8</v>
      </c>
      <c r="BY24" s="193">
        <v>1</v>
      </c>
      <c r="BZ24" s="193">
        <v>1.2</v>
      </c>
      <c r="CA24" s="382">
        <v>1</v>
      </c>
      <c r="CB24" s="193">
        <v>0</v>
      </c>
      <c r="CC24" s="193">
        <v>0.8</v>
      </c>
      <c r="CD24" s="193">
        <v>1</v>
      </c>
      <c r="CE24" s="193">
        <v>1.2</v>
      </c>
      <c r="CF24" s="382">
        <v>1</v>
      </c>
      <c r="CG24" s="193">
        <v>0</v>
      </c>
      <c r="CH24" s="193">
        <v>0.8</v>
      </c>
      <c r="CI24" s="193">
        <v>1</v>
      </c>
      <c r="CJ24" s="193">
        <v>1.2</v>
      </c>
      <c r="CK24" s="382">
        <v>1</v>
      </c>
      <c r="CL24" s="193">
        <v>0</v>
      </c>
      <c r="CM24" s="193">
        <v>0.8</v>
      </c>
      <c r="CN24" s="193">
        <v>1</v>
      </c>
      <c r="CO24" s="193">
        <v>1.2</v>
      </c>
      <c r="CP24" s="382">
        <v>1</v>
      </c>
      <c r="CQ24" s="193">
        <v>0</v>
      </c>
      <c r="CR24" s="193">
        <v>0.8</v>
      </c>
      <c r="CS24" s="193">
        <v>1</v>
      </c>
      <c r="CT24" s="193">
        <v>1.2</v>
      </c>
      <c r="CU24" s="382">
        <v>1</v>
      </c>
      <c r="CV24" s="193">
        <v>0</v>
      </c>
      <c r="CW24" s="193">
        <v>0.8</v>
      </c>
      <c r="CX24" s="193">
        <v>1</v>
      </c>
      <c r="CY24" s="193">
        <v>1.2</v>
      </c>
      <c r="CZ24" s="382">
        <v>1</v>
      </c>
      <c r="DA24" s="193">
        <v>0</v>
      </c>
      <c r="DB24" s="193">
        <v>0.8</v>
      </c>
      <c r="DC24" s="193">
        <v>1</v>
      </c>
      <c r="DD24" s="193">
        <v>1.2</v>
      </c>
      <c r="DE24" s="382">
        <v>1</v>
      </c>
      <c r="DF24" s="193">
        <v>0</v>
      </c>
      <c r="DG24" s="193">
        <v>0.8</v>
      </c>
      <c r="DH24" s="193">
        <v>1</v>
      </c>
      <c r="DI24" s="193">
        <v>1.2</v>
      </c>
      <c r="DJ24" s="382">
        <v>1</v>
      </c>
      <c r="DK24" s="193">
        <v>0</v>
      </c>
      <c r="DL24" s="193">
        <v>0.8</v>
      </c>
      <c r="DM24" s="193">
        <v>1</v>
      </c>
      <c r="DN24" s="193">
        <v>1.2</v>
      </c>
      <c r="DO24" s="382">
        <v>1</v>
      </c>
      <c r="DP24" s="193">
        <v>0</v>
      </c>
      <c r="DQ24" s="193">
        <v>0.8</v>
      </c>
      <c r="DR24" s="193">
        <v>1</v>
      </c>
      <c r="DS24" s="193">
        <v>1.2</v>
      </c>
      <c r="DT24" s="382">
        <v>1</v>
      </c>
      <c r="DU24" s="193">
        <v>0</v>
      </c>
      <c r="DV24" s="193">
        <v>0.8</v>
      </c>
      <c r="DW24" s="193">
        <v>1</v>
      </c>
      <c r="DX24" s="193">
        <v>1.2</v>
      </c>
      <c r="DY24" s="382">
        <v>1</v>
      </c>
      <c r="DZ24" s="193">
        <v>0</v>
      </c>
      <c r="EA24" s="193">
        <v>0.8</v>
      </c>
      <c r="EB24" s="193">
        <v>1</v>
      </c>
      <c r="EC24" s="193">
        <v>1.2</v>
      </c>
      <c r="ED24" s="382">
        <v>1</v>
      </c>
      <c r="EE24" s="193">
        <v>0</v>
      </c>
      <c r="EF24" s="193">
        <v>0.8</v>
      </c>
      <c r="EG24" s="193">
        <v>1</v>
      </c>
      <c r="EH24" s="193">
        <v>1.2</v>
      </c>
      <c r="EI24" s="382">
        <v>1</v>
      </c>
      <c r="EJ24" s="193">
        <v>0</v>
      </c>
      <c r="EK24" s="193">
        <v>0.8</v>
      </c>
      <c r="EL24" s="193">
        <v>1</v>
      </c>
      <c r="EM24" s="193">
        <v>1.2</v>
      </c>
      <c r="EN24" s="382">
        <v>1</v>
      </c>
      <c r="EO24" s="193">
        <v>0</v>
      </c>
      <c r="EP24" s="193">
        <v>0.8</v>
      </c>
      <c r="EQ24" s="193">
        <v>1</v>
      </c>
      <c r="ER24" s="193">
        <v>1.2</v>
      </c>
      <c r="ES24" s="382">
        <v>1</v>
      </c>
      <c r="ET24" s="193">
        <v>0</v>
      </c>
      <c r="EU24" s="193">
        <v>0.8</v>
      </c>
      <c r="EV24" s="193">
        <v>1</v>
      </c>
      <c r="EW24" s="193">
        <v>1.2</v>
      </c>
      <c r="EX24" s="382">
        <v>1</v>
      </c>
      <c r="EY24" s="193">
        <v>0</v>
      </c>
      <c r="EZ24" s="193">
        <v>0.8</v>
      </c>
      <c r="FA24" s="193">
        <v>1</v>
      </c>
      <c r="FB24" s="193">
        <v>1.2</v>
      </c>
      <c r="FC24" s="382">
        <v>1</v>
      </c>
      <c r="FD24" s="193">
        <v>0</v>
      </c>
      <c r="FE24" s="193">
        <v>0.8</v>
      </c>
      <c r="FF24" s="193">
        <v>1</v>
      </c>
      <c r="FG24" s="193">
        <v>1.2</v>
      </c>
      <c r="FH24" s="382">
        <v>1</v>
      </c>
      <c r="FI24" s="193">
        <v>0</v>
      </c>
      <c r="FJ24" s="193">
        <v>0.8</v>
      </c>
      <c r="FK24" s="193">
        <v>1</v>
      </c>
      <c r="FL24" s="193">
        <v>1.2</v>
      </c>
      <c r="FM24" s="382">
        <v>1</v>
      </c>
      <c r="FN24" s="193">
        <v>0</v>
      </c>
      <c r="FO24" s="193">
        <v>0.8</v>
      </c>
      <c r="FP24" s="193">
        <v>1</v>
      </c>
      <c r="FQ24" s="193">
        <v>1.2</v>
      </c>
      <c r="FR24" s="382">
        <v>1</v>
      </c>
      <c r="FS24" s="193">
        <v>0</v>
      </c>
      <c r="FT24" s="193">
        <v>0.8</v>
      </c>
      <c r="FU24" s="193">
        <v>1</v>
      </c>
      <c r="FV24" s="193">
        <v>1.2</v>
      </c>
      <c r="FW24" s="382">
        <v>1</v>
      </c>
      <c r="FX24" s="193">
        <v>0</v>
      </c>
      <c r="FY24" s="193">
        <v>0.8</v>
      </c>
      <c r="FZ24" s="193">
        <v>1</v>
      </c>
      <c r="GA24" s="193">
        <v>1.2</v>
      </c>
      <c r="GB24" s="382">
        <v>1</v>
      </c>
      <c r="GC24" s="193">
        <v>0</v>
      </c>
      <c r="GD24" s="193">
        <v>0.8</v>
      </c>
      <c r="GE24" s="193">
        <v>1</v>
      </c>
      <c r="GF24" s="193">
        <v>1.2</v>
      </c>
      <c r="GG24" s="382">
        <v>1</v>
      </c>
      <c r="GH24" s="193">
        <v>0</v>
      </c>
      <c r="GI24" s="193">
        <v>0.8</v>
      </c>
      <c r="GJ24" s="193">
        <v>1</v>
      </c>
      <c r="GK24" s="193">
        <v>1.2</v>
      </c>
      <c r="GL24" s="382">
        <v>1</v>
      </c>
      <c r="GM24" s="193">
        <v>0</v>
      </c>
      <c r="GN24" s="193">
        <v>0.8</v>
      </c>
      <c r="GO24" s="193">
        <v>1</v>
      </c>
      <c r="GP24" s="187">
        <v>1.2</v>
      </c>
      <c r="GQ24" s="382">
        <v>1</v>
      </c>
    </row>
    <row r="25" spans="1:199">
      <c r="A25" s="195"/>
      <c r="B25" s="200"/>
      <c r="C25" s="200" t="s">
        <v>989</v>
      </c>
      <c r="D25" s="382" t="s">
        <v>186</v>
      </c>
      <c r="E25" s="386">
        <v>0</v>
      </c>
      <c r="F25" s="201">
        <v>0.8</v>
      </c>
      <c r="G25" s="201">
        <v>1</v>
      </c>
      <c r="H25" s="201">
        <v>1.2</v>
      </c>
      <c r="I25" s="383">
        <v>1</v>
      </c>
      <c r="J25" s="383">
        <v>0</v>
      </c>
      <c r="K25" s="201">
        <v>0</v>
      </c>
      <c r="L25" s="201">
        <v>1</v>
      </c>
      <c r="M25" s="201">
        <v>1.2</v>
      </c>
      <c r="N25" s="383">
        <v>1</v>
      </c>
      <c r="O25" s="383">
        <v>0</v>
      </c>
      <c r="P25" s="201">
        <v>0.8</v>
      </c>
      <c r="Q25" s="201">
        <v>1</v>
      </c>
      <c r="R25" s="202">
        <v>1.2</v>
      </c>
      <c r="S25" s="382">
        <v>1</v>
      </c>
      <c r="T25" s="386">
        <v>0</v>
      </c>
      <c r="U25" s="201">
        <v>0.8</v>
      </c>
      <c r="V25" s="201">
        <v>1</v>
      </c>
      <c r="W25" s="201">
        <v>1.2</v>
      </c>
      <c r="X25" s="382">
        <v>1</v>
      </c>
      <c r="Y25" s="200">
        <v>0</v>
      </c>
      <c r="Z25" s="201">
        <v>0</v>
      </c>
      <c r="AA25" s="201">
        <v>1</v>
      </c>
      <c r="AB25" s="201">
        <v>1.2</v>
      </c>
      <c r="AC25" s="382">
        <v>1</v>
      </c>
      <c r="AD25" s="200">
        <v>0</v>
      </c>
      <c r="AE25" s="201">
        <v>0.8</v>
      </c>
      <c r="AF25" s="201">
        <v>1</v>
      </c>
      <c r="AG25" s="383">
        <v>1.2</v>
      </c>
      <c r="AH25" s="383">
        <v>1</v>
      </c>
      <c r="AI25" s="383">
        <v>0</v>
      </c>
      <c r="AJ25" s="383">
        <v>0.8</v>
      </c>
      <c r="AK25" s="201">
        <v>1</v>
      </c>
      <c r="AL25" s="201">
        <v>1.2</v>
      </c>
      <c r="AM25" s="383">
        <v>1</v>
      </c>
      <c r="AN25" s="383">
        <v>0</v>
      </c>
      <c r="AO25" s="201">
        <v>0</v>
      </c>
      <c r="AP25" s="201">
        <v>1</v>
      </c>
      <c r="AQ25" s="201">
        <v>1.2</v>
      </c>
      <c r="AR25" s="382">
        <v>1</v>
      </c>
      <c r="AS25" s="200">
        <v>0</v>
      </c>
      <c r="AT25" s="201">
        <v>0.8</v>
      </c>
      <c r="AU25" s="201">
        <v>1</v>
      </c>
      <c r="AV25" s="201">
        <v>1.2</v>
      </c>
      <c r="AW25" s="382">
        <v>1</v>
      </c>
      <c r="AX25" s="201">
        <v>0</v>
      </c>
      <c r="AY25" s="201">
        <v>0.8</v>
      </c>
      <c r="AZ25" s="201">
        <v>1</v>
      </c>
      <c r="BA25" s="201">
        <v>1.2</v>
      </c>
      <c r="BB25" s="382">
        <v>1</v>
      </c>
      <c r="BC25" s="201">
        <v>0</v>
      </c>
      <c r="BD25" s="201">
        <v>0</v>
      </c>
      <c r="BE25" s="201">
        <v>1</v>
      </c>
      <c r="BF25" s="201">
        <v>1.2</v>
      </c>
      <c r="BG25" s="382">
        <v>1</v>
      </c>
      <c r="BH25" s="201">
        <v>0</v>
      </c>
      <c r="BI25" s="201">
        <v>0.8</v>
      </c>
      <c r="BJ25" s="201">
        <v>1</v>
      </c>
      <c r="BK25" s="201">
        <v>1.2</v>
      </c>
      <c r="BL25" s="382">
        <v>1</v>
      </c>
      <c r="BM25" s="201">
        <v>0</v>
      </c>
      <c r="BN25" s="201">
        <v>0.8</v>
      </c>
      <c r="BO25" s="201">
        <v>1</v>
      </c>
      <c r="BP25" s="201">
        <v>1.2</v>
      </c>
      <c r="BQ25" s="382">
        <v>1</v>
      </c>
      <c r="BR25" s="201">
        <v>0</v>
      </c>
      <c r="BS25" s="201">
        <v>0</v>
      </c>
      <c r="BT25" s="201">
        <v>1</v>
      </c>
      <c r="BU25" s="201">
        <v>1.2</v>
      </c>
      <c r="BV25" s="382">
        <v>1</v>
      </c>
      <c r="BW25" s="201">
        <v>0</v>
      </c>
      <c r="BX25" s="201">
        <v>0.8</v>
      </c>
      <c r="BY25" s="201">
        <v>1</v>
      </c>
      <c r="BZ25" s="201">
        <v>1.2</v>
      </c>
      <c r="CA25" s="382">
        <v>1</v>
      </c>
      <c r="CB25" s="201">
        <v>0</v>
      </c>
      <c r="CC25" s="201">
        <v>0.8</v>
      </c>
      <c r="CD25" s="201">
        <v>1</v>
      </c>
      <c r="CE25" s="201">
        <v>1.2</v>
      </c>
      <c r="CF25" s="382">
        <v>1</v>
      </c>
      <c r="CG25" s="201">
        <v>0</v>
      </c>
      <c r="CH25" s="201">
        <v>0</v>
      </c>
      <c r="CI25" s="201">
        <v>1</v>
      </c>
      <c r="CJ25" s="201">
        <v>1.2</v>
      </c>
      <c r="CK25" s="382">
        <v>1</v>
      </c>
      <c r="CL25" s="201">
        <v>0</v>
      </c>
      <c r="CM25" s="201">
        <v>0.8</v>
      </c>
      <c r="CN25" s="201">
        <v>1</v>
      </c>
      <c r="CO25" s="201">
        <v>1.2</v>
      </c>
      <c r="CP25" s="382">
        <v>1</v>
      </c>
      <c r="CQ25" s="201">
        <v>0</v>
      </c>
      <c r="CR25" s="201">
        <v>0.8</v>
      </c>
      <c r="CS25" s="201">
        <v>1</v>
      </c>
      <c r="CT25" s="201">
        <v>1.2</v>
      </c>
      <c r="CU25" s="382">
        <v>1</v>
      </c>
      <c r="CV25" s="201">
        <v>0</v>
      </c>
      <c r="CW25" s="201">
        <v>0</v>
      </c>
      <c r="CX25" s="201">
        <v>1</v>
      </c>
      <c r="CY25" s="201">
        <v>1.2</v>
      </c>
      <c r="CZ25" s="382">
        <v>1</v>
      </c>
      <c r="DA25" s="201">
        <v>0</v>
      </c>
      <c r="DB25" s="201">
        <v>0.8</v>
      </c>
      <c r="DC25" s="201">
        <v>1</v>
      </c>
      <c r="DD25" s="201">
        <v>1.2</v>
      </c>
      <c r="DE25" s="382">
        <v>1</v>
      </c>
      <c r="DF25" s="201">
        <v>0</v>
      </c>
      <c r="DG25" s="201">
        <v>0.8</v>
      </c>
      <c r="DH25" s="201">
        <v>1</v>
      </c>
      <c r="DI25" s="201">
        <v>1.2</v>
      </c>
      <c r="DJ25" s="382">
        <v>1</v>
      </c>
      <c r="DK25" s="201">
        <v>0</v>
      </c>
      <c r="DL25" s="201">
        <v>0</v>
      </c>
      <c r="DM25" s="201">
        <v>1</v>
      </c>
      <c r="DN25" s="201">
        <v>1.2</v>
      </c>
      <c r="DO25" s="382">
        <v>1</v>
      </c>
      <c r="DP25" s="201">
        <v>0</v>
      </c>
      <c r="DQ25" s="201">
        <v>0.8</v>
      </c>
      <c r="DR25" s="201">
        <v>1</v>
      </c>
      <c r="DS25" s="201">
        <v>1.2</v>
      </c>
      <c r="DT25" s="382">
        <v>1</v>
      </c>
      <c r="DU25" s="201">
        <v>0</v>
      </c>
      <c r="DV25" s="201">
        <v>0.8</v>
      </c>
      <c r="DW25" s="201">
        <v>1</v>
      </c>
      <c r="DX25" s="201">
        <v>1.2</v>
      </c>
      <c r="DY25" s="382">
        <v>1</v>
      </c>
      <c r="DZ25" s="201">
        <v>0</v>
      </c>
      <c r="EA25" s="201">
        <v>0</v>
      </c>
      <c r="EB25" s="201">
        <v>1</v>
      </c>
      <c r="EC25" s="201">
        <v>1.2</v>
      </c>
      <c r="ED25" s="382">
        <v>1</v>
      </c>
      <c r="EE25" s="201">
        <v>0</v>
      </c>
      <c r="EF25" s="201">
        <v>0.8</v>
      </c>
      <c r="EG25" s="201">
        <v>1</v>
      </c>
      <c r="EH25" s="201">
        <v>1.2</v>
      </c>
      <c r="EI25" s="382">
        <v>1</v>
      </c>
      <c r="EJ25" s="201">
        <v>0</v>
      </c>
      <c r="EK25" s="201">
        <v>0.8</v>
      </c>
      <c r="EL25" s="201">
        <v>1</v>
      </c>
      <c r="EM25" s="201">
        <v>1.2</v>
      </c>
      <c r="EN25" s="382">
        <v>1</v>
      </c>
      <c r="EO25" s="201">
        <v>0</v>
      </c>
      <c r="EP25" s="201">
        <v>0</v>
      </c>
      <c r="EQ25" s="201">
        <v>1</v>
      </c>
      <c r="ER25" s="201">
        <v>1.2</v>
      </c>
      <c r="ES25" s="382">
        <v>1</v>
      </c>
      <c r="ET25" s="201">
        <v>0</v>
      </c>
      <c r="EU25" s="201">
        <v>0.8</v>
      </c>
      <c r="EV25" s="201">
        <v>1</v>
      </c>
      <c r="EW25" s="201">
        <v>1.2</v>
      </c>
      <c r="EX25" s="382">
        <v>1</v>
      </c>
      <c r="EY25" s="201">
        <v>0</v>
      </c>
      <c r="EZ25" s="201">
        <v>0.8</v>
      </c>
      <c r="FA25" s="201">
        <v>1</v>
      </c>
      <c r="FB25" s="201">
        <v>1.2</v>
      </c>
      <c r="FC25" s="382">
        <v>1</v>
      </c>
      <c r="FD25" s="201">
        <v>0</v>
      </c>
      <c r="FE25" s="201">
        <v>0</v>
      </c>
      <c r="FF25" s="201">
        <v>1</v>
      </c>
      <c r="FG25" s="201">
        <v>1.2</v>
      </c>
      <c r="FH25" s="382">
        <v>1</v>
      </c>
      <c r="FI25" s="201">
        <v>0</v>
      </c>
      <c r="FJ25" s="201">
        <v>0.8</v>
      </c>
      <c r="FK25" s="201">
        <v>1</v>
      </c>
      <c r="FL25" s="201">
        <v>1.2</v>
      </c>
      <c r="FM25" s="382">
        <v>1</v>
      </c>
      <c r="FN25" s="201">
        <v>0</v>
      </c>
      <c r="FO25" s="201">
        <v>0.8</v>
      </c>
      <c r="FP25" s="201">
        <v>1</v>
      </c>
      <c r="FQ25" s="201">
        <v>1.2</v>
      </c>
      <c r="FR25" s="382">
        <v>1</v>
      </c>
      <c r="FS25" s="201">
        <v>0</v>
      </c>
      <c r="FT25" s="201">
        <v>0</v>
      </c>
      <c r="FU25" s="201">
        <v>1</v>
      </c>
      <c r="FV25" s="201">
        <v>1.2</v>
      </c>
      <c r="FW25" s="382">
        <v>1</v>
      </c>
      <c r="FX25" s="201">
        <v>0</v>
      </c>
      <c r="FY25" s="201">
        <v>0.8</v>
      </c>
      <c r="FZ25" s="201">
        <v>1</v>
      </c>
      <c r="GA25" s="201">
        <v>1.2</v>
      </c>
      <c r="GB25" s="382">
        <v>1</v>
      </c>
      <c r="GC25" s="201">
        <v>0</v>
      </c>
      <c r="GD25" s="201">
        <v>0.8</v>
      </c>
      <c r="GE25" s="201">
        <v>1</v>
      </c>
      <c r="GF25" s="201">
        <v>1.2</v>
      </c>
      <c r="GG25" s="382">
        <v>1</v>
      </c>
      <c r="GH25" s="201">
        <v>0</v>
      </c>
      <c r="GI25" s="201">
        <v>0</v>
      </c>
      <c r="GJ25" s="201">
        <v>1</v>
      </c>
      <c r="GK25" s="201">
        <v>1.2</v>
      </c>
      <c r="GL25" s="382">
        <v>1</v>
      </c>
      <c r="GM25" s="201">
        <v>0</v>
      </c>
      <c r="GN25" s="201">
        <v>0.8</v>
      </c>
      <c r="GO25" s="201">
        <v>1</v>
      </c>
      <c r="GP25" s="202">
        <v>1.2</v>
      </c>
      <c r="GQ25" s="382">
        <v>1</v>
      </c>
    </row>
    <row r="26" spans="1:199">
      <c r="A26" s="195"/>
    </row>
    <row r="27" spans="1:199">
      <c r="A27" s="195" t="s">
        <v>993</v>
      </c>
      <c r="B27" s="195" t="s">
        <v>15</v>
      </c>
      <c r="C27" s="207"/>
    </row>
    <row r="28" spans="1:199">
      <c r="A28" s="195"/>
      <c r="B28" s="196"/>
      <c r="C28" s="196" t="s">
        <v>987</v>
      </c>
      <c r="D28" s="196" t="s">
        <v>994</v>
      </c>
      <c r="E28" s="199">
        <v>0</v>
      </c>
      <c r="F28" s="197">
        <v>0</v>
      </c>
      <c r="G28" s="204">
        <v>0</v>
      </c>
      <c r="H28" s="204">
        <v>0</v>
      </c>
      <c r="I28" s="204">
        <v>1</v>
      </c>
      <c r="J28" s="204">
        <v>0</v>
      </c>
      <c r="K28" s="204">
        <v>0</v>
      </c>
      <c r="L28" s="204">
        <v>0</v>
      </c>
      <c r="M28" s="204">
        <v>0</v>
      </c>
      <c r="N28" s="204">
        <v>1</v>
      </c>
      <c r="O28" s="204">
        <v>0</v>
      </c>
      <c r="P28" s="204">
        <v>0</v>
      </c>
      <c r="Q28" s="204">
        <v>0</v>
      </c>
      <c r="R28" s="205">
        <v>0</v>
      </c>
      <c r="S28" s="186">
        <v>1</v>
      </c>
      <c r="T28" s="199">
        <v>0</v>
      </c>
      <c r="U28" s="197">
        <v>0</v>
      </c>
      <c r="V28" s="204">
        <v>0</v>
      </c>
      <c r="W28" s="204">
        <v>0</v>
      </c>
      <c r="X28" s="186">
        <v>1</v>
      </c>
      <c r="Y28" s="186">
        <v>0</v>
      </c>
      <c r="Z28" s="204">
        <v>0</v>
      </c>
      <c r="AA28" s="204">
        <v>0</v>
      </c>
      <c r="AB28" s="204">
        <v>0</v>
      </c>
      <c r="AC28" s="186">
        <v>1</v>
      </c>
      <c r="AD28" s="186">
        <v>0</v>
      </c>
      <c r="AE28" s="204">
        <v>0</v>
      </c>
      <c r="AF28" s="204">
        <v>0</v>
      </c>
      <c r="AG28" s="204">
        <v>0</v>
      </c>
      <c r="AH28" s="204">
        <v>1</v>
      </c>
      <c r="AI28" s="204">
        <v>0</v>
      </c>
      <c r="AJ28" s="204">
        <v>0</v>
      </c>
      <c r="AK28" s="204">
        <v>0</v>
      </c>
      <c r="AL28" s="204">
        <v>0</v>
      </c>
      <c r="AM28" s="204">
        <v>1</v>
      </c>
      <c r="AN28" s="204">
        <v>0</v>
      </c>
      <c r="AO28" s="204">
        <v>0</v>
      </c>
      <c r="AP28" s="204">
        <v>0</v>
      </c>
      <c r="AQ28" s="204">
        <v>0</v>
      </c>
      <c r="AR28" s="186">
        <v>1</v>
      </c>
      <c r="AS28" s="186">
        <v>0</v>
      </c>
      <c r="AT28" s="204">
        <v>0</v>
      </c>
      <c r="AU28" s="204">
        <v>0</v>
      </c>
      <c r="AV28" s="197">
        <v>0</v>
      </c>
      <c r="AW28" s="186">
        <v>1</v>
      </c>
      <c r="AX28" s="197">
        <v>0</v>
      </c>
      <c r="AY28" s="197">
        <v>0.8</v>
      </c>
      <c r="AZ28" s="197">
        <v>1</v>
      </c>
      <c r="BA28" s="197">
        <v>1.2</v>
      </c>
      <c r="BB28" s="186">
        <v>1</v>
      </c>
      <c r="BC28" s="197">
        <v>0</v>
      </c>
      <c r="BD28" s="197">
        <v>0</v>
      </c>
      <c r="BE28" s="197">
        <v>0</v>
      </c>
      <c r="BF28" s="197">
        <v>1.2</v>
      </c>
      <c r="BG28" s="186">
        <v>1</v>
      </c>
      <c r="BH28" s="197">
        <v>0</v>
      </c>
      <c r="BI28" s="197">
        <v>0.8</v>
      </c>
      <c r="BJ28" s="197">
        <v>1</v>
      </c>
      <c r="BK28" s="197">
        <v>1.2</v>
      </c>
      <c r="BL28" s="186">
        <v>1</v>
      </c>
      <c r="BM28" s="197">
        <v>0</v>
      </c>
      <c r="BN28" s="197">
        <v>0.8</v>
      </c>
      <c r="BO28" s="197">
        <v>1</v>
      </c>
      <c r="BP28" s="197">
        <v>1.2</v>
      </c>
      <c r="BQ28" s="186">
        <v>1</v>
      </c>
      <c r="BR28" s="197">
        <v>0</v>
      </c>
      <c r="BS28" s="197">
        <v>0</v>
      </c>
      <c r="BT28" s="197">
        <v>0</v>
      </c>
      <c r="BU28" s="197">
        <v>1.2</v>
      </c>
      <c r="BV28" s="186">
        <v>1</v>
      </c>
      <c r="BW28" s="197">
        <v>0</v>
      </c>
      <c r="BX28" s="197">
        <v>0.8</v>
      </c>
      <c r="BY28" s="197">
        <v>1</v>
      </c>
      <c r="BZ28" s="197">
        <v>1.2</v>
      </c>
      <c r="CA28" s="186">
        <v>1</v>
      </c>
      <c r="CB28" s="197">
        <v>0</v>
      </c>
      <c r="CC28" s="197">
        <v>0.8</v>
      </c>
      <c r="CD28" s="197">
        <v>1</v>
      </c>
      <c r="CE28" s="197">
        <v>1.2</v>
      </c>
      <c r="CF28" s="186">
        <v>1</v>
      </c>
      <c r="CG28" s="197">
        <v>0</v>
      </c>
      <c r="CH28" s="197">
        <v>0</v>
      </c>
      <c r="CI28" s="197">
        <v>0</v>
      </c>
      <c r="CJ28" s="197">
        <v>1.2</v>
      </c>
      <c r="CK28" s="186">
        <v>1</v>
      </c>
      <c r="CL28" s="197">
        <v>0</v>
      </c>
      <c r="CM28" s="197">
        <v>0.8</v>
      </c>
      <c r="CN28" s="197">
        <v>1</v>
      </c>
      <c r="CO28" s="197">
        <v>1.2</v>
      </c>
      <c r="CP28" s="186">
        <v>1</v>
      </c>
      <c r="CQ28" s="197">
        <v>0</v>
      </c>
      <c r="CR28" s="197">
        <v>0.8</v>
      </c>
      <c r="CS28" s="197">
        <v>1</v>
      </c>
      <c r="CT28" s="197">
        <v>1.2</v>
      </c>
      <c r="CU28" s="186">
        <v>1</v>
      </c>
      <c r="CV28" s="197">
        <v>0</v>
      </c>
      <c r="CW28" s="197">
        <v>0</v>
      </c>
      <c r="CX28" s="197">
        <v>0</v>
      </c>
      <c r="CY28" s="197">
        <v>1.2</v>
      </c>
      <c r="CZ28" s="186">
        <v>1</v>
      </c>
      <c r="DA28" s="197">
        <v>0</v>
      </c>
      <c r="DB28" s="197">
        <v>0.8</v>
      </c>
      <c r="DC28" s="197">
        <v>1</v>
      </c>
      <c r="DD28" s="197">
        <v>1.2</v>
      </c>
      <c r="DE28" s="186">
        <v>1</v>
      </c>
      <c r="DF28" s="197">
        <v>0</v>
      </c>
      <c r="DG28" s="197">
        <v>0.8</v>
      </c>
      <c r="DH28" s="197">
        <v>1</v>
      </c>
      <c r="DI28" s="197">
        <v>1.2</v>
      </c>
      <c r="DJ28" s="186">
        <v>1</v>
      </c>
      <c r="DK28" s="197">
        <v>0</v>
      </c>
      <c r="DL28" s="197">
        <v>0</v>
      </c>
      <c r="DM28" s="197">
        <v>0</v>
      </c>
      <c r="DN28" s="197">
        <v>1.2</v>
      </c>
      <c r="DO28" s="186">
        <v>1</v>
      </c>
      <c r="DP28" s="197">
        <v>0</v>
      </c>
      <c r="DQ28" s="197">
        <v>0.8</v>
      </c>
      <c r="DR28" s="197">
        <v>1</v>
      </c>
      <c r="DS28" s="197">
        <v>1.2</v>
      </c>
      <c r="DT28" s="186">
        <v>1</v>
      </c>
      <c r="DU28" s="197">
        <v>0</v>
      </c>
      <c r="DV28" s="197">
        <v>0.8</v>
      </c>
      <c r="DW28" s="197">
        <v>1</v>
      </c>
      <c r="DX28" s="197">
        <v>1.2</v>
      </c>
      <c r="DY28" s="186">
        <v>1</v>
      </c>
      <c r="DZ28" s="197">
        <v>0</v>
      </c>
      <c r="EA28" s="197">
        <v>0</v>
      </c>
      <c r="EB28" s="197">
        <v>0</v>
      </c>
      <c r="EC28" s="197">
        <v>1.2</v>
      </c>
      <c r="ED28" s="186">
        <v>1</v>
      </c>
      <c r="EE28" s="197">
        <v>0</v>
      </c>
      <c r="EF28" s="197">
        <v>0.8</v>
      </c>
      <c r="EG28" s="197">
        <v>1</v>
      </c>
      <c r="EH28" s="197">
        <v>1.2</v>
      </c>
      <c r="EI28" s="186">
        <v>1</v>
      </c>
      <c r="EJ28" s="197">
        <v>0</v>
      </c>
      <c r="EK28" s="197">
        <v>0.8</v>
      </c>
      <c r="EL28" s="197">
        <v>1</v>
      </c>
      <c r="EM28" s="197">
        <v>1.2</v>
      </c>
      <c r="EN28" s="186">
        <v>1</v>
      </c>
      <c r="EO28" s="197">
        <v>0</v>
      </c>
      <c r="EP28" s="197">
        <v>0</v>
      </c>
      <c r="EQ28" s="197">
        <v>0</v>
      </c>
      <c r="ER28" s="197">
        <v>1.2</v>
      </c>
      <c r="ES28" s="186">
        <v>1</v>
      </c>
      <c r="ET28" s="197">
        <v>0</v>
      </c>
      <c r="EU28" s="197">
        <v>0.8</v>
      </c>
      <c r="EV28" s="197">
        <v>1</v>
      </c>
      <c r="EW28" s="197">
        <v>1.2</v>
      </c>
      <c r="EX28" s="186">
        <v>1</v>
      </c>
      <c r="EY28" s="197">
        <v>0</v>
      </c>
      <c r="EZ28" s="197">
        <v>0.8</v>
      </c>
      <c r="FA28" s="197">
        <v>1</v>
      </c>
      <c r="FB28" s="197">
        <v>1.2</v>
      </c>
      <c r="FC28" s="186">
        <v>1</v>
      </c>
      <c r="FD28" s="197">
        <v>0</v>
      </c>
      <c r="FE28" s="197">
        <v>0</v>
      </c>
      <c r="FF28" s="197">
        <v>0</v>
      </c>
      <c r="FG28" s="197">
        <v>1.2</v>
      </c>
      <c r="FH28" s="186">
        <v>1</v>
      </c>
      <c r="FI28" s="197">
        <v>0</v>
      </c>
      <c r="FJ28" s="197">
        <v>0.8</v>
      </c>
      <c r="FK28" s="197">
        <v>1</v>
      </c>
      <c r="FL28" s="197">
        <v>1.2</v>
      </c>
      <c r="FM28" s="186">
        <v>1</v>
      </c>
      <c r="FN28" s="197">
        <v>0</v>
      </c>
      <c r="FO28" s="197">
        <v>0.8</v>
      </c>
      <c r="FP28" s="197">
        <v>1</v>
      </c>
      <c r="FQ28" s="197">
        <v>1.2</v>
      </c>
      <c r="FR28" s="186">
        <v>1</v>
      </c>
      <c r="FS28" s="197">
        <v>0</v>
      </c>
      <c r="FT28" s="197">
        <v>0</v>
      </c>
      <c r="FU28" s="197">
        <v>0</v>
      </c>
      <c r="FV28" s="197">
        <v>1.2</v>
      </c>
      <c r="FW28" s="186">
        <v>1</v>
      </c>
      <c r="FX28" s="197">
        <v>0</v>
      </c>
      <c r="FY28" s="197">
        <v>0.8</v>
      </c>
      <c r="FZ28" s="197">
        <v>1</v>
      </c>
      <c r="GA28" s="197">
        <v>1.2</v>
      </c>
      <c r="GB28" s="186">
        <v>1</v>
      </c>
      <c r="GC28" s="197">
        <v>0</v>
      </c>
      <c r="GD28" s="197">
        <v>0.8</v>
      </c>
      <c r="GE28" s="197">
        <v>1</v>
      </c>
      <c r="GF28" s="197">
        <v>1.2</v>
      </c>
      <c r="GG28" s="186">
        <v>1</v>
      </c>
      <c r="GH28" s="197">
        <v>0</v>
      </c>
      <c r="GI28" s="197">
        <v>0</v>
      </c>
      <c r="GJ28" s="197">
        <v>0</v>
      </c>
      <c r="GK28" s="197">
        <v>1.2</v>
      </c>
      <c r="GL28" s="186">
        <v>1</v>
      </c>
      <c r="GM28" s="197">
        <v>0</v>
      </c>
      <c r="GN28" s="197">
        <v>0.8</v>
      </c>
      <c r="GO28" s="197">
        <v>1</v>
      </c>
      <c r="GP28" s="198">
        <v>1.2</v>
      </c>
      <c r="GQ28" s="186">
        <v>1</v>
      </c>
    </row>
    <row r="29" spans="1:199">
      <c r="A29" s="195"/>
      <c r="B29" s="188"/>
      <c r="C29" s="188"/>
      <c r="D29" s="188" t="s">
        <v>234</v>
      </c>
      <c r="E29" s="190">
        <v>0</v>
      </c>
      <c r="F29" s="193">
        <v>0</v>
      </c>
      <c r="G29" s="201">
        <v>0</v>
      </c>
      <c r="H29" s="201">
        <v>0</v>
      </c>
      <c r="I29" s="383">
        <v>1</v>
      </c>
      <c r="J29" s="383">
        <v>0</v>
      </c>
      <c r="K29" s="201">
        <v>0</v>
      </c>
      <c r="L29" s="201">
        <v>0</v>
      </c>
      <c r="M29" s="201">
        <v>0</v>
      </c>
      <c r="N29" s="383">
        <v>1</v>
      </c>
      <c r="O29" s="383">
        <v>0</v>
      </c>
      <c r="P29" s="201">
        <v>0</v>
      </c>
      <c r="Q29" s="201">
        <v>0</v>
      </c>
      <c r="R29" s="202">
        <v>0</v>
      </c>
      <c r="S29" s="382">
        <v>1</v>
      </c>
      <c r="T29" s="190">
        <v>0</v>
      </c>
      <c r="U29" s="193">
        <v>0</v>
      </c>
      <c r="V29" s="201">
        <v>0</v>
      </c>
      <c r="W29" s="201">
        <v>0</v>
      </c>
      <c r="X29" s="382">
        <v>1</v>
      </c>
      <c r="Y29" s="200">
        <v>0</v>
      </c>
      <c r="Z29" s="201">
        <v>0</v>
      </c>
      <c r="AA29" s="201">
        <v>0</v>
      </c>
      <c r="AB29" s="201">
        <v>0</v>
      </c>
      <c r="AC29" s="382">
        <v>1</v>
      </c>
      <c r="AD29" s="200">
        <v>0</v>
      </c>
      <c r="AE29" s="201">
        <v>0</v>
      </c>
      <c r="AF29" s="201">
        <v>0</v>
      </c>
      <c r="AG29" s="383">
        <v>0</v>
      </c>
      <c r="AH29" s="383">
        <v>1</v>
      </c>
      <c r="AI29" s="383">
        <v>0</v>
      </c>
      <c r="AJ29" s="383">
        <v>0</v>
      </c>
      <c r="AK29" s="201">
        <v>0</v>
      </c>
      <c r="AL29" s="201">
        <v>0</v>
      </c>
      <c r="AM29" s="383">
        <v>1</v>
      </c>
      <c r="AN29" s="383">
        <v>0</v>
      </c>
      <c r="AO29" s="201">
        <v>0</v>
      </c>
      <c r="AP29" s="201">
        <v>0</v>
      </c>
      <c r="AQ29" s="201">
        <v>0</v>
      </c>
      <c r="AR29" s="382">
        <v>1</v>
      </c>
      <c r="AS29" s="200">
        <v>0</v>
      </c>
      <c r="AT29" s="201">
        <v>0</v>
      </c>
      <c r="AU29" s="201">
        <v>0</v>
      </c>
      <c r="AV29" s="193">
        <v>0</v>
      </c>
      <c r="AW29" s="382">
        <v>1</v>
      </c>
      <c r="AX29" s="193">
        <v>0</v>
      </c>
      <c r="AY29" s="193">
        <v>0.8</v>
      </c>
      <c r="AZ29" s="193">
        <v>1</v>
      </c>
      <c r="BA29" s="193">
        <v>1.2</v>
      </c>
      <c r="BB29" s="382">
        <v>1</v>
      </c>
      <c r="BC29" s="193">
        <v>0</v>
      </c>
      <c r="BD29" s="193">
        <v>0.8</v>
      </c>
      <c r="BE29" s="193">
        <v>1</v>
      </c>
      <c r="BF29" s="193">
        <v>1.2</v>
      </c>
      <c r="BG29" s="382">
        <v>1</v>
      </c>
      <c r="BH29" s="193">
        <v>0</v>
      </c>
      <c r="BI29" s="193">
        <v>0.8</v>
      </c>
      <c r="BJ29" s="193">
        <v>1</v>
      </c>
      <c r="BK29" s="193">
        <v>1.2</v>
      </c>
      <c r="BL29" s="382">
        <v>1</v>
      </c>
      <c r="BM29" s="193">
        <v>0</v>
      </c>
      <c r="BN29" s="193">
        <v>0.8</v>
      </c>
      <c r="BO29" s="193">
        <v>1</v>
      </c>
      <c r="BP29" s="193">
        <v>1.2</v>
      </c>
      <c r="BQ29" s="382">
        <v>1</v>
      </c>
      <c r="BR29" s="193">
        <v>0</v>
      </c>
      <c r="BS29" s="193">
        <v>0.8</v>
      </c>
      <c r="BT29" s="193">
        <v>1</v>
      </c>
      <c r="BU29" s="193">
        <v>1.2</v>
      </c>
      <c r="BV29" s="382">
        <v>1</v>
      </c>
      <c r="BW29" s="193">
        <v>0</v>
      </c>
      <c r="BX29" s="193">
        <v>0.8</v>
      </c>
      <c r="BY29" s="193">
        <v>1</v>
      </c>
      <c r="BZ29" s="193">
        <v>1.2</v>
      </c>
      <c r="CA29" s="382">
        <v>1</v>
      </c>
      <c r="CB29" s="193">
        <v>0</v>
      </c>
      <c r="CC29" s="193">
        <v>0.8</v>
      </c>
      <c r="CD29" s="193">
        <v>1</v>
      </c>
      <c r="CE29" s="193">
        <v>1.2</v>
      </c>
      <c r="CF29" s="382">
        <v>1</v>
      </c>
      <c r="CG29" s="193">
        <v>0</v>
      </c>
      <c r="CH29" s="193">
        <v>0.8</v>
      </c>
      <c r="CI29" s="193">
        <v>1</v>
      </c>
      <c r="CJ29" s="193">
        <v>1.2</v>
      </c>
      <c r="CK29" s="382">
        <v>1</v>
      </c>
      <c r="CL29" s="193">
        <v>0</v>
      </c>
      <c r="CM29" s="193">
        <v>0.8</v>
      </c>
      <c r="CN29" s="193">
        <v>1</v>
      </c>
      <c r="CO29" s="193">
        <v>1.2</v>
      </c>
      <c r="CP29" s="382">
        <v>1</v>
      </c>
      <c r="CQ29" s="193">
        <v>0</v>
      </c>
      <c r="CR29" s="193">
        <v>0.8</v>
      </c>
      <c r="CS29" s="193">
        <v>1</v>
      </c>
      <c r="CT29" s="193">
        <v>1.2</v>
      </c>
      <c r="CU29" s="382">
        <v>1</v>
      </c>
      <c r="CV29" s="193">
        <v>0</v>
      </c>
      <c r="CW29" s="193">
        <v>0.8</v>
      </c>
      <c r="CX29" s="193">
        <v>1</v>
      </c>
      <c r="CY29" s="193">
        <v>1.2</v>
      </c>
      <c r="CZ29" s="382">
        <v>1</v>
      </c>
      <c r="DA29" s="193">
        <v>0</v>
      </c>
      <c r="DB29" s="193">
        <v>0.8</v>
      </c>
      <c r="DC29" s="193">
        <v>1</v>
      </c>
      <c r="DD29" s="193">
        <v>1.2</v>
      </c>
      <c r="DE29" s="382">
        <v>1</v>
      </c>
      <c r="DF29" s="193">
        <v>0</v>
      </c>
      <c r="DG29" s="193">
        <v>0.8</v>
      </c>
      <c r="DH29" s="193">
        <v>1</v>
      </c>
      <c r="DI29" s="193">
        <v>1.2</v>
      </c>
      <c r="DJ29" s="382">
        <v>1</v>
      </c>
      <c r="DK29" s="193">
        <v>0</v>
      </c>
      <c r="DL29" s="193">
        <v>0.8</v>
      </c>
      <c r="DM29" s="193">
        <v>1</v>
      </c>
      <c r="DN29" s="193">
        <v>1.2</v>
      </c>
      <c r="DO29" s="382">
        <v>1</v>
      </c>
      <c r="DP29" s="193">
        <v>0</v>
      </c>
      <c r="DQ29" s="193">
        <v>0.8</v>
      </c>
      <c r="DR29" s="193">
        <v>1</v>
      </c>
      <c r="DS29" s="193">
        <v>1.2</v>
      </c>
      <c r="DT29" s="382">
        <v>1</v>
      </c>
      <c r="DU29" s="193">
        <v>0</v>
      </c>
      <c r="DV29" s="193">
        <v>0.8</v>
      </c>
      <c r="DW29" s="193">
        <v>1</v>
      </c>
      <c r="DX29" s="193">
        <v>1.2</v>
      </c>
      <c r="DY29" s="382">
        <v>1</v>
      </c>
      <c r="DZ29" s="193">
        <v>0</v>
      </c>
      <c r="EA29" s="193">
        <v>0.8</v>
      </c>
      <c r="EB29" s="193">
        <v>1</v>
      </c>
      <c r="EC29" s="193">
        <v>1.2</v>
      </c>
      <c r="ED29" s="382">
        <v>1</v>
      </c>
      <c r="EE29" s="193">
        <v>0</v>
      </c>
      <c r="EF29" s="193">
        <v>0.8</v>
      </c>
      <c r="EG29" s="193">
        <v>1</v>
      </c>
      <c r="EH29" s="193">
        <v>1.2</v>
      </c>
      <c r="EI29" s="382">
        <v>1</v>
      </c>
      <c r="EJ29" s="193">
        <v>0</v>
      </c>
      <c r="EK29" s="193">
        <v>0.8</v>
      </c>
      <c r="EL29" s="193">
        <v>1</v>
      </c>
      <c r="EM29" s="193">
        <v>1.2</v>
      </c>
      <c r="EN29" s="382">
        <v>1</v>
      </c>
      <c r="EO29" s="193">
        <v>0</v>
      </c>
      <c r="EP29" s="193">
        <v>0.8</v>
      </c>
      <c r="EQ29" s="193">
        <v>1</v>
      </c>
      <c r="ER29" s="193">
        <v>1.2</v>
      </c>
      <c r="ES29" s="382">
        <v>1</v>
      </c>
      <c r="ET29" s="193">
        <v>0</v>
      </c>
      <c r="EU29" s="193">
        <v>0.8</v>
      </c>
      <c r="EV29" s="193">
        <v>1</v>
      </c>
      <c r="EW29" s="193">
        <v>1.2</v>
      </c>
      <c r="EX29" s="382">
        <v>1</v>
      </c>
      <c r="EY29" s="193">
        <v>0</v>
      </c>
      <c r="EZ29" s="193">
        <v>0.8</v>
      </c>
      <c r="FA29" s="193">
        <v>1</v>
      </c>
      <c r="FB29" s="193">
        <v>1.2</v>
      </c>
      <c r="FC29" s="382">
        <v>1</v>
      </c>
      <c r="FD29" s="193">
        <v>0</v>
      </c>
      <c r="FE29" s="193">
        <v>0.8</v>
      </c>
      <c r="FF29" s="193">
        <v>1</v>
      </c>
      <c r="FG29" s="193">
        <v>1.2</v>
      </c>
      <c r="FH29" s="382">
        <v>1</v>
      </c>
      <c r="FI29" s="193">
        <v>0</v>
      </c>
      <c r="FJ29" s="193">
        <v>0.8</v>
      </c>
      <c r="FK29" s="193">
        <v>1</v>
      </c>
      <c r="FL29" s="193">
        <v>1.2</v>
      </c>
      <c r="FM29" s="382">
        <v>1</v>
      </c>
      <c r="FN29" s="193">
        <v>0</v>
      </c>
      <c r="FO29" s="193">
        <v>0.8</v>
      </c>
      <c r="FP29" s="193">
        <v>1</v>
      </c>
      <c r="FQ29" s="193">
        <v>1.2</v>
      </c>
      <c r="FR29" s="382">
        <v>1</v>
      </c>
      <c r="FS29" s="193">
        <v>0</v>
      </c>
      <c r="FT29" s="193">
        <v>0.8</v>
      </c>
      <c r="FU29" s="193">
        <v>1</v>
      </c>
      <c r="FV29" s="193">
        <v>1.2</v>
      </c>
      <c r="FW29" s="382">
        <v>1</v>
      </c>
      <c r="FX29" s="193">
        <v>0</v>
      </c>
      <c r="FY29" s="193">
        <v>0.8</v>
      </c>
      <c r="FZ29" s="193">
        <v>1</v>
      </c>
      <c r="GA29" s="193">
        <v>1.2</v>
      </c>
      <c r="GB29" s="382">
        <v>1</v>
      </c>
      <c r="GC29" s="193">
        <v>0</v>
      </c>
      <c r="GD29" s="193">
        <v>0.8</v>
      </c>
      <c r="GE29" s="193">
        <v>1</v>
      </c>
      <c r="GF29" s="193">
        <v>1.2</v>
      </c>
      <c r="GG29" s="382">
        <v>1</v>
      </c>
      <c r="GH29" s="193">
        <v>0</v>
      </c>
      <c r="GI29" s="193">
        <v>0.8</v>
      </c>
      <c r="GJ29" s="193">
        <v>1</v>
      </c>
      <c r="GK29" s="193">
        <v>1.2</v>
      </c>
      <c r="GL29" s="382">
        <v>1</v>
      </c>
      <c r="GM29" s="193">
        <v>0</v>
      </c>
      <c r="GN29" s="193">
        <v>0.8</v>
      </c>
      <c r="GO29" s="193">
        <v>1</v>
      </c>
      <c r="GP29" s="187">
        <v>1.2</v>
      </c>
      <c r="GQ29" s="382">
        <v>1</v>
      </c>
    </row>
    <row r="30" spans="1:199">
      <c r="A30" s="195"/>
      <c r="B30" s="188"/>
      <c r="C30" s="188" t="s">
        <v>303</v>
      </c>
      <c r="D30" s="188" t="s">
        <v>995</v>
      </c>
      <c r="E30" s="190">
        <v>0</v>
      </c>
      <c r="F30" s="193">
        <v>0</v>
      </c>
      <c r="G30" s="201">
        <v>0</v>
      </c>
      <c r="H30" s="201">
        <v>0</v>
      </c>
      <c r="I30" s="383">
        <v>1</v>
      </c>
      <c r="J30" s="383">
        <v>0</v>
      </c>
      <c r="K30" s="201">
        <v>0</v>
      </c>
      <c r="L30" s="201">
        <v>0</v>
      </c>
      <c r="M30" s="201">
        <v>0</v>
      </c>
      <c r="N30" s="383">
        <v>1</v>
      </c>
      <c r="O30" s="383">
        <v>0</v>
      </c>
      <c r="P30" s="201">
        <v>0</v>
      </c>
      <c r="Q30" s="201">
        <v>0</v>
      </c>
      <c r="R30" s="202">
        <v>0</v>
      </c>
      <c r="S30" s="382">
        <v>1</v>
      </c>
      <c r="T30" s="190">
        <v>0</v>
      </c>
      <c r="U30" s="193">
        <v>0</v>
      </c>
      <c r="V30" s="201">
        <v>0</v>
      </c>
      <c r="W30" s="201">
        <v>0</v>
      </c>
      <c r="X30" s="382">
        <v>1</v>
      </c>
      <c r="Y30" s="200">
        <v>0</v>
      </c>
      <c r="Z30" s="201">
        <v>0</v>
      </c>
      <c r="AA30" s="201">
        <v>0</v>
      </c>
      <c r="AB30" s="201">
        <v>0</v>
      </c>
      <c r="AC30" s="382">
        <v>1</v>
      </c>
      <c r="AD30" s="200">
        <v>0</v>
      </c>
      <c r="AE30" s="201">
        <v>0</v>
      </c>
      <c r="AF30" s="201">
        <v>0</v>
      </c>
      <c r="AG30" s="383">
        <v>0</v>
      </c>
      <c r="AH30" s="383">
        <v>1</v>
      </c>
      <c r="AI30" s="383">
        <v>0</v>
      </c>
      <c r="AJ30" s="383">
        <v>0</v>
      </c>
      <c r="AK30" s="201">
        <v>0</v>
      </c>
      <c r="AL30" s="201">
        <v>0</v>
      </c>
      <c r="AM30" s="383">
        <v>1</v>
      </c>
      <c r="AN30" s="383">
        <v>0</v>
      </c>
      <c r="AO30" s="201">
        <v>0</v>
      </c>
      <c r="AP30" s="201">
        <v>0</v>
      </c>
      <c r="AQ30" s="201">
        <v>0</v>
      </c>
      <c r="AR30" s="382">
        <v>1</v>
      </c>
      <c r="AS30" s="200">
        <v>0</v>
      </c>
      <c r="AT30" s="201">
        <v>0</v>
      </c>
      <c r="AU30" s="201">
        <v>0</v>
      </c>
      <c r="AV30" s="193">
        <v>0</v>
      </c>
      <c r="AW30" s="382">
        <v>1</v>
      </c>
      <c r="AX30" s="193">
        <v>0</v>
      </c>
      <c r="AY30" s="193">
        <v>0.8</v>
      </c>
      <c r="AZ30" s="193">
        <v>1</v>
      </c>
      <c r="BA30" s="193">
        <v>1.2</v>
      </c>
      <c r="BB30" s="382">
        <v>1</v>
      </c>
      <c r="BC30" s="193">
        <v>0</v>
      </c>
      <c r="BD30" s="193">
        <v>0.8</v>
      </c>
      <c r="BE30" s="193">
        <v>1</v>
      </c>
      <c r="BF30" s="193">
        <v>1.2</v>
      </c>
      <c r="BG30" s="382">
        <v>1</v>
      </c>
      <c r="BH30" s="193">
        <v>0</v>
      </c>
      <c r="BI30" s="193">
        <v>0.8</v>
      </c>
      <c r="BJ30" s="193">
        <v>1</v>
      </c>
      <c r="BK30" s="193">
        <v>1.2</v>
      </c>
      <c r="BL30" s="382">
        <v>1</v>
      </c>
      <c r="BM30" s="193">
        <v>0</v>
      </c>
      <c r="BN30" s="193">
        <v>0.8</v>
      </c>
      <c r="BO30" s="193">
        <v>1</v>
      </c>
      <c r="BP30" s="193">
        <v>1.2</v>
      </c>
      <c r="BQ30" s="382">
        <v>1</v>
      </c>
      <c r="BR30" s="193">
        <v>0</v>
      </c>
      <c r="BS30" s="193">
        <v>0.8</v>
      </c>
      <c r="BT30" s="193">
        <v>1</v>
      </c>
      <c r="BU30" s="193">
        <v>1.2</v>
      </c>
      <c r="BV30" s="382">
        <v>1</v>
      </c>
      <c r="BW30" s="193">
        <v>0</v>
      </c>
      <c r="BX30" s="193">
        <v>0.8</v>
      </c>
      <c r="BY30" s="193">
        <v>1</v>
      </c>
      <c r="BZ30" s="193">
        <v>1.2</v>
      </c>
      <c r="CA30" s="382">
        <v>1</v>
      </c>
      <c r="CB30" s="193">
        <v>0</v>
      </c>
      <c r="CC30" s="193">
        <v>0.8</v>
      </c>
      <c r="CD30" s="193">
        <v>1</v>
      </c>
      <c r="CE30" s="193">
        <v>1.2</v>
      </c>
      <c r="CF30" s="382">
        <v>1</v>
      </c>
      <c r="CG30" s="193">
        <v>0</v>
      </c>
      <c r="CH30" s="193">
        <v>0.8</v>
      </c>
      <c r="CI30" s="193">
        <v>1</v>
      </c>
      <c r="CJ30" s="193">
        <v>1.2</v>
      </c>
      <c r="CK30" s="382">
        <v>1</v>
      </c>
      <c r="CL30" s="193">
        <v>0</v>
      </c>
      <c r="CM30" s="193">
        <v>0.8</v>
      </c>
      <c r="CN30" s="193">
        <v>1</v>
      </c>
      <c r="CO30" s="193">
        <v>1.2</v>
      </c>
      <c r="CP30" s="382">
        <v>1</v>
      </c>
      <c r="CQ30" s="193">
        <v>0</v>
      </c>
      <c r="CR30" s="193">
        <v>0.8</v>
      </c>
      <c r="CS30" s="193">
        <v>1</v>
      </c>
      <c r="CT30" s="193">
        <v>1.2</v>
      </c>
      <c r="CU30" s="382">
        <v>1</v>
      </c>
      <c r="CV30" s="193">
        <v>0</v>
      </c>
      <c r="CW30" s="193">
        <v>0.8</v>
      </c>
      <c r="CX30" s="193">
        <v>1</v>
      </c>
      <c r="CY30" s="193">
        <v>1.2</v>
      </c>
      <c r="CZ30" s="382">
        <v>1</v>
      </c>
      <c r="DA30" s="193">
        <v>0</v>
      </c>
      <c r="DB30" s="193">
        <v>0.8</v>
      </c>
      <c r="DC30" s="193">
        <v>1</v>
      </c>
      <c r="DD30" s="193">
        <v>1.2</v>
      </c>
      <c r="DE30" s="382">
        <v>1</v>
      </c>
      <c r="DF30" s="193">
        <v>0</v>
      </c>
      <c r="DG30" s="193">
        <v>0.8</v>
      </c>
      <c r="DH30" s="193">
        <v>1</v>
      </c>
      <c r="DI30" s="193">
        <v>1.2</v>
      </c>
      <c r="DJ30" s="382">
        <v>1</v>
      </c>
      <c r="DK30" s="193">
        <v>0</v>
      </c>
      <c r="DL30" s="193">
        <v>0.8</v>
      </c>
      <c r="DM30" s="193">
        <v>1</v>
      </c>
      <c r="DN30" s="193">
        <v>1.2</v>
      </c>
      <c r="DO30" s="382">
        <v>1</v>
      </c>
      <c r="DP30" s="193">
        <v>0</v>
      </c>
      <c r="DQ30" s="193">
        <v>0.8</v>
      </c>
      <c r="DR30" s="193">
        <v>1</v>
      </c>
      <c r="DS30" s="193">
        <v>1.2</v>
      </c>
      <c r="DT30" s="382">
        <v>1</v>
      </c>
      <c r="DU30" s="193">
        <v>0</v>
      </c>
      <c r="DV30" s="193">
        <v>0.8</v>
      </c>
      <c r="DW30" s="193">
        <v>1</v>
      </c>
      <c r="DX30" s="193">
        <v>1.2</v>
      </c>
      <c r="DY30" s="382">
        <v>1</v>
      </c>
      <c r="DZ30" s="193">
        <v>0</v>
      </c>
      <c r="EA30" s="193">
        <v>0.8</v>
      </c>
      <c r="EB30" s="193">
        <v>1</v>
      </c>
      <c r="EC30" s="193">
        <v>1.2</v>
      </c>
      <c r="ED30" s="382">
        <v>1</v>
      </c>
      <c r="EE30" s="193">
        <v>0</v>
      </c>
      <c r="EF30" s="193">
        <v>0.8</v>
      </c>
      <c r="EG30" s="193">
        <v>1</v>
      </c>
      <c r="EH30" s="193">
        <v>1.2</v>
      </c>
      <c r="EI30" s="382">
        <v>1</v>
      </c>
      <c r="EJ30" s="193">
        <v>0</v>
      </c>
      <c r="EK30" s="193">
        <v>0.8</v>
      </c>
      <c r="EL30" s="193">
        <v>1</v>
      </c>
      <c r="EM30" s="193">
        <v>1.2</v>
      </c>
      <c r="EN30" s="382">
        <v>1</v>
      </c>
      <c r="EO30" s="193">
        <v>0</v>
      </c>
      <c r="EP30" s="193">
        <v>0.8</v>
      </c>
      <c r="EQ30" s="193">
        <v>1</v>
      </c>
      <c r="ER30" s="193">
        <v>1.2</v>
      </c>
      <c r="ES30" s="382">
        <v>1</v>
      </c>
      <c r="ET30" s="193">
        <v>0</v>
      </c>
      <c r="EU30" s="193">
        <v>0.8</v>
      </c>
      <c r="EV30" s="193">
        <v>1</v>
      </c>
      <c r="EW30" s="193">
        <v>1.2</v>
      </c>
      <c r="EX30" s="382">
        <v>1</v>
      </c>
      <c r="EY30" s="193">
        <v>0</v>
      </c>
      <c r="EZ30" s="193">
        <v>0.8</v>
      </c>
      <c r="FA30" s="193">
        <v>1</v>
      </c>
      <c r="FB30" s="193">
        <v>1.2</v>
      </c>
      <c r="FC30" s="382">
        <v>1</v>
      </c>
      <c r="FD30" s="193">
        <v>0</v>
      </c>
      <c r="FE30" s="193">
        <v>0.8</v>
      </c>
      <c r="FF30" s="193">
        <v>1</v>
      </c>
      <c r="FG30" s="193">
        <v>1.2</v>
      </c>
      <c r="FH30" s="382">
        <v>1</v>
      </c>
      <c r="FI30" s="193">
        <v>0</v>
      </c>
      <c r="FJ30" s="193">
        <v>0.8</v>
      </c>
      <c r="FK30" s="193">
        <v>1</v>
      </c>
      <c r="FL30" s="193">
        <v>1.2</v>
      </c>
      <c r="FM30" s="382">
        <v>1</v>
      </c>
      <c r="FN30" s="193">
        <v>0</v>
      </c>
      <c r="FO30" s="193">
        <v>0.8</v>
      </c>
      <c r="FP30" s="193">
        <v>1</v>
      </c>
      <c r="FQ30" s="193">
        <v>1.2</v>
      </c>
      <c r="FR30" s="382">
        <v>1</v>
      </c>
      <c r="FS30" s="193">
        <v>0</v>
      </c>
      <c r="FT30" s="193">
        <v>0.8</v>
      </c>
      <c r="FU30" s="193">
        <v>1</v>
      </c>
      <c r="FV30" s="193">
        <v>1.2</v>
      </c>
      <c r="FW30" s="382">
        <v>1</v>
      </c>
      <c r="FX30" s="193">
        <v>0</v>
      </c>
      <c r="FY30" s="193">
        <v>0.8</v>
      </c>
      <c r="FZ30" s="193">
        <v>1</v>
      </c>
      <c r="GA30" s="193">
        <v>1.2</v>
      </c>
      <c r="GB30" s="382">
        <v>1</v>
      </c>
      <c r="GC30" s="193">
        <v>0</v>
      </c>
      <c r="GD30" s="193">
        <v>0.8</v>
      </c>
      <c r="GE30" s="193">
        <v>1</v>
      </c>
      <c r="GF30" s="193">
        <v>1.2</v>
      </c>
      <c r="GG30" s="382">
        <v>1</v>
      </c>
      <c r="GH30" s="193">
        <v>0</v>
      </c>
      <c r="GI30" s="193">
        <v>0.8</v>
      </c>
      <c r="GJ30" s="193">
        <v>1</v>
      </c>
      <c r="GK30" s="193">
        <v>1.2</v>
      </c>
      <c r="GL30" s="382">
        <v>1</v>
      </c>
      <c r="GM30" s="193">
        <v>0</v>
      </c>
      <c r="GN30" s="193">
        <v>0.8</v>
      </c>
      <c r="GO30" s="193">
        <v>1</v>
      </c>
      <c r="GP30" s="187">
        <v>1.2</v>
      </c>
      <c r="GQ30" s="382">
        <v>1</v>
      </c>
    </row>
    <row r="31" spans="1:199">
      <c r="A31" s="195"/>
      <c r="B31" s="188"/>
      <c r="C31" s="188"/>
      <c r="D31" s="188" t="s">
        <v>965</v>
      </c>
      <c r="E31" s="190">
        <v>0</v>
      </c>
      <c r="F31" s="193">
        <v>0</v>
      </c>
      <c r="G31" s="201">
        <v>0</v>
      </c>
      <c r="H31" s="201">
        <v>0</v>
      </c>
      <c r="I31" s="383">
        <v>1</v>
      </c>
      <c r="J31" s="383">
        <v>0</v>
      </c>
      <c r="K31" s="201">
        <v>0</v>
      </c>
      <c r="L31" s="201">
        <v>0</v>
      </c>
      <c r="M31" s="201">
        <v>0</v>
      </c>
      <c r="N31" s="383">
        <v>1</v>
      </c>
      <c r="O31" s="383">
        <v>0</v>
      </c>
      <c r="P31" s="201">
        <v>0</v>
      </c>
      <c r="Q31" s="201">
        <v>0</v>
      </c>
      <c r="R31" s="202">
        <v>0</v>
      </c>
      <c r="S31" s="382">
        <v>1</v>
      </c>
      <c r="T31" s="190">
        <v>0</v>
      </c>
      <c r="U31" s="193">
        <v>0</v>
      </c>
      <c r="V31" s="201">
        <v>0</v>
      </c>
      <c r="W31" s="201">
        <v>0</v>
      </c>
      <c r="X31" s="382">
        <v>1</v>
      </c>
      <c r="Y31" s="200">
        <v>0</v>
      </c>
      <c r="Z31" s="201">
        <v>0</v>
      </c>
      <c r="AA31" s="201">
        <v>0</v>
      </c>
      <c r="AB31" s="201">
        <v>0</v>
      </c>
      <c r="AC31" s="382">
        <v>1</v>
      </c>
      <c r="AD31" s="200">
        <v>0</v>
      </c>
      <c r="AE31" s="201">
        <v>0</v>
      </c>
      <c r="AF31" s="201">
        <v>0</v>
      </c>
      <c r="AG31" s="383">
        <v>0</v>
      </c>
      <c r="AH31" s="383">
        <v>1</v>
      </c>
      <c r="AI31" s="383">
        <v>0</v>
      </c>
      <c r="AJ31" s="383">
        <v>0</v>
      </c>
      <c r="AK31" s="201">
        <v>0</v>
      </c>
      <c r="AL31" s="201">
        <v>0</v>
      </c>
      <c r="AM31" s="383">
        <v>1</v>
      </c>
      <c r="AN31" s="383">
        <v>0</v>
      </c>
      <c r="AO31" s="201">
        <v>0</v>
      </c>
      <c r="AP31" s="201">
        <v>0</v>
      </c>
      <c r="AQ31" s="201">
        <v>0</v>
      </c>
      <c r="AR31" s="382">
        <v>1</v>
      </c>
      <c r="AS31" s="200">
        <v>0</v>
      </c>
      <c r="AT31" s="201">
        <v>0</v>
      </c>
      <c r="AU31" s="201">
        <v>0</v>
      </c>
      <c r="AV31" s="193">
        <v>0</v>
      </c>
      <c r="AW31" s="382">
        <v>1</v>
      </c>
      <c r="AX31" s="193">
        <v>0</v>
      </c>
      <c r="AY31" s="193">
        <v>0.9</v>
      </c>
      <c r="AZ31" s="193">
        <v>1</v>
      </c>
      <c r="BA31" s="193">
        <v>1.1000000000000001</v>
      </c>
      <c r="BB31" s="382">
        <v>1</v>
      </c>
      <c r="BC31" s="193">
        <v>0</v>
      </c>
      <c r="BD31" s="193">
        <v>0.9</v>
      </c>
      <c r="BE31" s="193">
        <v>1</v>
      </c>
      <c r="BF31" s="193">
        <v>1.1000000000000001</v>
      </c>
      <c r="BG31" s="382">
        <v>1</v>
      </c>
      <c r="BH31" s="193">
        <v>0</v>
      </c>
      <c r="BI31" s="193">
        <v>0.9</v>
      </c>
      <c r="BJ31" s="193">
        <v>1</v>
      </c>
      <c r="BK31" s="193">
        <v>1.1000000000000001</v>
      </c>
      <c r="BL31" s="382">
        <v>1</v>
      </c>
      <c r="BM31" s="193">
        <v>0</v>
      </c>
      <c r="BN31" s="193">
        <v>0.9</v>
      </c>
      <c r="BO31" s="193">
        <v>1</v>
      </c>
      <c r="BP31" s="193">
        <v>1.1000000000000001</v>
      </c>
      <c r="BQ31" s="382">
        <v>1</v>
      </c>
      <c r="BR31" s="193">
        <v>0</v>
      </c>
      <c r="BS31" s="193">
        <v>0.9</v>
      </c>
      <c r="BT31" s="193">
        <v>1</v>
      </c>
      <c r="BU31" s="193">
        <v>1.1000000000000001</v>
      </c>
      <c r="BV31" s="382">
        <v>1</v>
      </c>
      <c r="BW31" s="193">
        <v>0</v>
      </c>
      <c r="BX31" s="193">
        <v>0.9</v>
      </c>
      <c r="BY31" s="193">
        <v>1</v>
      </c>
      <c r="BZ31" s="193">
        <v>1.1000000000000001</v>
      </c>
      <c r="CA31" s="382">
        <v>1</v>
      </c>
      <c r="CB31" s="193">
        <v>0</v>
      </c>
      <c r="CC31" s="193">
        <v>0.9</v>
      </c>
      <c r="CD31" s="193">
        <v>1</v>
      </c>
      <c r="CE31" s="193">
        <v>1.1000000000000001</v>
      </c>
      <c r="CF31" s="382">
        <v>1</v>
      </c>
      <c r="CG31" s="193">
        <v>0</v>
      </c>
      <c r="CH31" s="193">
        <v>0.9</v>
      </c>
      <c r="CI31" s="193">
        <v>1</v>
      </c>
      <c r="CJ31" s="193">
        <v>1.1000000000000001</v>
      </c>
      <c r="CK31" s="382">
        <v>1</v>
      </c>
      <c r="CL31" s="193">
        <v>0</v>
      </c>
      <c r="CM31" s="193">
        <v>0.9</v>
      </c>
      <c r="CN31" s="193">
        <v>1</v>
      </c>
      <c r="CO31" s="193">
        <v>1.1000000000000001</v>
      </c>
      <c r="CP31" s="382">
        <v>1</v>
      </c>
      <c r="CQ31" s="193">
        <v>0</v>
      </c>
      <c r="CR31" s="193">
        <v>0.9</v>
      </c>
      <c r="CS31" s="193">
        <v>1</v>
      </c>
      <c r="CT31" s="193">
        <v>1.1000000000000001</v>
      </c>
      <c r="CU31" s="382">
        <v>1</v>
      </c>
      <c r="CV31" s="193">
        <v>0</v>
      </c>
      <c r="CW31" s="193">
        <v>0.9</v>
      </c>
      <c r="CX31" s="193">
        <v>1</v>
      </c>
      <c r="CY31" s="193">
        <v>1.1000000000000001</v>
      </c>
      <c r="CZ31" s="382">
        <v>1</v>
      </c>
      <c r="DA31" s="193">
        <v>0</v>
      </c>
      <c r="DB31" s="193">
        <v>0.9</v>
      </c>
      <c r="DC31" s="193">
        <v>1</v>
      </c>
      <c r="DD31" s="193">
        <v>1.1000000000000001</v>
      </c>
      <c r="DE31" s="382">
        <v>1</v>
      </c>
      <c r="DF31" s="193">
        <v>0</v>
      </c>
      <c r="DG31" s="193">
        <v>0.9</v>
      </c>
      <c r="DH31" s="193">
        <v>1</v>
      </c>
      <c r="DI31" s="193">
        <v>1.1000000000000001</v>
      </c>
      <c r="DJ31" s="382">
        <v>1</v>
      </c>
      <c r="DK31" s="193">
        <v>0</v>
      </c>
      <c r="DL31" s="193">
        <v>0.9</v>
      </c>
      <c r="DM31" s="193">
        <v>1</v>
      </c>
      <c r="DN31" s="193">
        <v>1.1000000000000001</v>
      </c>
      <c r="DO31" s="382">
        <v>1</v>
      </c>
      <c r="DP31" s="193">
        <v>0</v>
      </c>
      <c r="DQ31" s="193">
        <v>0.9</v>
      </c>
      <c r="DR31" s="193">
        <v>1</v>
      </c>
      <c r="DS31" s="193">
        <v>1.1000000000000001</v>
      </c>
      <c r="DT31" s="382">
        <v>1</v>
      </c>
      <c r="DU31" s="193">
        <v>0</v>
      </c>
      <c r="DV31" s="193">
        <v>0.9</v>
      </c>
      <c r="DW31" s="193">
        <v>1</v>
      </c>
      <c r="DX31" s="193">
        <v>1.1000000000000001</v>
      </c>
      <c r="DY31" s="382">
        <v>1</v>
      </c>
      <c r="DZ31" s="193">
        <v>0</v>
      </c>
      <c r="EA31" s="193">
        <v>0.9</v>
      </c>
      <c r="EB31" s="193">
        <v>1</v>
      </c>
      <c r="EC31" s="193">
        <v>1.1000000000000001</v>
      </c>
      <c r="ED31" s="382">
        <v>1</v>
      </c>
      <c r="EE31" s="193">
        <v>0</v>
      </c>
      <c r="EF31" s="193">
        <v>0.9</v>
      </c>
      <c r="EG31" s="193">
        <v>1</v>
      </c>
      <c r="EH31" s="193">
        <v>1.1000000000000001</v>
      </c>
      <c r="EI31" s="382">
        <v>1</v>
      </c>
      <c r="EJ31" s="193">
        <v>0</v>
      </c>
      <c r="EK31" s="193">
        <v>0.9</v>
      </c>
      <c r="EL31" s="193">
        <v>1</v>
      </c>
      <c r="EM31" s="193">
        <v>1.1000000000000001</v>
      </c>
      <c r="EN31" s="382">
        <v>1</v>
      </c>
      <c r="EO31" s="193">
        <v>0</v>
      </c>
      <c r="EP31" s="193">
        <v>0.9</v>
      </c>
      <c r="EQ31" s="193">
        <v>1</v>
      </c>
      <c r="ER31" s="193">
        <v>1.1000000000000001</v>
      </c>
      <c r="ES31" s="382">
        <v>1</v>
      </c>
      <c r="ET31" s="193">
        <v>0</v>
      </c>
      <c r="EU31" s="193">
        <v>0.9</v>
      </c>
      <c r="EV31" s="193">
        <v>1</v>
      </c>
      <c r="EW31" s="193">
        <v>1.1000000000000001</v>
      </c>
      <c r="EX31" s="382">
        <v>1</v>
      </c>
      <c r="EY31" s="193">
        <v>0</v>
      </c>
      <c r="EZ31" s="193">
        <v>0.9</v>
      </c>
      <c r="FA31" s="193">
        <v>1</v>
      </c>
      <c r="FB31" s="193">
        <v>1.1000000000000001</v>
      </c>
      <c r="FC31" s="382">
        <v>1</v>
      </c>
      <c r="FD31" s="193">
        <v>0</v>
      </c>
      <c r="FE31" s="193">
        <v>0.9</v>
      </c>
      <c r="FF31" s="193">
        <v>1</v>
      </c>
      <c r="FG31" s="193">
        <v>1.1000000000000001</v>
      </c>
      <c r="FH31" s="382">
        <v>1</v>
      </c>
      <c r="FI31" s="193">
        <v>0</v>
      </c>
      <c r="FJ31" s="193">
        <v>0.9</v>
      </c>
      <c r="FK31" s="193">
        <v>1</v>
      </c>
      <c r="FL31" s="193">
        <v>1.1000000000000001</v>
      </c>
      <c r="FM31" s="382">
        <v>1</v>
      </c>
      <c r="FN31" s="193">
        <v>0</v>
      </c>
      <c r="FO31" s="193">
        <v>0.9</v>
      </c>
      <c r="FP31" s="193">
        <v>1</v>
      </c>
      <c r="FQ31" s="193">
        <v>1.1000000000000001</v>
      </c>
      <c r="FR31" s="382">
        <v>1</v>
      </c>
      <c r="FS31" s="193">
        <v>0</v>
      </c>
      <c r="FT31" s="193">
        <v>0.9</v>
      </c>
      <c r="FU31" s="193">
        <v>1</v>
      </c>
      <c r="FV31" s="193">
        <v>1.1000000000000001</v>
      </c>
      <c r="FW31" s="382">
        <v>1</v>
      </c>
      <c r="FX31" s="193">
        <v>0</v>
      </c>
      <c r="FY31" s="193">
        <v>0.9</v>
      </c>
      <c r="FZ31" s="193">
        <v>1</v>
      </c>
      <c r="GA31" s="193">
        <v>1.1000000000000001</v>
      </c>
      <c r="GB31" s="382">
        <v>1</v>
      </c>
      <c r="GC31" s="193">
        <v>0</v>
      </c>
      <c r="GD31" s="193">
        <v>0.9</v>
      </c>
      <c r="GE31" s="193">
        <v>1</v>
      </c>
      <c r="GF31" s="193">
        <v>1.1000000000000001</v>
      </c>
      <c r="GG31" s="382">
        <v>1</v>
      </c>
      <c r="GH31" s="193">
        <v>0</v>
      </c>
      <c r="GI31" s="193">
        <v>0.9</v>
      </c>
      <c r="GJ31" s="193">
        <v>1</v>
      </c>
      <c r="GK31" s="193">
        <v>1.1000000000000001</v>
      </c>
      <c r="GL31" s="382">
        <v>1</v>
      </c>
      <c r="GM31" s="193">
        <v>0</v>
      </c>
      <c r="GN31" s="193">
        <v>0.9</v>
      </c>
      <c r="GO31" s="193">
        <v>1</v>
      </c>
      <c r="GP31" s="187">
        <v>1.1000000000000001</v>
      </c>
      <c r="GQ31" s="382">
        <v>1</v>
      </c>
    </row>
    <row r="32" spans="1:199">
      <c r="A32" s="195"/>
      <c r="B32" s="188"/>
      <c r="C32" s="188"/>
      <c r="D32" s="188" t="s">
        <v>231</v>
      </c>
      <c r="E32" s="190">
        <v>0</v>
      </c>
      <c r="F32" s="193">
        <v>0</v>
      </c>
      <c r="G32" s="201">
        <v>0</v>
      </c>
      <c r="H32" s="201">
        <v>0</v>
      </c>
      <c r="I32" s="383">
        <v>1</v>
      </c>
      <c r="J32" s="383">
        <v>0</v>
      </c>
      <c r="K32" s="201">
        <v>0</v>
      </c>
      <c r="L32" s="201">
        <v>0</v>
      </c>
      <c r="M32" s="201">
        <v>0</v>
      </c>
      <c r="N32" s="383">
        <v>1</v>
      </c>
      <c r="O32" s="383">
        <v>0</v>
      </c>
      <c r="P32" s="201">
        <v>0</v>
      </c>
      <c r="Q32" s="201">
        <v>0</v>
      </c>
      <c r="R32" s="202">
        <v>0</v>
      </c>
      <c r="S32" s="382">
        <v>1</v>
      </c>
      <c r="T32" s="190">
        <v>0</v>
      </c>
      <c r="U32" s="193">
        <v>0</v>
      </c>
      <c r="V32" s="201">
        <v>0</v>
      </c>
      <c r="W32" s="201">
        <v>0</v>
      </c>
      <c r="X32" s="382">
        <v>1</v>
      </c>
      <c r="Y32" s="200">
        <v>0</v>
      </c>
      <c r="Z32" s="201">
        <v>0</v>
      </c>
      <c r="AA32" s="201">
        <v>0</v>
      </c>
      <c r="AB32" s="201">
        <v>0</v>
      </c>
      <c r="AC32" s="382">
        <v>1</v>
      </c>
      <c r="AD32" s="200">
        <v>0</v>
      </c>
      <c r="AE32" s="201">
        <v>0</v>
      </c>
      <c r="AF32" s="201">
        <v>0</v>
      </c>
      <c r="AG32" s="383">
        <v>0</v>
      </c>
      <c r="AH32" s="383">
        <v>1</v>
      </c>
      <c r="AI32" s="383">
        <v>0</v>
      </c>
      <c r="AJ32" s="383">
        <v>0</v>
      </c>
      <c r="AK32" s="201">
        <v>0</v>
      </c>
      <c r="AL32" s="201">
        <v>0</v>
      </c>
      <c r="AM32" s="383">
        <v>1</v>
      </c>
      <c r="AN32" s="383">
        <v>0</v>
      </c>
      <c r="AO32" s="201">
        <v>0</v>
      </c>
      <c r="AP32" s="201">
        <v>0</v>
      </c>
      <c r="AQ32" s="201">
        <v>0</v>
      </c>
      <c r="AR32" s="382">
        <v>1</v>
      </c>
      <c r="AS32" s="200">
        <v>0</v>
      </c>
      <c r="AT32" s="201">
        <v>0</v>
      </c>
      <c r="AU32" s="201">
        <v>0</v>
      </c>
      <c r="AV32" s="193">
        <v>0</v>
      </c>
      <c r="AW32" s="382">
        <v>1</v>
      </c>
      <c r="AX32" s="193">
        <v>0</v>
      </c>
      <c r="AY32" s="193">
        <v>0.9</v>
      </c>
      <c r="AZ32" s="193">
        <v>1</v>
      </c>
      <c r="BA32" s="193">
        <v>1.1000000000000001</v>
      </c>
      <c r="BB32" s="382">
        <v>1</v>
      </c>
      <c r="BC32" s="193">
        <v>0</v>
      </c>
      <c r="BD32" s="193">
        <v>0</v>
      </c>
      <c r="BE32" s="193">
        <v>1</v>
      </c>
      <c r="BF32" s="193">
        <v>1.1000000000000001</v>
      </c>
      <c r="BG32" s="382">
        <v>1</v>
      </c>
      <c r="BH32" s="193">
        <v>0</v>
      </c>
      <c r="BI32" s="193">
        <v>0.9</v>
      </c>
      <c r="BJ32" s="193">
        <v>1</v>
      </c>
      <c r="BK32" s="193">
        <v>1.1000000000000001</v>
      </c>
      <c r="BL32" s="382">
        <v>1</v>
      </c>
      <c r="BM32" s="193">
        <v>0</v>
      </c>
      <c r="BN32" s="193">
        <v>0.9</v>
      </c>
      <c r="BO32" s="193">
        <v>1</v>
      </c>
      <c r="BP32" s="193">
        <v>1.1000000000000001</v>
      </c>
      <c r="BQ32" s="382">
        <v>1</v>
      </c>
      <c r="BR32" s="193">
        <v>0</v>
      </c>
      <c r="BS32" s="193">
        <v>0</v>
      </c>
      <c r="BT32" s="193">
        <v>1</v>
      </c>
      <c r="BU32" s="193">
        <v>1.1000000000000001</v>
      </c>
      <c r="BV32" s="382">
        <v>1</v>
      </c>
      <c r="BW32" s="193">
        <v>0</v>
      </c>
      <c r="BX32" s="193">
        <v>0.9</v>
      </c>
      <c r="BY32" s="193">
        <v>1</v>
      </c>
      <c r="BZ32" s="193">
        <v>1.1000000000000001</v>
      </c>
      <c r="CA32" s="382">
        <v>1</v>
      </c>
      <c r="CB32" s="193">
        <v>0</v>
      </c>
      <c r="CC32" s="193">
        <v>0.9</v>
      </c>
      <c r="CD32" s="193">
        <v>1</v>
      </c>
      <c r="CE32" s="193">
        <v>1.1000000000000001</v>
      </c>
      <c r="CF32" s="382">
        <v>1</v>
      </c>
      <c r="CG32" s="193">
        <v>0</v>
      </c>
      <c r="CH32" s="193">
        <v>0</v>
      </c>
      <c r="CI32" s="193">
        <v>1</v>
      </c>
      <c r="CJ32" s="193">
        <v>1.1000000000000001</v>
      </c>
      <c r="CK32" s="382">
        <v>1</v>
      </c>
      <c r="CL32" s="193">
        <v>0</v>
      </c>
      <c r="CM32" s="193">
        <v>0.9</v>
      </c>
      <c r="CN32" s="193">
        <v>1</v>
      </c>
      <c r="CO32" s="193">
        <v>1.1000000000000001</v>
      </c>
      <c r="CP32" s="382">
        <v>1</v>
      </c>
      <c r="CQ32" s="193">
        <v>0</v>
      </c>
      <c r="CR32" s="193">
        <v>0.9</v>
      </c>
      <c r="CS32" s="193">
        <v>1</v>
      </c>
      <c r="CT32" s="193">
        <v>1.1000000000000001</v>
      </c>
      <c r="CU32" s="382">
        <v>1</v>
      </c>
      <c r="CV32" s="193">
        <v>0</v>
      </c>
      <c r="CW32" s="193">
        <v>0</v>
      </c>
      <c r="CX32" s="193">
        <v>1</v>
      </c>
      <c r="CY32" s="193">
        <v>1.1000000000000001</v>
      </c>
      <c r="CZ32" s="382">
        <v>1</v>
      </c>
      <c r="DA32" s="193">
        <v>0</v>
      </c>
      <c r="DB32" s="193">
        <v>0.9</v>
      </c>
      <c r="DC32" s="193">
        <v>1</v>
      </c>
      <c r="DD32" s="193">
        <v>1.1000000000000001</v>
      </c>
      <c r="DE32" s="382">
        <v>1</v>
      </c>
      <c r="DF32" s="193">
        <v>0</v>
      </c>
      <c r="DG32" s="193">
        <v>0.9</v>
      </c>
      <c r="DH32" s="193">
        <v>1</v>
      </c>
      <c r="DI32" s="193">
        <v>1.1000000000000001</v>
      </c>
      <c r="DJ32" s="382">
        <v>1</v>
      </c>
      <c r="DK32" s="193">
        <v>0</v>
      </c>
      <c r="DL32" s="193">
        <v>0</v>
      </c>
      <c r="DM32" s="193">
        <v>1</v>
      </c>
      <c r="DN32" s="193">
        <v>1.1000000000000001</v>
      </c>
      <c r="DO32" s="382">
        <v>1</v>
      </c>
      <c r="DP32" s="193">
        <v>0</v>
      </c>
      <c r="DQ32" s="193">
        <v>0.9</v>
      </c>
      <c r="DR32" s="193">
        <v>1</v>
      </c>
      <c r="DS32" s="193">
        <v>1.1000000000000001</v>
      </c>
      <c r="DT32" s="382">
        <v>1</v>
      </c>
      <c r="DU32" s="193">
        <v>0</v>
      </c>
      <c r="DV32" s="193">
        <v>0.9</v>
      </c>
      <c r="DW32" s="193">
        <v>1</v>
      </c>
      <c r="DX32" s="193">
        <v>1.1000000000000001</v>
      </c>
      <c r="DY32" s="382">
        <v>1</v>
      </c>
      <c r="DZ32" s="193">
        <v>0</v>
      </c>
      <c r="EA32" s="193">
        <v>0</v>
      </c>
      <c r="EB32" s="193">
        <v>1</v>
      </c>
      <c r="EC32" s="193">
        <v>1.1000000000000001</v>
      </c>
      <c r="ED32" s="382">
        <v>1</v>
      </c>
      <c r="EE32" s="193">
        <v>0</v>
      </c>
      <c r="EF32" s="193">
        <v>0.9</v>
      </c>
      <c r="EG32" s="193">
        <v>1</v>
      </c>
      <c r="EH32" s="193">
        <v>1.1000000000000001</v>
      </c>
      <c r="EI32" s="382">
        <v>1</v>
      </c>
      <c r="EJ32" s="193">
        <v>0</v>
      </c>
      <c r="EK32" s="193">
        <v>0.9</v>
      </c>
      <c r="EL32" s="193">
        <v>1</v>
      </c>
      <c r="EM32" s="193">
        <v>1.1000000000000001</v>
      </c>
      <c r="EN32" s="382">
        <v>1</v>
      </c>
      <c r="EO32" s="193">
        <v>0</v>
      </c>
      <c r="EP32" s="193">
        <v>0</v>
      </c>
      <c r="EQ32" s="193">
        <v>1</v>
      </c>
      <c r="ER32" s="193">
        <v>1.1000000000000001</v>
      </c>
      <c r="ES32" s="382">
        <v>1</v>
      </c>
      <c r="ET32" s="193">
        <v>0</v>
      </c>
      <c r="EU32" s="193">
        <v>0.9</v>
      </c>
      <c r="EV32" s="193">
        <v>1</v>
      </c>
      <c r="EW32" s="193">
        <v>1.1000000000000001</v>
      </c>
      <c r="EX32" s="382">
        <v>1</v>
      </c>
      <c r="EY32" s="193">
        <v>0</v>
      </c>
      <c r="EZ32" s="193">
        <v>0.9</v>
      </c>
      <c r="FA32" s="193">
        <v>1</v>
      </c>
      <c r="FB32" s="193">
        <v>1.1000000000000001</v>
      </c>
      <c r="FC32" s="382">
        <v>1</v>
      </c>
      <c r="FD32" s="193">
        <v>0</v>
      </c>
      <c r="FE32" s="193">
        <v>0</v>
      </c>
      <c r="FF32" s="193">
        <v>1</v>
      </c>
      <c r="FG32" s="193">
        <v>1.1000000000000001</v>
      </c>
      <c r="FH32" s="382">
        <v>1</v>
      </c>
      <c r="FI32" s="193">
        <v>0</v>
      </c>
      <c r="FJ32" s="193">
        <v>0.9</v>
      </c>
      <c r="FK32" s="193">
        <v>1</v>
      </c>
      <c r="FL32" s="193">
        <v>1.1000000000000001</v>
      </c>
      <c r="FM32" s="382">
        <v>1</v>
      </c>
      <c r="FN32" s="193">
        <v>0</v>
      </c>
      <c r="FO32" s="193">
        <v>0.9</v>
      </c>
      <c r="FP32" s="193">
        <v>1</v>
      </c>
      <c r="FQ32" s="193">
        <v>1.1000000000000001</v>
      </c>
      <c r="FR32" s="382">
        <v>1</v>
      </c>
      <c r="FS32" s="193">
        <v>0</v>
      </c>
      <c r="FT32" s="193">
        <v>0</v>
      </c>
      <c r="FU32" s="193">
        <v>1</v>
      </c>
      <c r="FV32" s="193">
        <v>1.1000000000000001</v>
      </c>
      <c r="FW32" s="382">
        <v>1</v>
      </c>
      <c r="FX32" s="193">
        <v>0</v>
      </c>
      <c r="FY32" s="193">
        <v>0.9</v>
      </c>
      <c r="FZ32" s="193">
        <v>1</v>
      </c>
      <c r="GA32" s="193">
        <v>1.1000000000000001</v>
      </c>
      <c r="GB32" s="382">
        <v>1</v>
      </c>
      <c r="GC32" s="193">
        <v>0</v>
      </c>
      <c r="GD32" s="193">
        <v>0.9</v>
      </c>
      <c r="GE32" s="193">
        <v>1</v>
      </c>
      <c r="GF32" s="193">
        <v>1.1000000000000001</v>
      </c>
      <c r="GG32" s="382">
        <v>1</v>
      </c>
      <c r="GH32" s="193">
        <v>0</v>
      </c>
      <c r="GI32" s="193">
        <v>0</v>
      </c>
      <c r="GJ32" s="193">
        <v>1</v>
      </c>
      <c r="GK32" s="193">
        <v>1.1000000000000001</v>
      </c>
      <c r="GL32" s="382">
        <v>1</v>
      </c>
      <c r="GM32" s="193">
        <v>0</v>
      </c>
      <c r="GN32" s="193">
        <v>0.9</v>
      </c>
      <c r="GO32" s="193">
        <v>1</v>
      </c>
      <c r="GP32" s="187">
        <v>1.1000000000000001</v>
      </c>
      <c r="GQ32" s="382">
        <v>1</v>
      </c>
    </row>
    <row r="33" spans="1:199">
      <c r="A33" s="195"/>
      <c r="B33" s="188"/>
      <c r="C33" s="188"/>
      <c r="D33" s="188" t="s">
        <v>966</v>
      </c>
      <c r="E33" s="190">
        <v>0</v>
      </c>
      <c r="F33" s="193">
        <v>0</v>
      </c>
      <c r="G33" s="201">
        <v>0</v>
      </c>
      <c r="H33" s="201">
        <v>0</v>
      </c>
      <c r="I33" s="383">
        <v>1</v>
      </c>
      <c r="J33" s="383">
        <v>0</v>
      </c>
      <c r="K33" s="201">
        <v>0</v>
      </c>
      <c r="L33" s="201">
        <v>0</v>
      </c>
      <c r="M33" s="201">
        <v>0</v>
      </c>
      <c r="N33" s="383">
        <v>1</v>
      </c>
      <c r="O33" s="383">
        <v>0</v>
      </c>
      <c r="P33" s="201">
        <v>0</v>
      </c>
      <c r="Q33" s="201">
        <v>0</v>
      </c>
      <c r="R33" s="202">
        <v>0</v>
      </c>
      <c r="S33" s="382">
        <v>1</v>
      </c>
      <c r="T33" s="190">
        <v>0</v>
      </c>
      <c r="U33" s="193">
        <v>0</v>
      </c>
      <c r="V33" s="201">
        <v>0</v>
      </c>
      <c r="W33" s="201">
        <v>0</v>
      </c>
      <c r="X33" s="382">
        <v>1</v>
      </c>
      <c r="Y33" s="200">
        <v>0</v>
      </c>
      <c r="Z33" s="201">
        <v>0</v>
      </c>
      <c r="AA33" s="201">
        <v>0</v>
      </c>
      <c r="AB33" s="201">
        <v>0</v>
      </c>
      <c r="AC33" s="382">
        <v>1</v>
      </c>
      <c r="AD33" s="200">
        <v>0</v>
      </c>
      <c r="AE33" s="201">
        <v>0</v>
      </c>
      <c r="AF33" s="201">
        <v>0</v>
      </c>
      <c r="AG33" s="383">
        <v>0</v>
      </c>
      <c r="AH33" s="383">
        <v>1</v>
      </c>
      <c r="AI33" s="383">
        <v>0</v>
      </c>
      <c r="AJ33" s="383">
        <v>0</v>
      </c>
      <c r="AK33" s="201">
        <v>0</v>
      </c>
      <c r="AL33" s="201">
        <v>0</v>
      </c>
      <c r="AM33" s="383">
        <v>1</v>
      </c>
      <c r="AN33" s="383">
        <v>0</v>
      </c>
      <c r="AO33" s="201">
        <v>0</v>
      </c>
      <c r="AP33" s="201">
        <v>0</v>
      </c>
      <c r="AQ33" s="201">
        <v>0</v>
      </c>
      <c r="AR33" s="382">
        <v>1</v>
      </c>
      <c r="AS33" s="200">
        <v>0</v>
      </c>
      <c r="AT33" s="201">
        <v>0</v>
      </c>
      <c r="AU33" s="201">
        <v>0</v>
      </c>
      <c r="AV33" s="193">
        <v>0</v>
      </c>
      <c r="AW33" s="382">
        <v>1</v>
      </c>
      <c r="AX33" s="193">
        <v>0</v>
      </c>
      <c r="AY33" s="193">
        <v>0.8</v>
      </c>
      <c r="AZ33" s="193">
        <v>1</v>
      </c>
      <c r="BA33" s="193">
        <v>1.2</v>
      </c>
      <c r="BB33" s="382">
        <v>1</v>
      </c>
      <c r="BC33" s="193">
        <v>0</v>
      </c>
      <c r="BD33" s="193">
        <v>0.8</v>
      </c>
      <c r="BE33" s="193">
        <v>1</v>
      </c>
      <c r="BF33" s="193">
        <v>1.2</v>
      </c>
      <c r="BG33" s="382">
        <v>1</v>
      </c>
      <c r="BH33" s="193">
        <v>0</v>
      </c>
      <c r="BI33" s="193">
        <v>0.8</v>
      </c>
      <c r="BJ33" s="193">
        <v>1</v>
      </c>
      <c r="BK33" s="193">
        <v>1.2</v>
      </c>
      <c r="BL33" s="382">
        <v>1</v>
      </c>
      <c r="BM33" s="193">
        <v>0</v>
      </c>
      <c r="BN33" s="193">
        <v>0.8</v>
      </c>
      <c r="BO33" s="193">
        <v>1</v>
      </c>
      <c r="BP33" s="193">
        <v>1.2</v>
      </c>
      <c r="BQ33" s="382">
        <v>1</v>
      </c>
      <c r="BR33" s="193">
        <v>0</v>
      </c>
      <c r="BS33" s="193">
        <v>0.8</v>
      </c>
      <c r="BT33" s="193">
        <v>1</v>
      </c>
      <c r="BU33" s="193">
        <v>1.2</v>
      </c>
      <c r="BV33" s="382">
        <v>1</v>
      </c>
      <c r="BW33" s="193">
        <v>0</v>
      </c>
      <c r="BX33" s="193">
        <v>0.8</v>
      </c>
      <c r="BY33" s="193">
        <v>1</v>
      </c>
      <c r="BZ33" s="193">
        <v>1.2</v>
      </c>
      <c r="CA33" s="382">
        <v>1</v>
      </c>
      <c r="CB33" s="193">
        <v>0</v>
      </c>
      <c r="CC33" s="193">
        <v>0.8</v>
      </c>
      <c r="CD33" s="193">
        <v>1</v>
      </c>
      <c r="CE33" s="193">
        <v>1.2</v>
      </c>
      <c r="CF33" s="382">
        <v>1</v>
      </c>
      <c r="CG33" s="193">
        <v>0</v>
      </c>
      <c r="CH33" s="193">
        <v>0.8</v>
      </c>
      <c r="CI33" s="193">
        <v>1</v>
      </c>
      <c r="CJ33" s="193">
        <v>1.2</v>
      </c>
      <c r="CK33" s="382">
        <v>1</v>
      </c>
      <c r="CL33" s="193">
        <v>0</v>
      </c>
      <c r="CM33" s="193">
        <v>0.8</v>
      </c>
      <c r="CN33" s="193">
        <v>1</v>
      </c>
      <c r="CO33" s="193">
        <v>1.2</v>
      </c>
      <c r="CP33" s="382">
        <v>1</v>
      </c>
      <c r="CQ33" s="193">
        <v>0</v>
      </c>
      <c r="CR33" s="193">
        <v>0.8</v>
      </c>
      <c r="CS33" s="193">
        <v>1</v>
      </c>
      <c r="CT33" s="193">
        <v>1.2</v>
      </c>
      <c r="CU33" s="382">
        <v>1</v>
      </c>
      <c r="CV33" s="193">
        <v>0</v>
      </c>
      <c r="CW33" s="193">
        <v>0.8</v>
      </c>
      <c r="CX33" s="193">
        <v>1</v>
      </c>
      <c r="CY33" s="193">
        <v>1.2</v>
      </c>
      <c r="CZ33" s="382">
        <v>1</v>
      </c>
      <c r="DA33" s="193">
        <v>0</v>
      </c>
      <c r="DB33" s="193">
        <v>0.8</v>
      </c>
      <c r="DC33" s="193">
        <v>1</v>
      </c>
      <c r="DD33" s="193">
        <v>1.2</v>
      </c>
      <c r="DE33" s="382">
        <v>1</v>
      </c>
      <c r="DF33" s="193">
        <v>0</v>
      </c>
      <c r="DG33" s="193">
        <v>0.8</v>
      </c>
      <c r="DH33" s="193">
        <v>1</v>
      </c>
      <c r="DI33" s="193">
        <v>1.2</v>
      </c>
      <c r="DJ33" s="382">
        <v>1</v>
      </c>
      <c r="DK33" s="193">
        <v>0</v>
      </c>
      <c r="DL33" s="193">
        <v>0.8</v>
      </c>
      <c r="DM33" s="193">
        <v>1</v>
      </c>
      <c r="DN33" s="193">
        <v>1.2</v>
      </c>
      <c r="DO33" s="382">
        <v>1</v>
      </c>
      <c r="DP33" s="193">
        <v>0</v>
      </c>
      <c r="DQ33" s="193">
        <v>0.8</v>
      </c>
      <c r="DR33" s="193">
        <v>1</v>
      </c>
      <c r="DS33" s="193">
        <v>1.2</v>
      </c>
      <c r="DT33" s="382">
        <v>1</v>
      </c>
      <c r="DU33" s="193">
        <v>0</v>
      </c>
      <c r="DV33" s="193">
        <v>0.8</v>
      </c>
      <c r="DW33" s="193">
        <v>1</v>
      </c>
      <c r="DX33" s="193">
        <v>1.2</v>
      </c>
      <c r="DY33" s="382">
        <v>1</v>
      </c>
      <c r="DZ33" s="193">
        <v>0</v>
      </c>
      <c r="EA33" s="193">
        <v>0.8</v>
      </c>
      <c r="EB33" s="193">
        <v>1</v>
      </c>
      <c r="EC33" s="193">
        <v>1.2</v>
      </c>
      <c r="ED33" s="382">
        <v>1</v>
      </c>
      <c r="EE33" s="193">
        <v>0</v>
      </c>
      <c r="EF33" s="193">
        <v>0.8</v>
      </c>
      <c r="EG33" s="193">
        <v>1</v>
      </c>
      <c r="EH33" s="193">
        <v>1.2</v>
      </c>
      <c r="EI33" s="382">
        <v>1</v>
      </c>
      <c r="EJ33" s="193">
        <v>0</v>
      </c>
      <c r="EK33" s="193">
        <v>0.8</v>
      </c>
      <c r="EL33" s="193">
        <v>1</v>
      </c>
      <c r="EM33" s="193">
        <v>1.2</v>
      </c>
      <c r="EN33" s="382">
        <v>1</v>
      </c>
      <c r="EO33" s="193">
        <v>0</v>
      </c>
      <c r="EP33" s="193">
        <v>0.8</v>
      </c>
      <c r="EQ33" s="193">
        <v>1</v>
      </c>
      <c r="ER33" s="193">
        <v>1.2</v>
      </c>
      <c r="ES33" s="382">
        <v>1</v>
      </c>
      <c r="ET33" s="193">
        <v>0</v>
      </c>
      <c r="EU33" s="193">
        <v>0.8</v>
      </c>
      <c r="EV33" s="193">
        <v>1</v>
      </c>
      <c r="EW33" s="193">
        <v>1.2</v>
      </c>
      <c r="EX33" s="382">
        <v>1</v>
      </c>
      <c r="EY33" s="193">
        <v>0</v>
      </c>
      <c r="EZ33" s="193">
        <v>0.8</v>
      </c>
      <c r="FA33" s="193">
        <v>1</v>
      </c>
      <c r="FB33" s="193">
        <v>1.2</v>
      </c>
      <c r="FC33" s="382">
        <v>1</v>
      </c>
      <c r="FD33" s="193">
        <v>0</v>
      </c>
      <c r="FE33" s="193">
        <v>0.8</v>
      </c>
      <c r="FF33" s="193">
        <v>1</v>
      </c>
      <c r="FG33" s="193">
        <v>1.2</v>
      </c>
      <c r="FH33" s="382">
        <v>1</v>
      </c>
      <c r="FI33" s="193">
        <v>0</v>
      </c>
      <c r="FJ33" s="193">
        <v>0.8</v>
      </c>
      <c r="FK33" s="193">
        <v>1</v>
      </c>
      <c r="FL33" s="193">
        <v>1.2</v>
      </c>
      <c r="FM33" s="382">
        <v>1</v>
      </c>
      <c r="FN33" s="193">
        <v>0</v>
      </c>
      <c r="FO33" s="193">
        <v>0.8</v>
      </c>
      <c r="FP33" s="193">
        <v>1</v>
      </c>
      <c r="FQ33" s="193">
        <v>1.2</v>
      </c>
      <c r="FR33" s="382">
        <v>1</v>
      </c>
      <c r="FS33" s="193">
        <v>0</v>
      </c>
      <c r="FT33" s="193">
        <v>0.8</v>
      </c>
      <c r="FU33" s="193">
        <v>1</v>
      </c>
      <c r="FV33" s="193">
        <v>1.2</v>
      </c>
      <c r="FW33" s="382">
        <v>1</v>
      </c>
      <c r="FX33" s="193">
        <v>0</v>
      </c>
      <c r="FY33" s="193">
        <v>0.8</v>
      </c>
      <c r="FZ33" s="193">
        <v>1</v>
      </c>
      <c r="GA33" s="193">
        <v>1.2</v>
      </c>
      <c r="GB33" s="382">
        <v>1</v>
      </c>
      <c r="GC33" s="193">
        <v>0</v>
      </c>
      <c r="GD33" s="193">
        <v>0.8</v>
      </c>
      <c r="GE33" s="193">
        <v>1</v>
      </c>
      <c r="GF33" s="193">
        <v>1.2</v>
      </c>
      <c r="GG33" s="382">
        <v>1</v>
      </c>
      <c r="GH33" s="193">
        <v>0</v>
      </c>
      <c r="GI33" s="193">
        <v>0.8</v>
      </c>
      <c r="GJ33" s="193">
        <v>1</v>
      </c>
      <c r="GK33" s="193">
        <v>1.2</v>
      </c>
      <c r="GL33" s="382">
        <v>1</v>
      </c>
      <c r="GM33" s="193">
        <v>0</v>
      </c>
      <c r="GN33" s="193">
        <v>0.8</v>
      </c>
      <c r="GO33" s="193">
        <v>1</v>
      </c>
      <c r="GP33" s="187">
        <v>1.2</v>
      </c>
      <c r="GQ33" s="382">
        <v>1</v>
      </c>
    </row>
    <row r="34" spans="1:199">
      <c r="A34" s="195"/>
      <c r="B34" s="200"/>
      <c r="C34" s="200" t="s">
        <v>989</v>
      </c>
      <c r="D34" s="382" t="s">
        <v>186</v>
      </c>
      <c r="E34" s="386">
        <v>0</v>
      </c>
      <c r="F34" s="201">
        <v>0</v>
      </c>
      <c r="G34" s="201">
        <v>0</v>
      </c>
      <c r="H34" s="201">
        <v>0</v>
      </c>
      <c r="I34" s="383">
        <v>1</v>
      </c>
      <c r="J34" s="383">
        <v>0</v>
      </c>
      <c r="K34" s="201">
        <v>0</v>
      </c>
      <c r="L34" s="201">
        <v>0</v>
      </c>
      <c r="M34" s="201">
        <v>0</v>
      </c>
      <c r="N34" s="383">
        <v>1</v>
      </c>
      <c r="O34" s="383">
        <v>0</v>
      </c>
      <c r="P34" s="201">
        <v>0</v>
      </c>
      <c r="Q34" s="201">
        <v>0</v>
      </c>
      <c r="R34" s="202">
        <v>0</v>
      </c>
      <c r="S34" s="382">
        <v>1</v>
      </c>
      <c r="T34" s="386">
        <v>0</v>
      </c>
      <c r="U34" s="201">
        <v>0</v>
      </c>
      <c r="V34" s="201">
        <v>0</v>
      </c>
      <c r="W34" s="201">
        <v>0</v>
      </c>
      <c r="X34" s="382">
        <v>1</v>
      </c>
      <c r="Y34" s="200">
        <v>0</v>
      </c>
      <c r="Z34" s="201">
        <v>0</v>
      </c>
      <c r="AA34" s="201">
        <v>0</v>
      </c>
      <c r="AB34" s="201">
        <v>0</v>
      </c>
      <c r="AC34" s="382">
        <v>1</v>
      </c>
      <c r="AD34" s="200">
        <v>0</v>
      </c>
      <c r="AE34" s="201">
        <v>0</v>
      </c>
      <c r="AF34" s="201">
        <v>0</v>
      </c>
      <c r="AG34" s="383">
        <v>0</v>
      </c>
      <c r="AH34" s="383">
        <v>1</v>
      </c>
      <c r="AI34" s="383">
        <v>0</v>
      </c>
      <c r="AJ34" s="383">
        <v>0</v>
      </c>
      <c r="AK34" s="201">
        <v>0</v>
      </c>
      <c r="AL34" s="201">
        <v>0</v>
      </c>
      <c r="AM34" s="383">
        <v>1</v>
      </c>
      <c r="AN34" s="383">
        <v>0</v>
      </c>
      <c r="AO34" s="201">
        <v>0</v>
      </c>
      <c r="AP34" s="201">
        <v>0</v>
      </c>
      <c r="AQ34" s="201">
        <v>0</v>
      </c>
      <c r="AR34" s="382">
        <v>1</v>
      </c>
      <c r="AS34" s="200">
        <v>0</v>
      </c>
      <c r="AT34" s="201">
        <v>0</v>
      </c>
      <c r="AU34" s="201">
        <v>0</v>
      </c>
      <c r="AV34" s="201">
        <v>0</v>
      </c>
      <c r="AW34" s="382">
        <v>1</v>
      </c>
      <c r="AX34" s="201">
        <v>0</v>
      </c>
      <c r="AY34" s="201">
        <v>0.8</v>
      </c>
      <c r="AZ34" s="201">
        <v>1</v>
      </c>
      <c r="BA34" s="201">
        <v>1.2</v>
      </c>
      <c r="BB34" s="382">
        <v>1</v>
      </c>
      <c r="BC34" s="201">
        <v>0</v>
      </c>
      <c r="BD34" s="201">
        <v>0</v>
      </c>
      <c r="BE34" s="201">
        <v>1</v>
      </c>
      <c r="BF34" s="201">
        <v>1.2</v>
      </c>
      <c r="BG34" s="382">
        <v>1</v>
      </c>
      <c r="BH34" s="201">
        <v>0</v>
      </c>
      <c r="BI34" s="201">
        <v>0.8</v>
      </c>
      <c r="BJ34" s="201">
        <v>1</v>
      </c>
      <c r="BK34" s="201">
        <v>1.2</v>
      </c>
      <c r="BL34" s="382">
        <v>1</v>
      </c>
      <c r="BM34" s="201">
        <v>0</v>
      </c>
      <c r="BN34" s="201">
        <v>0.8</v>
      </c>
      <c r="BO34" s="201">
        <v>1</v>
      </c>
      <c r="BP34" s="201">
        <v>1.2</v>
      </c>
      <c r="BQ34" s="382">
        <v>1</v>
      </c>
      <c r="BR34" s="201">
        <v>0</v>
      </c>
      <c r="BS34" s="201">
        <v>0</v>
      </c>
      <c r="BT34" s="201">
        <v>1</v>
      </c>
      <c r="BU34" s="201">
        <v>1.2</v>
      </c>
      <c r="BV34" s="382">
        <v>1</v>
      </c>
      <c r="BW34" s="201">
        <v>0</v>
      </c>
      <c r="BX34" s="201">
        <v>0.8</v>
      </c>
      <c r="BY34" s="201">
        <v>1</v>
      </c>
      <c r="BZ34" s="201">
        <v>1.2</v>
      </c>
      <c r="CA34" s="382">
        <v>1</v>
      </c>
      <c r="CB34" s="201">
        <v>0</v>
      </c>
      <c r="CC34" s="201">
        <v>0.8</v>
      </c>
      <c r="CD34" s="201">
        <v>1</v>
      </c>
      <c r="CE34" s="201">
        <v>1.2</v>
      </c>
      <c r="CF34" s="382">
        <v>1</v>
      </c>
      <c r="CG34" s="201">
        <v>0</v>
      </c>
      <c r="CH34" s="201">
        <v>0</v>
      </c>
      <c r="CI34" s="201">
        <v>1</v>
      </c>
      <c r="CJ34" s="201">
        <v>1.2</v>
      </c>
      <c r="CK34" s="382">
        <v>1</v>
      </c>
      <c r="CL34" s="201">
        <v>0</v>
      </c>
      <c r="CM34" s="201">
        <v>0.8</v>
      </c>
      <c r="CN34" s="201">
        <v>1</v>
      </c>
      <c r="CO34" s="201">
        <v>1.2</v>
      </c>
      <c r="CP34" s="382">
        <v>1</v>
      </c>
      <c r="CQ34" s="201">
        <v>0</v>
      </c>
      <c r="CR34" s="201">
        <v>0.8</v>
      </c>
      <c r="CS34" s="201">
        <v>1</v>
      </c>
      <c r="CT34" s="201">
        <v>1.2</v>
      </c>
      <c r="CU34" s="382">
        <v>1</v>
      </c>
      <c r="CV34" s="201">
        <v>0</v>
      </c>
      <c r="CW34" s="201">
        <v>0</v>
      </c>
      <c r="CX34" s="201">
        <v>1</v>
      </c>
      <c r="CY34" s="201">
        <v>1.2</v>
      </c>
      <c r="CZ34" s="382">
        <v>1</v>
      </c>
      <c r="DA34" s="201">
        <v>0</v>
      </c>
      <c r="DB34" s="201">
        <v>0.8</v>
      </c>
      <c r="DC34" s="201">
        <v>1</v>
      </c>
      <c r="DD34" s="201">
        <v>1.2</v>
      </c>
      <c r="DE34" s="382">
        <v>1</v>
      </c>
      <c r="DF34" s="201">
        <v>0</v>
      </c>
      <c r="DG34" s="201">
        <v>0.8</v>
      </c>
      <c r="DH34" s="201">
        <v>1</v>
      </c>
      <c r="DI34" s="201">
        <v>1.2</v>
      </c>
      <c r="DJ34" s="382">
        <v>1</v>
      </c>
      <c r="DK34" s="201">
        <v>0</v>
      </c>
      <c r="DL34" s="201">
        <v>0</v>
      </c>
      <c r="DM34" s="201">
        <v>1</v>
      </c>
      <c r="DN34" s="201">
        <v>1.2</v>
      </c>
      <c r="DO34" s="382">
        <v>1</v>
      </c>
      <c r="DP34" s="201">
        <v>0</v>
      </c>
      <c r="DQ34" s="201">
        <v>0.8</v>
      </c>
      <c r="DR34" s="201">
        <v>1</v>
      </c>
      <c r="DS34" s="201">
        <v>1.2</v>
      </c>
      <c r="DT34" s="382">
        <v>1</v>
      </c>
      <c r="DU34" s="201">
        <v>0</v>
      </c>
      <c r="DV34" s="201">
        <v>0.8</v>
      </c>
      <c r="DW34" s="201">
        <v>1</v>
      </c>
      <c r="DX34" s="201">
        <v>1.2</v>
      </c>
      <c r="DY34" s="382">
        <v>1</v>
      </c>
      <c r="DZ34" s="201">
        <v>0</v>
      </c>
      <c r="EA34" s="201">
        <v>0</v>
      </c>
      <c r="EB34" s="201">
        <v>1</v>
      </c>
      <c r="EC34" s="201">
        <v>1.2</v>
      </c>
      <c r="ED34" s="382">
        <v>1</v>
      </c>
      <c r="EE34" s="201">
        <v>0</v>
      </c>
      <c r="EF34" s="201">
        <v>0.8</v>
      </c>
      <c r="EG34" s="201">
        <v>1</v>
      </c>
      <c r="EH34" s="201">
        <v>1.2</v>
      </c>
      <c r="EI34" s="382">
        <v>1</v>
      </c>
      <c r="EJ34" s="201">
        <v>0</v>
      </c>
      <c r="EK34" s="201">
        <v>0.8</v>
      </c>
      <c r="EL34" s="201">
        <v>1</v>
      </c>
      <c r="EM34" s="201">
        <v>1.2</v>
      </c>
      <c r="EN34" s="382">
        <v>1</v>
      </c>
      <c r="EO34" s="201">
        <v>0</v>
      </c>
      <c r="EP34" s="201">
        <v>0</v>
      </c>
      <c r="EQ34" s="201">
        <v>1</v>
      </c>
      <c r="ER34" s="201">
        <v>1.2</v>
      </c>
      <c r="ES34" s="382">
        <v>1</v>
      </c>
      <c r="ET34" s="201">
        <v>0</v>
      </c>
      <c r="EU34" s="201">
        <v>0.8</v>
      </c>
      <c r="EV34" s="201">
        <v>1</v>
      </c>
      <c r="EW34" s="201">
        <v>1.2</v>
      </c>
      <c r="EX34" s="382">
        <v>1</v>
      </c>
      <c r="EY34" s="201">
        <v>0</v>
      </c>
      <c r="EZ34" s="201">
        <v>0.8</v>
      </c>
      <c r="FA34" s="201">
        <v>1</v>
      </c>
      <c r="FB34" s="201">
        <v>1.2</v>
      </c>
      <c r="FC34" s="382">
        <v>1</v>
      </c>
      <c r="FD34" s="201">
        <v>0</v>
      </c>
      <c r="FE34" s="201">
        <v>0</v>
      </c>
      <c r="FF34" s="201">
        <v>1</v>
      </c>
      <c r="FG34" s="201">
        <v>1.2</v>
      </c>
      <c r="FH34" s="382">
        <v>1</v>
      </c>
      <c r="FI34" s="201">
        <v>0</v>
      </c>
      <c r="FJ34" s="201">
        <v>0.8</v>
      </c>
      <c r="FK34" s="201">
        <v>1</v>
      </c>
      <c r="FL34" s="201">
        <v>1.2</v>
      </c>
      <c r="FM34" s="382">
        <v>1</v>
      </c>
      <c r="FN34" s="201">
        <v>0</v>
      </c>
      <c r="FO34" s="201">
        <v>0.8</v>
      </c>
      <c r="FP34" s="201">
        <v>1</v>
      </c>
      <c r="FQ34" s="201">
        <v>1.2</v>
      </c>
      <c r="FR34" s="382">
        <v>1</v>
      </c>
      <c r="FS34" s="201">
        <v>0</v>
      </c>
      <c r="FT34" s="201">
        <v>0</v>
      </c>
      <c r="FU34" s="201">
        <v>1</v>
      </c>
      <c r="FV34" s="201">
        <v>1.2</v>
      </c>
      <c r="FW34" s="382">
        <v>1</v>
      </c>
      <c r="FX34" s="201">
        <v>0</v>
      </c>
      <c r="FY34" s="201">
        <v>0.8</v>
      </c>
      <c r="FZ34" s="201">
        <v>1</v>
      </c>
      <c r="GA34" s="201">
        <v>1.2</v>
      </c>
      <c r="GB34" s="382">
        <v>1</v>
      </c>
      <c r="GC34" s="201">
        <v>0</v>
      </c>
      <c r="GD34" s="201">
        <v>0.8</v>
      </c>
      <c r="GE34" s="201">
        <v>1</v>
      </c>
      <c r="GF34" s="201">
        <v>1.2</v>
      </c>
      <c r="GG34" s="382">
        <v>1</v>
      </c>
      <c r="GH34" s="201">
        <v>0</v>
      </c>
      <c r="GI34" s="201">
        <v>0</v>
      </c>
      <c r="GJ34" s="201">
        <v>1</v>
      </c>
      <c r="GK34" s="201">
        <v>1.2</v>
      </c>
      <c r="GL34" s="382">
        <v>1</v>
      </c>
      <c r="GM34" s="201">
        <v>0</v>
      </c>
      <c r="GN34" s="201">
        <v>0.8</v>
      </c>
      <c r="GO34" s="201">
        <v>1</v>
      </c>
      <c r="GP34" s="202">
        <v>1.2</v>
      </c>
      <c r="GQ34" s="382">
        <v>1</v>
      </c>
    </row>
    <row r="35" spans="1:199">
      <c r="A35" s="195"/>
    </row>
    <row r="36" spans="1:199">
      <c r="A36" s="195" t="s">
        <v>996</v>
      </c>
      <c r="B36" s="195" t="s">
        <v>141</v>
      </c>
      <c r="C36" s="195"/>
    </row>
    <row r="37" spans="1:199">
      <c r="A37" s="195"/>
      <c r="B37" s="196"/>
      <c r="C37" s="196" t="s">
        <v>987</v>
      </c>
      <c r="D37" s="196" t="s">
        <v>964</v>
      </c>
      <c r="E37" s="199">
        <v>0</v>
      </c>
      <c r="F37" s="197">
        <v>0</v>
      </c>
      <c r="G37" s="206">
        <v>0</v>
      </c>
      <c r="H37" s="204">
        <v>0</v>
      </c>
      <c r="I37" s="204">
        <v>1</v>
      </c>
      <c r="J37" s="204">
        <v>0</v>
      </c>
      <c r="K37" s="204">
        <v>0</v>
      </c>
      <c r="L37" s="204">
        <v>0</v>
      </c>
      <c r="M37" s="204">
        <v>0</v>
      </c>
      <c r="N37" s="204">
        <v>1</v>
      </c>
      <c r="O37" s="204">
        <v>0</v>
      </c>
      <c r="P37" s="204">
        <v>0</v>
      </c>
      <c r="Q37" s="204">
        <v>0</v>
      </c>
      <c r="R37" s="205">
        <v>0</v>
      </c>
      <c r="S37" s="186">
        <v>1</v>
      </c>
      <c r="T37" s="199">
        <v>0</v>
      </c>
      <c r="U37" s="197">
        <v>0.8</v>
      </c>
      <c r="V37" s="206">
        <v>1</v>
      </c>
      <c r="W37" s="204">
        <v>1.2</v>
      </c>
      <c r="X37" s="186">
        <v>1</v>
      </c>
      <c r="Y37" s="186">
        <v>0</v>
      </c>
      <c r="Z37" s="204">
        <v>0</v>
      </c>
      <c r="AA37" s="204">
        <v>0</v>
      </c>
      <c r="AB37" s="204">
        <v>1.2</v>
      </c>
      <c r="AC37" s="186">
        <v>1</v>
      </c>
      <c r="AD37" s="186">
        <v>0</v>
      </c>
      <c r="AE37" s="204">
        <v>0.8</v>
      </c>
      <c r="AF37" s="205">
        <v>1</v>
      </c>
      <c r="AG37" s="204">
        <v>1.2</v>
      </c>
      <c r="AH37" s="204">
        <v>1</v>
      </c>
      <c r="AI37" s="204">
        <v>0</v>
      </c>
      <c r="AJ37" s="204">
        <v>0.8</v>
      </c>
      <c r="AK37" s="206">
        <v>1</v>
      </c>
      <c r="AL37" s="204">
        <v>1.2</v>
      </c>
      <c r="AM37" s="204">
        <v>1</v>
      </c>
      <c r="AN37" s="204">
        <v>0</v>
      </c>
      <c r="AO37" s="204">
        <v>0</v>
      </c>
      <c r="AP37" s="204">
        <v>0</v>
      </c>
      <c r="AQ37" s="204">
        <v>1.2</v>
      </c>
      <c r="AR37" s="186">
        <v>1</v>
      </c>
      <c r="AS37" s="186">
        <v>0</v>
      </c>
      <c r="AT37" s="204">
        <v>0.8</v>
      </c>
      <c r="AU37" s="204">
        <v>1</v>
      </c>
      <c r="AV37" s="197">
        <v>1.2</v>
      </c>
      <c r="AW37" s="186">
        <v>1</v>
      </c>
      <c r="AX37" s="197">
        <v>0</v>
      </c>
      <c r="AY37" s="197">
        <v>0.8</v>
      </c>
      <c r="AZ37" s="197">
        <v>1</v>
      </c>
      <c r="BA37" s="197">
        <v>1.2</v>
      </c>
      <c r="BB37" s="186">
        <v>1</v>
      </c>
      <c r="BC37" s="197">
        <v>0</v>
      </c>
      <c r="BD37" s="197">
        <v>0</v>
      </c>
      <c r="BE37" s="197">
        <v>0</v>
      </c>
      <c r="BF37" s="197">
        <v>1.2</v>
      </c>
      <c r="BG37" s="186">
        <v>1</v>
      </c>
      <c r="BH37" s="197">
        <v>0</v>
      </c>
      <c r="BI37" s="197">
        <v>0.8</v>
      </c>
      <c r="BJ37" s="197">
        <v>1</v>
      </c>
      <c r="BK37" s="197">
        <v>1.2</v>
      </c>
      <c r="BL37" s="186">
        <v>1</v>
      </c>
      <c r="BM37" s="197">
        <v>0</v>
      </c>
      <c r="BN37" s="197">
        <v>0.8</v>
      </c>
      <c r="BO37" s="197">
        <v>1</v>
      </c>
      <c r="BP37" s="197">
        <v>1.2</v>
      </c>
      <c r="BQ37" s="186">
        <v>1</v>
      </c>
      <c r="BR37" s="197">
        <v>0</v>
      </c>
      <c r="BS37" s="197">
        <v>0</v>
      </c>
      <c r="BT37" s="197">
        <v>0</v>
      </c>
      <c r="BU37" s="197">
        <v>1.2</v>
      </c>
      <c r="BV37" s="186">
        <v>1</v>
      </c>
      <c r="BW37" s="197">
        <v>0</v>
      </c>
      <c r="BX37" s="197">
        <v>0.8</v>
      </c>
      <c r="BY37" s="197">
        <v>1</v>
      </c>
      <c r="BZ37" s="197">
        <v>1.2</v>
      </c>
      <c r="CA37" s="186">
        <v>1</v>
      </c>
      <c r="CB37" s="197">
        <v>0</v>
      </c>
      <c r="CC37" s="197">
        <v>0.8</v>
      </c>
      <c r="CD37" s="197">
        <v>1</v>
      </c>
      <c r="CE37" s="197">
        <v>1.2</v>
      </c>
      <c r="CF37" s="186">
        <v>1</v>
      </c>
      <c r="CG37" s="197">
        <v>0</v>
      </c>
      <c r="CH37" s="197">
        <v>0</v>
      </c>
      <c r="CI37" s="197">
        <v>0</v>
      </c>
      <c r="CJ37" s="197">
        <v>1.2</v>
      </c>
      <c r="CK37" s="186">
        <v>1</v>
      </c>
      <c r="CL37" s="197">
        <v>0</v>
      </c>
      <c r="CM37" s="197">
        <v>0.8</v>
      </c>
      <c r="CN37" s="197">
        <v>1</v>
      </c>
      <c r="CO37" s="197">
        <v>1.2</v>
      </c>
      <c r="CP37" s="186">
        <v>1</v>
      </c>
      <c r="CQ37" s="197">
        <v>0</v>
      </c>
      <c r="CR37" s="197">
        <v>0.8</v>
      </c>
      <c r="CS37" s="197">
        <v>1</v>
      </c>
      <c r="CT37" s="197">
        <v>1.2</v>
      </c>
      <c r="CU37" s="186">
        <v>1</v>
      </c>
      <c r="CV37" s="197">
        <v>0</v>
      </c>
      <c r="CW37" s="197">
        <v>0</v>
      </c>
      <c r="CX37" s="197">
        <v>0</v>
      </c>
      <c r="CY37" s="197">
        <v>1.2</v>
      </c>
      <c r="CZ37" s="186">
        <v>1</v>
      </c>
      <c r="DA37" s="197">
        <v>0</v>
      </c>
      <c r="DB37" s="197">
        <v>0.8</v>
      </c>
      <c r="DC37" s="197">
        <v>1</v>
      </c>
      <c r="DD37" s="197">
        <v>1.2</v>
      </c>
      <c r="DE37" s="186">
        <v>1</v>
      </c>
      <c r="DF37" s="197">
        <v>0</v>
      </c>
      <c r="DG37" s="197">
        <v>0</v>
      </c>
      <c r="DH37" s="197">
        <v>0</v>
      </c>
      <c r="DI37" s="197">
        <v>0</v>
      </c>
      <c r="DJ37" s="186">
        <v>1</v>
      </c>
      <c r="DK37" s="197">
        <v>0</v>
      </c>
      <c r="DL37" s="197">
        <v>0</v>
      </c>
      <c r="DM37" s="197">
        <v>0</v>
      </c>
      <c r="DN37" s="197">
        <v>0</v>
      </c>
      <c r="DO37" s="186">
        <v>1</v>
      </c>
      <c r="DP37" s="197">
        <v>0</v>
      </c>
      <c r="DQ37" s="197">
        <v>0</v>
      </c>
      <c r="DR37" s="197">
        <v>0</v>
      </c>
      <c r="DS37" s="197">
        <v>0</v>
      </c>
      <c r="DT37" s="186">
        <v>1</v>
      </c>
      <c r="DU37" s="197">
        <v>0</v>
      </c>
      <c r="DV37" s="197">
        <v>0</v>
      </c>
      <c r="DW37" s="197">
        <v>0</v>
      </c>
      <c r="DX37" s="197">
        <v>0</v>
      </c>
      <c r="DY37" s="186">
        <v>1</v>
      </c>
      <c r="DZ37" s="197">
        <v>0</v>
      </c>
      <c r="EA37" s="197">
        <v>0</v>
      </c>
      <c r="EB37" s="197">
        <v>0</v>
      </c>
      <c r="EC37" s="197">
        <v>0</v>
      </c>
      <c r="ED37" s="186">
        <v>1</v>
      </c>
      <c r="EE37" s="197">
        <v>0</v>
      </c>
      <c r="EF37" s="197">
        <v>0</v>
      </c>
      <c r="EG37" s="197">
        <v>0</v>
      </c>
      <c r="EH37" s="197">
        <v>0</v>
      </c>
      <c r="EI37" s="186">
        <v>1</v>
      </c>
      <c r="EJ37" s="197">
        <v>0</v>
      </c>
      <c r="EK37" s="197">
        <v>0</v>
      </c>
      <c r="EL37" s="197">
        <v>0</v>
      </c>
      <c r="EM37" s="197">
        <v>0</v>
      </c>
      <c r="EN37" s="186">
        <v>1</v>
      </c>
      <c r="EO37" s="197">
        <v>0</v>
      </c>
      <c r="EP37" s="197">
        <v>0</v>
      </c>
      <c r="EQ37" s="197">
        <v>0</v>
      </c>
      <c r="ER37" s="197">
        <v>0</v>
      </c>
      <c r="ES37" s="186">
        <v>1</v>
      </c>
      <c r="ET37" s="197">
        <v>0</v>
      </c>
      <c r="EU37" s="197">
        <v>0</v>
      </c>
      <c r="EV37" s="197">
        <v>0</v>
      </c>
      <c r="EW37" s="197">
        <v>0</v>
      </c>
      <c r="EX37" s="186">
        <v>1</v>
      </c>
      <c r="EY37" s="197">
        <v>0</v>
      </c>
      <c r="EZ37" s="197">
        <v>0</v>
      </c>
      <c r="FA37" s="197">
        <v>0</v>
      </c>
      <c r="FB37" s="197">
        <v>0</v>
      </c>
      <c r="FC37" s="186">
        <v>1</v>
      </c>
      <c r="FD37" s="197">
        <v>0</v>
      </c>
      <c r="FE37" s="197">
        <v>0</v>
      </c>
      <c r="FF37" s="197">
        <v>0</v>
      </c>
      <c r="FG37" s="197">
        <v>0</v>
      </c>
      <c r="FH37" s="186">
        <v>1</v>
      </c>
      <c r="FI37" s="197">
        <v>0</v>
      </c>
      <c r="FJ37" s="197">
        <v>0</v>
      </c>
      <c r="FK37" s="197">
        <v>0</v>
      </c>
      <c r="FL37" s="197">
        <v>0</v>
      </c>
      <c r="FM37" s="186">
        <v>1</v>
      </c>
      <c r="FN37" s="197">
        <v>0</v>
      </c>
      <c r="FO37" s="197">
        <v>0</v>
      </c>
      <c r="FP37" s="197">
        <v>0</v>
      </c>
      <c r="FQ37" s="197">
        <v>0</v>
      </c>
      <c r="FR37" s="186">
        <v>1</v>
      </c>
      <c r="FS37" s="197">
        <v>0</v>
      </c>
      <c r="FT37" s="197">
        <v>0</v>
      </c>
      <c r="FU37" s="197">
        <v>0</v>
      </c>
      <c r="FV37" s="197">
        <v>0</v>
      </c>
      <c r="FW37" s="186">
        <v>1</v>
      </c>
      <c r="FX37" s="197">
        <v>0</v>
      </c>
      <c r="FY37" s="197">
        <v>0</v>
      </c>
      <c r="FZ37" s="197">
        <v>0</v>
      </c>
      <c r="GA37" s="197">
        <v>0</v>
      </c>
      <c r="GB37" s="186">
        <v>1</v>
      </c>
      <c r="GC37" s="197">
        <v>0</v>
      </c>
      <c r="GD37" s="197">
        <v>0</v>
      </c>
      <c r="GE37" s="197">
        <v>0</v>
      </c>
      <c r="GF37" s="197">
        <v>0</v>
      </c>
      <c r="GG37" s="186">
        <v>1</v>
      </c>
      <c r="GH37" s="197">
        <v>0</v>
      </c>
      <c r="GI37" s="197">
        <v>0</v>
      </c>
      <c r="GJ37" s="197">
        <v>0</v>
      </c>
      <c r="GK37" s="197">
        <v>0</v>
      </c>
      <c r="GL37" s="186">
        <v>1</v>
      </c>
      <c r="GM37" s="197">
        <v>0</v>
      </c>
      <c r="GN37" s="197">
        <v>0</v>
      </c>
      <c r="GO37" s="197">
        <v>0</v>
      </c>
      <c r="GP37" s="198">
        <v>0</v>
      </c>
      <c r="GQ37" s="186">
        <v>1</v>
      </c>
    </row>
    <row r="38" spans="1:199">
      <c r="A38" s="195"/>
      <c r="B38" s="188"/>
      <c r="C38" s="188" t="s">
        <v>303</v>
      </c>
      <c r="D38" s="188" t="s">
        <v>235</v>
      </c>
      <c r="E38" s="190">
        <v>0</v>
      </c>
      <c r="F38" s="193">
        <v>0.8</v>
      </c>
      <c r="G38" s="203">
        <v>1</v>
      </c>
      <c r="H38" s="201">
        <v>1.2</v>
      </c>
      <c r="I38" s="383">
        <v>1</v>
      </c>
      <c r="J38" s="383">
        <v>0</v>
      </c>
      <c r="K38" s="201">
        <v>0.8</v>
      </c>
      <c r="L38" s="201">
        <v>1</v>
      </c>
      <c r="M38" s="201">
        <v>1.2</v>
      </c>
      <c r="N38" s="383">
        <v>1</v>
      </c>
      <c r="O38" s="383">
        <v>0</v>
      </c>
      <c r="P38" s="201">
        <v>0.8</v>
      </c>
      <c r="Q38" s="201">
        <v>1</v>
      </c>
      <c r="R38" s="202">
        <v>1.2</v>
      </c>
      <c r="S38" s="382">
        <v>1</v>
      </c>
      <c r="T38" s="190">
        <v>0</v>
      </c>
      <c r="U38" s="193">
        <v>0.8</v>
      </c>
      <c r="V38" s="203">
        <v>1</v>
      </c>
      <c r="W38" s="201">
        <v>1.2</v>
      </c>
      <c r="X38" s="382">
        <v>1</v>
      </c>
      <c r="Y38" s="200">
        <v>0</v>
      </c>
      <c r="Z38" s="201">
        <v>0.8</v>
      </c>
      <c r="AA38" s="201">
        <v>1</v>
      </c>
      <c r="AB38" s="201">
        <v>1.2</v>
      </c>
      <c r="AC38" s="382">
        <v>1</v>
      </c>
      <c r="AD38" s="200">
        <v>0</v>
      </c>
      <c r="AE38" s="201">
        <v>0.8</v>
      </c>
      <c r="AF38" s="402">
        <v>1</v>
      </c>
      <c r="AG38" s="383">
        <v>1.2</v>
      </c>
      <c r="AH38" s="383">
        <v>1</v>
      </c>
      <c r="AI38" s="383">
        <v>0</v>
      </c>
      <c r="AJ38" s="383">
        <v>0.8</v>
      </c>
      <c r="AK38" s="386">
        <v>1</v>
      </c>
      <c r="AL38" s="201">
        <v>1.2</v>
      </c>
      <c r="AM38" s="383">
        <v>1</v>
      </c>
      <c r="AN38" s="383">
        <v>0</v>
      </c>
      <c r="AO38" s="201">
        <v>0.8</v>
      </c>
      <c r="AP38" s="201">
        <v>1</v>
      </c>
      <c r="AQ38" s="201">
        <v>1.2</v>
      </c>
      <c r="AR38" s="382">
        <v>1</v>
      </c>
      <c r="AS38" s="200">
        <v>0</v>
      </c>
      <c r="AT38" s="201">
        <v>0.8</v>
      </c>
      <c r="AU38" s="201">
        <v>1</v>
      </c>
      <c r="AV38" s="193">
        <v>1.2</v>
      </c>
      <c r="AW38" s="382">
        <v>1</v>
      </c>
      <c r="AX38" s="193">
        <v>0</v>
      </c>
      <c r="AY38" s="193">
        <v>0.8</v>
      </c>
      <c r="AZ38" s="193">
        <v>1</v>
      </c>
      <c r="BA38" s="193">
        <v>1.2</v>
      </c>
      <c r="BB38" s="382">
        <v>1</v>
      </c>
      <c r="BC38" s="193">
        <v>0</v>
      </c>
      <c r="BD38" s="193">
        <v>0.8</v>
      </c>
      <c r="BE38" s="193">
        <v>1</v>
      </c>
      <c r="BF38" s="193">
        <v>1.2</v>
      </c>
      <c r="BG38" s="382">
        <v>1</v>
      </c>
      <c r="BH38" s="193">
        <v>0</v>
      </c>
      <c r="BI38" s="193">
        <v>0.8</v>
      </c>
      <c r="BJ38" s="193">
        <v>1</v>
      </c>
      <c r="BK38" s="193">
        <v>1.2</v>
      </c>
      <c r="BL38" s="382">
        <v>1</v>
      </c>
      <c r="BM38" s="193">
        <v>0</v>
      </c>
      <c r="BN38" s="193">
        <v>0.8</v>
      </c>
      <c r="BO38" s="193">
        <v>1</v>
      </c>
      <c r="BP38" s="193">
        <v>1.2</v>
      </c>
      <c r="BQ38" s="382">
        <v>1</v>
      </c>
      <c r="BR38" s="193">
        <v>0</v>
      </c>
      <c r="BS38" s="193">
        <v>0.8</v>
      </c>
      <c r="BT38" s="193">
        <v>1</v>
      </c>
      <c r="BU38" s="193">
        <v>1.2</v>
      </c>
      <c r="BV38" s="382">
        <v>1</v>
      </c>
      <c r="BW38" s="193">
        <v>0</v>
      </c>
      <c r="BX38" s="193">
        <v>0.8</v>
      </c>
      <c r="BY38" s="193">
        <v>1</v>
      </c>
      <c r="BZ38" s="193">
        <v>1.2</v>
      </c>
      <c r="CA38" s="382">
        <v>1</v>
      </c>
      <c r="CB38" s="193">
        <v>0</v>
      </c>
      <c r="CC38" s="193">
        <v>0.8</v>
      </c>
      <c r="CD38" s="193">
        <v>1</v>
      </c>
      <c r="CE38" s="193">
        <v>1.2</v>
      </c>
      <c r="CF38" s="382">
        <v>1</v>
      </c>
      <c r="CG38" s="193">
        <v>0</v>
      </c>
      <c r="CH38" s="193">
        <v>0.8</v>
      </c>
      <c r="CI38" s="193">
        <v>1</v>
      </c>
      <c r="CJ38" s="193">
        <v>1.2</v>
      </c>
      <c r="CK38" s="382">
        <v>1</v>
      </c>
      <c r="CL38" s="193">
        <v>0</v>
      </c>
      <c r="CM38" s="193">
        <v>0.8</v>
      </c>
      <c r="CN38" s="193">
        <v>1</v>
      </c>
      <c r="CO38" s="193">
        <v>1.2</v>
      </c>
      <c r="CP38" s="382">
        <v>1</v>
      </c>
      <c r="CQ38" s="193">
        <v>0</v>
      </c>
      <c r="CR38" s="193">
        <v>0.8</v>
      </c>
      <c r="CS38" s="193">
        <v>1</v>
      </c>
      <c r="CT38" s="193">
        <v>1.2</v>
      </c>
      <c r="CU38" s="382">
        <v>1</v>
      </c>
      <c r="CV38" s="193">
        <v>0</v>
      </c>
      <c r="CW38" s="193">
        <v>0.8</v>
      </c>
      <c r="CX38" s="193">
        <v>1</v>
      </c>
      <c r="CY38" s="193">
        <v>1.2</v>
      </c>
      <c r="CZ38" s="382">
        <v>1</v>
      </c>
      <c r="DA38" s="193">
        <v>0</v>
      </c>
      <c r="DB38" s="193">
        <v>0.8</v>
      </c>
      <c r="DC38" s="193">
        <v>1</v>
      </c>
      <c r="DD38" s="193">
        <v>1.2</v>
      </c>
      <c r="DE38" s="382">
        <v>1</v>
      </c>
      <c r="DF38" s="193">
        <v>0</v>
      </c>
      <c r="DG38" s="193">
        <v>0</v>
      </c>
      <c r="DH38" s="193">
        <v>0</v>
      </c>
      <c r="DI38" s="193">
        <v>0</v>
      </c>
      <c r="DJ38" s="382">
        <v>1</v>
      </c>
      <c r="DK38" s="193">
        <v>0</v>
      </c>
      <c r="DL38" s="193">
        <v>0</v>
      </c>
      <c r="DM38" s="193">
        <v>0</v>
      </c>
      <c r="DN38" s="193">
        <v>0</v>
      </c>
      <c r="DO38" s="382">
        <v>1</v>
      </c>
      <c r="DP38" s="193">
        <v>0</v>
      </c>
      <c r="DQ38" s="193">
        <v>0</v>
      </c>
      <c r="DR38" s="193">
        <v>0</v>
      </c>
      <c r="DS38" s="193">
        <v>0</v>
      </c>
      <c r="DT38" s="382">
        <v>1</v>
      </c>
      <c r="DU38" s="193">
        <v>0</v>
      </c>
      <c r="DV38" s="193">
        <v>0</v>
      </c>
      <c r="DW38" s="193">
        <v>0</v>
      </c>
      <c r="DX38" s="193">
        <v>0</v>
      </c>
      <c r="DY38" s="382">
        <v>1</v>
      </c>
      <c r="DZ38" s="193">
        <v>0</v>
      </c>
      <c r="EA38" s="193">
        <v>0</v>
      </c>
      <c r="EB38" s="193">
        <v>0</v>
      </c>
      <c r="EC38" s="193">
        <v>0</v>
      </c>
      <c r="ED38" s="382">
        <v>1</v>
      </c>
      <c r="EE38" s="193">
        <v>0</v>
      </c>
      <c r="EF38" s="193">
        <v>0</v>
      </c>
      <c r="EG38" s="193">
        <v>0</v>
      </c>
      <c r="EH38" s="193">
        <v>0</v>
      </c>
      <c r="EI38" s="382">
        <v>1</v>
      </c>
      <c r="EJ38" s="193">
        <v>0</v>
      </c>
      <c r="EK38" s="193">
        <v>0</v>
      </c>
      <c r="EL38" s="193">
        <v>0</v>
      </c>
      <c r="EM38" s="193">
        <v>0</v>
      </c>
      <c r="EN38" s="382">
        <v>1</v>
      </c>
      <c r="EO38" s="193">
        <v>0</v>
      </c>
      <c r="EP38" s="193">
        <v>0</v>
      </c>
      <c r="EQ38" s="193">
        <v>0</v>
      </c>
      <c r="ER38" s="193">
        <v>0</v>
      </c>
      <c r="ES38" s="382">
        <v>1</v>
      </c>
      <c r="ET38" s="193">
        <v>0</v>
      </c>
      <c r="EU38" s="193">
        <v>0</v>
      </c>
      <c r="EV38" s="193">
        <v>0</v>
      </c>
      <c r="EW38" s="193">
        <v>0</v>
      </c>
      <c r="EX38" s="382">
        <v>1</v>
      </c>
      <c r="EY38" s="193">
        <v>0</v>
      </c>
      <c r="EZ38" s="193">
        <v>0</v>
      </c>
      <c r="FA38" s="193">
        <v>0</v>
      </c>
      <c r="FB38" s="193">
        <v>0</v>
      </c>
      <c r="FC38" s="382">
        <v>1</v>
      </c>
      <c r="FD38" s="193">
        <v>0</v>
      </c>
      <c r="FE38" s="193">
        <v>0</v>
      </c>
      <c r="FF38" s="193">
        <v>0</v>
      </c>
      <c r="FG38" s="193">
        <v>0</v>
      </c>
      <c r="FH38" s="382">
        <v>1</v>
      </c>
      <c r="FI38" s="193">
        <v>0</v>
      </c>
      <c r="FJ38" s="193">
        <v>0</v>
      </c>
      <c r="FK38" s="193">
        <v>0</v>
      </c>
      <c r="FL38" s="193">
        <v>0</v>
      </c>
      <c r="FM38" s="382">
        <v>1</v>
      </c>
      <c r="FN38" s="193">
        <v>0</v>
      </c>
      <c r="FO38" s="193">
        <v>0</v>
      </c>
      <c r="FP38" s="193">
        <v>0</v>
      </c>
      <c r="FQ38" s="193">
        <v>0</v>
      </c>
      <c r="FR38" s="382">
        <v>1</v>
      </c>
      <c r="FS38" s="193">
        <v>0</v>
      </c>
      <c r="FT38" s="193">
        <v>0</v>
      </c>
      <c r="FU38" s="193">
        <v>0</v>
      </c>
      <c r="FV38" s="193">
        <v>0</v>
      </c>
      <c r="FW38" s="382">
        <v>1</v>
      </c>
      <c r="FX38" s="193">
        <v>0</v>
      </c>
      <c r="FY38" s="193">
        <v>0</v>
      </c>
      <c r="FZ38" s="193">
        <v>0</v>
      </c>
      <c r="GA38" s="193">
        <v>0</v>
      </c>
      <c r="GB38" s="382">
        <v>1</v>
      </c>
      <c r="GC38" s="193">
        <v>0</v>
      </c>
      <c r="GD38" s="193">
        <v>0</v>
      </c>
      <c r="GE38" s="193">
        <v>0</v>
      </c>
      <c r="GF38" s="193">
        <v>0</v>
      </c>
      <c r="GG38" s="382">
        <v>1</v>
      </c>
      <c r="GH38" s="193">
        <v>0</v>
      </c>
      <c r="GI38" s="193">
        <v>0</v>
      </c>
      <c r="GJ38" s="193">
        <v>0</v>
      </c>
      <c r="GK38" s="193">
        <v>0</v>
      </c>
      <c r="GL38" s="382">
        <v>1</v>
      </c>
      <c r="GM38" s="193">
        <v>0</v>
      </c>
      <c r="GN38" s="193">
        <v>0</v>
      </c>
      <c r="GO38" s="193">
        <v>0</v>
      </c>
      <c r="GP38" s="187">
        <v>0</v>
      </c>
      <c r="GQ38" s="382">
        <v>1</v>
      </c>
    </row>
    <row r="39" spans="1:199">
      <c r="A39" s="195"/>
      <c r="B39" s="188"/>
      <c r="C39" s="188"/>
      <c r="D39" s="188" t="s">
        <v>965</v>
      </c>
      <c r="E39" s="190">
        <v>0</v>
      </c>
      <c r="F39" s="193">
        <v>0.9</v>
      </c>
      <c r="G39" s="203">
        <v>1</v>
      </c>
      <c r="H39" s="201">
        <v>1.1000000000000001</v>
      </c>
      <c r="I39" s="383">
        <v>1</v>
      </c>
      <c r="J39" s="383">
        <v>0</v>
      </c>
      <c r="K39" s="201">
        <v>0.9</v>
      </c>
      <c r="L39" s="201">
        <v>1</v>
      </c>
      <c r="M39" s="201">
        <v>1.1000000000000001</v>
      </c>
      <c r="N39" s="383">
        <v>1</v>
      </c>
      <c r="O39" s="383">
        <v>0</v>
      </c>
      <c r="P39" s="201">
        <v>0.9</v>
      </c>
      <c r="Q39" s="201">
        <v>1</v>
      </c>
      <c r="R39" s="202">
        <v>1.1000000000000001</v>
      </c>
      <c r="S39" s="382">
        <v>1</v>
      </c>
      <c r="T39" s="190">
        <v>0</v>
      </c>
      <c r="U39" s="193">
        <v>0.9</v>
      </c>
      <c r="V39" s="203">
        <v>1</v>
      </c>
      <c r="W39" s="201">
        <v>1.1000000000000001</v>
      </c>
      <c r="X39" s="382">
        <v>1</v>
      </c>
      <c r="Y39" s="200">
        <v>0</v>
      </c>
      <c r="Z39" s="201">
        <v>0.9</v>
      </c>
      <c r="AA39" s="201">
        <v>1</v>
      </c>
      <c r="AB39" s="201">
        <v>1.1000000000000001</v>
      </c>
      <c r="AC39" s="382">
        <v>1</v>
      </c>
      <c r="AD39" s="200">
        <v>0</v>
      </c>
      <c r="AE39" s="201">
        <v>0.9</v>
      </c>
      <c r="AF39" s="402">
        <v>1</v>
      </c>
      <c r="AG39" s="383">
        <v>1.1000000000000001</v>
      </c>
      <c r="AH39" s="383">
        <v>1</v>
      </c>
      <c r="AI39" s="383">
        <v>0</v>
      </c>
      <c r="AJ39" s="383">
        <v>0.9</v>
      </c>
      <c r="AK39" s="386">
        <v>1</v>
      </c>
      <c r="AL39" s="201">
        <v>1.1000000000000001</v>
      </c>
      <c r="AM39" s="383">
        <v>1</v>
      </c>
      <c r="AN39" s="383">
        <v>0</v>
      </c>
      <c r="AO39" s="201">
        <v>0.9</v>
      </c>
      <c r="AP39" s="201">
        <v>1</v>
      </c>
      <c r="AQ39" s="201">
        <v>1.1000000000000001</v>
      </c>
      <c r="AR39" s="382">
        <v>1</v>
      </c>
      <c r="AS39" s="200">
        <v>0</v>
      </c>
      <c r="AT39" s="201">
        <v>0.9</v>
      </c>
      <c r="AU39" s="201">
        <v>1</v>
      </c>
      <c r="AV39" s="193">
        <v>1.1000000000000001</v>
      </c>
      <c r="AW39" s="382">
        <v>1</v>
      </c>
      <c r="AX39" s="193">
        <v>0</v>
      </c>
      <c r="AY39" s="193">
        <v>0.9</v>
      </c>
      <c r="AZ39" s="193">
        <v>1</v>
      </c>
      <c r="BA39" s="193">
        <v>1.1000000000000001</v>
      </c>
      <c r="BB39" s="382">
        <v>1</v>
      </c>
      <c r="BC39" s="193">
        <v>0</v>
      </c>
      <c r="BD39" s="193">
        <v>0.9</v>
      </c>
      <c r="BE39" s="193">
        <v>1</v>
      </c>
      <c r="BF39" s="193">
        <v>1.1000000000000001</v>
      </c>
      <c r="BG39" s="382">
        <v>1</v>
      </c>
      <c r="BH39" s="193">
        <v>0</v>
      </c>
      <c r="BI39" s="193">
        <v>0.9</v>
      </c>
      <c r="BJ39" s="193">
        <v>1</v>
      </c>
      <c r="BK39" s="193">
        <v>1.1000000000000001</v>
      </c>
      <c r="BL39" s="382">
        <v>1</v>
      </c>
      <c r="BM39" s="193">
        <v>0</v>
      </c>
      <c r="BN39" s="193">
        <v>0.9</v>
      </c>
      <c r="BO39" s="193">
        <v>1</v>
      </c>
      <c r="BP39" s="193">
        <v>1.1000000000000001</v>
      </c>
      <c r="BQ39" s="382">
        <v>1</v>
      </c>
      <c r="BR39" s="193">
        <v>0</v>
      </c>
      <c r="BS39" s="193">
        <v>0.9</v>
      </c>
      <c r="BT39" s="193">
        <v>1</v>
      </c>
      <c r="BU39" s="193">
        <v>1.1000000000000001</v>
      </c>
      <c r="BV39" s="382">
        <v>1</v>
      </c>
      <c r="BW39" s="193">
        <v>0</v>
      </c>
      <c r="BX39" s="193">
        <v>0.9</v>
      </c>
      <c r="BY39" s="193">
        <v>1</v>
      </c>
      <c r="BZ39" s="193">
        <v>1.1000000000000001</v>
      </c>
      <c r="CA39" s="382">
        <v>1</v>
      </c>
      <c r="CB39" s="193">
        <v>0</v>
      </c>
      <c r="CC39" s="193">
        <v>0.9</v>
      </c>
      <c r="CD39" s="193">
        <v>1</v>
      </c>
      <c r="CE39" s="193">
        <v>1.1000000000000001</v>
      </c>
      <c r="CF39" s="382">
        <v>1</v>
      </c>
      <c r="CG39" s="193">
        <v>0</v>
      </c>
      <c r="CH39" s="193">
        <v>0.9</v>
      </c>
      <c r="CI39" s="193">
        <v>1</v>
      </c>
      <c r="CJ39" s="193">
        <v>1.1000000000000001</v>
      </c>
      <c r="CK39" s="382">
        <v>1</v>
      </c>
      <c r="CL39" s="193">
        <v>0</v>
      </c>
      <c r="CM39" s="193">
        <v>0.9</v>
      </c>
      <c r="CN39" s="193">
        <v>1</v>
      </c>
      <c r="CO39" s="193">
        <v>1.1000000000000001</v>
      </c>
      <c r="CP39" s="382">
        <v>1</v>
      </c>
      <c r="CQ39" s="193">
        <v>0</v>
      </c>
      <c r="CR39" s="193">
        <v>0.9</v>
      </c>
      <c r="CS39" s="193">
        <v>1</v>
      </c>
      <c r="CT39" s="193">
        <v>1.1000000000000001</v>
      </c>
      <c r="CU39" s="382">
        <v>1</v>
      </c>
      <c r="CV39" s="193">
        <v>0</v>
      </c>
      <c r="CW39" s="193">
        <v>0.9</v>
      </c>
      <c r="CX39" s="193">
        <v>1</v>
      </c>
      <c r="CY39" s="193">
        <v>1.1000000000000001</v>
      </c>
      <c r="CZ39" s="382">
        <v>1</v>
      </c>
      <c r="DA39" s="193">
        <v>0</v>
      </c>
      <c r="DB39" s="193">
        <v>0.9</v>
      </c>
      <c r="DC39" s="193">
        <v>1</v>
      </c>
      <c r="DD39" s="193">
        <v>1.1000000000000001</v>
      </c>
      <c r="DE39" s="382">
        <v>1</v>
      </c>
      <c r="DF39" s="193">
        <v>0</v>
      </c>
      <c r="DG39" s="193">
        <v>0</v>
      </c>
      <c r="DH39" s="193">
        <v>0</v>
      </c>
      <c r="DI39" s="193">
        <v>0</v>
      </c>
      <c r="DJ39" s="382">
        <v>1</v>
      </c>
      <c r="DK39" s="193">
        <v>0</v>
      </c>
      <c r="DL39" s="193">
        <v>0</v>
      </c>
      <c r="DM39" s="193">
        <v>0</v>
      </c>
      <c r="DN39" s="193">
        <v>0</v>
      </c>
      <c r="DO39" s="382">
        <v>1</v>
      </c>
      <c r="DP39" s="193">
        <v>0</v>
      </c>
      <c r="DQ39" s="193">
        <v>0</v>
      </c>
      <c r="DR39" s="193">
        <v>0</v>
      </c>
      <c r="DS39" s="193">
        <v>0</v>
      </c>
      <c r="DT39" s="382">
        <v>1</v>
      </c>
      <c r="DU39" s="193">
        <v>0</v>
      </c>
      <c r="DV39" s="193">
        <v>0</v>
      </c>
      <c r="DW39" s="193">
        <v>0</v>
      </c>
      <c r="DX39" s="193">
        <v>0</v>
      </c>
      <c r="DY39" s="382">
        <v>1</v>
      </c>
      <c r="DZ39" s="193">
        <v>0</v>
      </c>
      <c r="EA39" s="193">
        <v>0</v>
      </c>
      <c r="EB39" s="193">
        <v>0</v>
      </c>
      <c r="EC39" s="193">
        <v>0</v>
      </c>
      <c r="ED39" s="382">
        <v>1</v>
      </c>
      <c r="EE39" s="193">
        <v>0</v>
      </c>
      <c r="EF39" s="193">
        <v>0</v>
      </c>
      <c r="EG39" s="193">
        <v>0</v>
      </c>
      <c r="EH39" s="193">
        <v>0</v>
      </c>
      <c r="EI39" s="382">
        <v>1</v>
      </c>
      <c r="EJ39" s="193">
        <v>0</v>
      </c>
      <c r="EK39" s="193">
        <v>0</v>
      </c>
      <c r="EL39" s="193">
        <v>0</v>
      </c>
      <c r="EM39" s="193">
        <v>0</v>
      </c>
      <c r="EN39" s="382">
        <v>1</v>
      </c>
      <c r="EO39" s="193">
        <v>0</v>
      </c>
      <c r="EP39" s="193">
        <v>0</v>
      </c>
      <c r="EQ39" s="193">
        <v>0</v>
      </c>
      <c r="ER39" s="193">
        <v>0</v>
      </c>
      <c r="ES39" s="382">
        <v>1</v>
      </c>
      <c r="ET39" s="193">
        <v>0</v>
      </c>
      <c r="EU39" s="193">
        <v>0</v>
      </c>
      <c r="EV39" s="193">
        <v>0</v>
      </c>
      <c r="EW39" s="193">
        <v>0</v>
      </c>
      <c r="EX39" s="382">
        <v>1</v>
      </c>
      <c r="EY39" s="193">
        <v>0</v>
      </c>
      <c r="EZ39" s="193">
        <v>0</v>
      </c>
      <c r="FA39" s="193">
        <v>0</v>
      </c>
      <c r="FB39" s="193">
        <v>0</v>
      </c>
      <c r="FC39" s="382">
        <v>1</v>
      </c>
      <c r="FD39" s="193">
        <v>0</v>
      </c>
      <c r="FE39" s="193">
        <v>0</v>
      </c>
      <c r="FF39" s="193">
        <v>0</v>
      </c>
      <c r="FG39" s="193">
        <v>0</v>
      </c>
      <c r="FH39" s="382">
        <v>1</v>
      </c>
      <c r="FI39" s="193">
        <v>0</v>
      </c>
      <c r="FJ39" s="193">
        <v>0</v>
      </c>
      <c r="FK39" s="193">
        <v>0</v>
      </c>
      <c r="FL39" s="193">
        <v>0</v>
      </c>
      <c r="FM39" s="382">
        <v>1</v>
      </c>
      <c r="FN39" s="193">
        <v>0</v>
      </c>
      <c r="FO39" s="193">
        <v>0</v>
      </c>
      <c r="FP39" s="193">
        <v>0</v>
      </c>
      <c r="FQ39" s="193">
        <v>0</v>
      </c>
      <c r="FR39" s="382">
        <v>1</v>
      </c>
      <c r="FS39" s="193">
        <v>0</v>
      </c>
      <c r="FT39" s="193">
        <v>0</v>
      </c>
      <c r="FU39" s="193">
        <v>0</v>
      </c>
      <c r="FV39" s="193">
        <v>0</v>
      </c>
      <c r="FW39" s="382">
        <v>1</v>
      </c>
      <c r="FX39" s="193">
        <v>0</v>
      </c>
      <c r="FY39" s="193">
        <v>0</v>
      </c>
      <c r="FZ39" s="193">
        <v>0</v>
      </c>
      <c r="GA39" s="193">
        <v>0</v>
      </c>
      <c r="GB39" s="382">
        <v>1</v>
      </c>
      <c r="GC39" s="193">
        <v>0</v>
      </c>
      <c r="GD39" s="193">
        <v>0</v>
      </c>
      <c r="GE39" s="193">
        <v>0</v>
      </c>
      <c r="GF39" s="193">
        <v>0</v>
      </c>
      <c r="GG39" s="382">
        <v>1</v>
      </c>
      <c r="GH39" s="193">
        <v>0</v>
      </c>
      <c r="GI39" s="193">
        <v>0</v>
      </c>
      <c r="GJ39" s="193">
        <v>0</v>
      </c>
      <c r="GK39" s="193">
        <v>0</v>
      </c>
      <c r="GL39" s="382">
        <v>1</v>
      </c>
      <c r="GM39" s="193">
        <v>0</v>
      </c>
      <c r="GN39" s="193">
        <v>0</v>
      </c>
      <c r="GO39" s="193">
        <v>0</v>
      </c>
      <c r="GP39" s="187">
        <v>0</v>
      </c>
      <c r="GQ39" s="382">
        <v>1</v>
      </c>
    </row>
    <row r="40" spans="1:199">
      <c r="A40" s="195"/>
      <c r="B40" s="188"/>
      <c r="C40" s="188"/>
      <c r="D40" s="188" t="s">
        <v>231</v>
      </c>
      <c r="E40" s="190">
        <v>0</v>
      </c>
      <c r="F40" s="193">
        <v>0.9</v>
      </c>
      <c r="G40" s="203">
        <v>1</v>
      </c>
      <c r="H40" s="201">
        <v>1.1000000000000001</v>
      </c>
      <c r="I40" s="383">
        <v>1</v>
      </c>
      <c r="J40" s="383">
        <v>0</v>
      </c>
      <c r="K40" s="201">
        <v>0</v>
      </c>
      <c r="L40" s="201">
        <v>1</v>
      </c>
      <c r="M40" s="201">
        <v>1.1000000000000001</v>
      </c>
      <c r="N40" s="383">
        <v>1</v>
      </c>
      <c r="O40" s="383">
        <v>0</v>
      </c>
      <c r="P40" s="201">
        <v>0.9</v>
      </c>
      <c r="Q40" s="201">
        <v>1</v>
      </c>
      <c r="R40" s="202">
        <v>1.1000000000000001</v>
      </c>
      <c r="S40" s="382">
        <v>1</v>
      </c>
      <c r="T40" s="190">
        <v>0</v>
      </c>
      <c r="U40" s="193">
        <v>0.9</v>
      </c>
      <c r="V40" s="203">
        <v>1</v>
      </c>
      <c r="W40" s="201">
        <v>1.1000000000000001</v>
      </c>
      <c r="X40" s="382">
        <v>1</v>
      </c>
      <c r="Y40" s="200">
        <v>0</v>
      </c>
      <c r="Z40" s="201">
        <v>0</v>
      </c>
      <c r="AA40" s="201">
        <v>1</v>
      </c>
      <c r="AB40" s="201">
        <v>1.1000000000000001</v>
      </c>
      <c r="AC40" s="382">
        <v>1</v>
      </c>
      <c r="AD40" s="200">
        <v>0</v>
      </c>
      <c r="AE40" s="201">
        <v>0.9</v>
      </c>
      <c r="AF40" s="402">
        <v>1</v>
      </c>
      <c r="AG40" s="383">
        <v>1.1000000000000001</v>
      </c>
      <c r="AH40" s="383">
        <v>1</v>
      </c>
      <c r="AI40" s="383">
        <v>0</v>
      </c>
      <c r="AJ40" s="383">
        <v>0.9</v>
      </c>
      <c r="AK40" s="386">
        <v>1</v>
      </c>
      <c r="AL40" s="201">
        <v>1.1000000000000001</v>
      </c>
      <c r="AM40" s="383">
        <v>1</v>
      </c>
      <c r="AN40" s="383">
        <v>0</v>
      </c>
      <c r="AO40" s="201">
        <v>0</v>
      </c>
      <c r="AP40" s="201">
        <v>1</v>
      </c>
      <c r="AQ40" s="201">
        <v>1.1000000000000001</v>
      </c>
      <c r="AR40" s="382">
        <v>1</v>
      </c>
      <c r="AS40" s="200">
        <v>0</v>
      </c>
      <c r="AT40" s="201">
        <v>0.9</v>
      </c>
      <c r="AU40" s="201">
        <v>1</v>
      </c>
      <c r="AV40" s="193">
        <v>1.1000000000000001</v>
      </c>
      <c r="AW40" s="382">
        <v>1</v>
      </c>
      <c r="AX40" s="193">
        <v>0</v>
      </c>
      <c r="AY40" s="193">
        <v>0.9</v>
      </c>
      <c r="AZ40" s="193">
        <v>1</v>
      </c>
      <c r="BA40" s="193">
        <v>1.1000000000000001</v>
      </c>
      <c r="BB40" s="382">
        <v>1</v>
      </c>
      <c r="BC40" s="193">
        <v>0</v>
      </c>
      <c r="BD40" s="193">
        <v>0</v>
      </c>
      <c r="BE40" s="193">
        <v>1</v>
      </c>
      <c r="BF40" s="193">
        <v>1.1000000000000001</v>
      </c>
      <c r="BG40" s="382">
        <v>1</v>
      </c>
      <c r="BH40" s="193">
        <v>0</v>
      </c>
      <c r="BI40" s="193">
        <v>0.9</v>
      </c>
      <c r="BJ40" s="193">
        <v>1</v>
      </c>
      <c r="BK40" s="193">
        <v>1.1000000000000001</v>
      </c>
      <c r="BL40" s="382">
        <v>1</v>
      </c>
      <c r="BM40" s="193">
        <v>0</v>
      </c>
      <c r="BN40" s="193">
        <v>0.9</v>
      </c>
      <c r="BO40" s="193">
        <v>1</v>
      </c>
      <c r="BP40" s="193">
        <v>1.1000000000000001</v>
      </c>
      <c r="BQ40" s="382">
        <v>1</v>
      </c>
      <c r="BR40" s="193">
        <v>0</v>
      </c>
      <c r="BS40" s="193">
        <v>0</v>
      </c>
      <c r="BT40" s="193">
        <v>1</v>
      </c>
      <c r="BU40" s="193">
        <v>1.1000000000000001</v>
      </c>
      <c r="BV40" s="382">
        <v>1</v>
      </c>
      <c r="BW40" s="193">
        <v>0</v>
      </c>
      <c r="BX40" s="193">
        <v>0.9</v>
      </c>
      <c r="BY40" s="193">
        <v>1</v>
      </c>
      <c r="BZ40" s="193">
        <v>1.1000000000000001</v>
      </c>
      <c r="CA40" s="382">
        <v>1</v>
      </c>
      <c r="CB40" s="193">
        <v>0</v>
      </c>
      <c r="CC40" s="193">
        <v>0.9</v>
      </c>
      <c r="CD40" s="193">
        <v>1</v>
      </c>
      <c r="CE40" s="193">
        <v>1.1000000000000001</v>
      </c>
      <c r="CF40" s="382">
        <v>1</v>
      </c>
      <c r="CG40" s="193">
        <v>0</v>
      </c>
      <c r="CH40" s="193">
        <v>0</v>
      </c>
      <c r="CI40" s="193">
        <v>1</v>
      </c>
      <c r="CJ40" s="193">
        <v>1.1000000000000001</v>
      </c>
      <c r="CK40" s="382">
        <v>1</v>
      </c>
      <c r="CL40" s="193">
        <v>0</v>
      </c>
      <c r="CM40" s="193">
        <v>0.9</v>
      </c>
      <c r="CN40" s="193">
        <v>1</v>
      </c>
      <c r="CO40" s="193">
        <v>1.1000000000000001</v>
      </c>
      <c r="CP40" s="382">
        <v>1</v>
      </c>
      <c r="CQ40" s="193">
        <v>0</v>
      </c>
      <c r="CR40" s="193">
        <v>0.9</v>
      </c>
      <c r="CS40" s="193">
        <v>1</v>
      </c>
      <c r="CT40" s="193">
        <v>1.1000000000000001</v>
      </c>
      <c r="CU40" s="382">
        <v>1</v>
      </c>
      <c r="CV40" s="193">
        <v>0</v>
      </c>
      <c r="CW40" s="193">
        <v>0</v>
      </c>
      <c r="CX40" s="193">
        <v>1</v>
      </c>
      <c r="CY40" s="193">
        <v>1.1000000000000001</v>
      </c>
      <c r="CZ40" s="382">
        <v>1</v>
      </c>
      <c r="DA40" s="193">
        <v>0</v>
      </c>
      <c r="DB40" s="193">
        <v>0.9</v>
      </c>
      <c r="DC40" s="193">
        <v>1</v>
      </c>
      <c r="DD40" s="193">
        <v>1.1000000000000001</v>
      </c>
      <c r="DE40" s="382">
        <v>1</v>
      </c>
      <c r="DF40" s="193">
        <v>0</v>
      </c>
      <c r="DG40" s="193">
        <v>0</v>
      </c>
      <c r="DH40" s="193">
        <v>0</v>
      </c>
      <c r="DI40" s="193">
        <v>0</v>
      </c>
      <c r="DJ40" s="382">
        <v>1</v>
      </c>
      <c r="DK40" s="193">
        <v>0</v>
      </c>
      <c r="DL40" s="193">
        <v>0</v>
      </c>
      <c r="DM40" s="193">
        <v>0</v>
      </c>
      <c r="DN40" s="193">
        <v>0</v>
      </c>
      <c r="DO40" s="382">
        <v>1</v>
      </c>
      <c r="DP40" s="193">
        <v>0</v>
      </c>
      <c r="DQ40" s="193">
        <v>0</v>
      </c>
      <c r="DR40" s="193">
        <v>0</v>
      </c>
      <c r="DS40" s="193">
        <v>0</v>
      </c>
      <c r="DT40" s="382">
        <v>1</v>
      </c>
      <c r="DU40" s="193">
        <v>0</v>
      </c>
      <c r="DV40" s="193">
        <v>0</v>
      </c>
      <c r="DW40" s="193">
        <v>0</v>
      </c>
      <c r="DX40" s="193">
        <v>0</v>
      </c>
      <c r="DY40" s="382">
        <v>1</v>
      </c>
      <c r="DZ40" s="193">
        <v>0</v>
      </c>
      <c r="EA40" s="193">
        <v>0</v>
      </c>
      <c r="EB40" s="193">
        <v>0</v>
      </c>
      <c r="EC40" s="193">
        <v>0</v>
      </c>
      <c r="ED40" s="382">
        <v>1</v>
      </c>
      <c r="EE40" s="193">
        <v>0</v>
      </c>
      <c r="EF40" s="193">
        <v>0</v>
      </c>
      <c r="EG40" s="193">
        <v>0</v>
      </c>
      <c r="EH40" s="193">
        <v>0</v>
      </c>
      <c r="EI40" s="382">
        <v>1</v>
      </c>
      <c r="EJ40" s="193">
        <v>0</v>
      </c>
      <c r="EK40" s="193">
        <v>0</v>
      </c>
      <c r="EL40" s="193">
        <v>0</v>
      </c>
      <c r="EM40" s="193">
        <v>0</v>
      </c>
      <c r="EN40" s="382">
        <v>1</v>
      </c>
      <c r="EO40" s="193">
        <v>0</v>
      </c>
      <c r="EP40" s="193">
        <v>0</v>
      </c>
      <c r="EQ40" s="193">
        <v>0</v>
      </c>
      <c r="ER40" s="193">
        <v>0</v>
      </c>
      <c r="ES40" s="382">
        <v>1</v>
      </c>
      <c r="ET40" s="193">
        <v>0</v>
      </c>
      <c r="EU40" s="193">
        <v>0</v>
      </c>
      <c r="EV40" s="193">
        <v>0</v>
      </c>
      <c r="EW40" s="193">
        <v>0</v>
      </c>
      <c r="EX40" s="382">
        <v>1</v>
      </c>
      <c r="EY40" s="193">
        <v>0</v>
      </c>
      <c r="EZ40" s="193">
        <v>0</v>
      </c>
      <c r="FA40" s="193">
        <v>0</v>
      </c>
      <c r="FB40" s="193">
        <v>0</v>
      </c>
      <c r="FC40" s="382">
        <v>1</v>
      </c>
      <c r="FD40" s="193">
        <v>0</v>
      </c>
      <c r="FE40" s="193">
        <v>0</v>
      </c>
      <c r="FF40" s="193">
        <v>0</v>
      </c>
      <c r="FG40" s="193">
        <v>0</v>
      </c>
      <c r="FH40" s="382">
        <v>1</v>
      </c>
      <c r="FI40" s="193">
        <v>0</v>
      </c>
      <c r="FJ40" s="193">
        <v>0</v>
      </c>
      <c r="FK40" s="193">
        <v>0</v>
      </c>
      <c r="FL40" s="193">
        <v>0</v>
      </c>
      <c r="FM40" s="382">
        <v>1</v>
      </c>
      <c r="FN40" s="193">
        <v>0</v>
      </c>
      <c r="FO40" s="193">
        <v>0</v>
      </c>
      <c r="FP40" s="193">
        <v>0</v>
      </c>
      <c r="FQ40" s="193">
        <v>0</v>
      </c>
      <c r="FR40" s="382">
        <v>1</v>
      </c>
      <c r="FS40" s="193">
        <v>0</v>
      </c>
      <c r="FT40" s="193">
        <v>0</v>
      </c>
      <c r="FU40" s="193">
        <v>0</v>
      </c>
      <c r="FV40" s="193">
        <v>0</v>
      </c>
      <c r="FW40" s="382">
        <v>1</v>
      </c>
      <c r="FX40" s="193">
        <v>0</v>
      </c>
      <c r="FY40" s="193">
        <v>0</v>
      </c>
      <c r="FZ40" s="193">
        <v>0</v>
      </c>
      <c r="GA40" s="193">
        <v>0</v>
      </c>
      <c r="GB40" s="382">
        <v>1</v>
      </c>
      <c r="GC40" s="193">
        <v>0</v>
      </c>
      <c r="GD40" s="193">
        <v>0</v>
      </c>
      <c r="GE40" s="193">
        <v>0</v>
      </c>
      <c r="GF40" s="193">
        <v>0</v>
      </c>
      <c r="GG40" s="382">
        <v>1</v>
      </c>
      <c r="GH40" s="193">
        <v>0</v>
      </c>
      <c r="GI40" s="193">
        <v>0</v>
      </c>
      <c r="GJ40" s="193">
        <v>0</v>
      </c>
      <c r="GK40" s="193">
        <v>0</v>
      </c>
      <c r="GL40" s="382">
        <v>1</v>
      </c>
      <c r="GM40" s="193">
        <v>0</v>
      </c>
      <c r="GN40" s="193">
        <v>0</v>
      </c>
      <c r="GO40" s="193">
        <v>0</v>
      </c>
      <c r="GP40" s="187">
        <v>0</v>
      </c>
      <c r="GQ40" s="382">
        <v>1</v>
      </c>
    </row>
    <row r="41" spans="1:199">
      <c r="A41" s="195"/>
      <c r="B41" s="188"/>
      <c r="C41" s="188"/>
      <c r="D41" s="188" t="s">
        <v>966</v>
      </c>
      <c r="E41" s="190">
        <v>0</v>
      </c>
      <c r="F41" s="193">
        <v>0.8</v>
      </c>
      <c r="G41" s="203">
        <v>1</v>
      </c>
      <c r="H41" s="201">
        <v>1.2</v>
      </c>
      <c r="I41" s="383">
        <v>1</v>
      </c>
      <c r="J41" s="383">
        <v>0</v>
      </c>
      <c r="K41" s="201">
        <v>0.8</v>
      </c>
      <c r="L41" s="201">
        <v>1</v>
      </c>
      <c r="M41" s="201">
        <v>1.2</v>
      </c>
      <c r="N41" s="383">
        <v>1</v>
      </c>
      <c r="O41" s="383">
        <v>0</v>
      </c>
      <c r="P41" s="201">
        <v>0.8</v>
      </c>
      <c r="Q41" s="201">
        <v>1</v>
      </c>
      <c r="R41" s="202">
        <v>1.2</v>
      </c>
      <c r="S41" s="382">
        <v>1</v>
      </c>
      <c r="T41" s="190">
        <v>0</v>
      </c>
      <c r="U41" s="193">
        <v>0.8</v>
      </c>
      <c r="V41" s="203">
        <v>1</v>
      </c>
      <c r="W41" s="201">
        <v>1.2</v>
      </c>
      <c r="X41" s="382">
        <v>1</v>
      </c>
      <c r="Y41" s="200">
        <v>0</v>
      </c>
      <c r="Z41" s="201">
        <v>0.8</v>
      </c>
      <c r="AA41" s="201">
        <v>1</v>
      </c>
      <c r="AB41" s="201">
        <v>1.2</v>
      </c>
      <c r="AC41" s="382">
        <v>1</v>
      </c>
      <c r="AD41" s="200">
        <v>0</v>
      </c>
      <c r="AE41" s="201">
        <v>0.8</v>
      </c>
      <c r="AF41" s="402">
        <v>1</v>
      </c>
      <c r="AG41" s="383">
        <v>1.2</v>
      </c>
      <c r="AH41" s="383">
        <v>1</v>
      </c>
      <c r="AI41" s="383">
        <v>0</v>
      </c>
      <c r="AJ41" s="383">
        <v>0.8</v>
      </c>
      <c r="AK41" s="386">
        <v>1</v>
      </c>
      <c r="AL41" s="201">
        <v>1.2</v>
      </c>
      <c r="AM41" s="383">
        <v>1</v>
      </c>
      <c r="AN41" s="383">
        <v>0</v>
      </c>
      <c r="AO41" s="201">
        <v>0.8</v>
      </c>
      <c r="AP41" s="201">
        <v>1</v>
      </c>
      <c r="AQ41" s="201">
        <v>1.2</v>
      </c>
      <c r="AR41" s="382">
        <v>1</v>
      </c>
      <c r="AS41" s="200">
        <v>0</v>
      </c>
      <c r="AT41" s="201">
        <v>0.8</v>
      </c>
      <c r="AU41" s="201">
        <v>1</v>
      </c>
      <c r="AV41" s="193">
        <v>1.2</v>
      </c>
      <c r="AW41" s="382">
        <v>1</v>
      </c>
      <c r="AX41" s="193">
        <v>0</v>
      </c>
      <c r="AY41" s="193">
        <v>0.8</v>
      </c>
      <c r="AZ41" s="193">
        <v>1</v>
      </c>
      <c r="BA41" s="193">
        <v>1.2</v>
      </c>
      <c r="BB41" s="382">
        <v>1</v>
      </c>
      <c r="BC41" s="193">
        <v>0</v>
      </c>
      <c r="BD41" s="193">
        <v>0.8</v>
      </c>
      <c r="BE41" s="193">
        <v>1</v>
      </c>
      <c r="BF41" s="193">
        <v>1.2</v>
      </c>
      <c r="BG41" s="382">
        <v>1</v>
      </c>
      <c r="BH41" s="193">
        <v>0</v>
      </c>
      <c r="BI41" s="193">
        <v>0.8</v>
      </c>
      <c r="BJ41" s="193">
        <v>1</v>
      </c>
      <c r="BK41" s="193">
        <v>1.2</v>
      </c>
      <c r="BL41" s="382">
        <v>1</v>
      </c>
      <c r="BM41" s="193">
        <v>0</v>
      </c>
      <c r="BN41" s="193">
        <v>0.8</v>
      </c>
      <c r="BO41" s="193">
        <v>1</v>
      </c>
      <c r="BP41" s="193">
        <v>1.2</v>
      </c>
      <c r="BQ41" s="382">
        <v>1</v>
      </c>
      <c r="BR41" s="193">
        <v>0</v>
      </c>
      <c r="BS41" s="193">
        <v>0.8</v>
      </c>
      <c r="BT41" s="193">
        <v>1</v>
      </c>
      <c r="BU41" s="193">
        <v>1.2</v>
      </c>
      <c r="BV41" s="382">
        <v>1</v>
      </c>
      <c r="BW41" s="193">
        <v>0</v>
      </c>
      <c r="BX41" s="193">
        <v>0.8</v>
      </c>
      <c r="BY41" s="193">
        <v>1</v>
      </c>
      <c r="BZ41" s="193">
        <v>1.2</v>
      </c>
      <c r="CA41" s="382">
        <v>1</v>
      </c>
      <c r="CB41" s="193">
        <v>0</v>
      </c>
      <c r="CC41" s="193">
        <v>0.8</v>
      </c>
      <c r="CD41" s="193">
        <v>1</v>
      </c>
      <c r="CE41" s="193">
        <v>1.2</v>
      </c>
      <c r="CF41" s="382">
        <v>1</v>
      </c>
      <c r="CG41" s="193">
        <v>0</v>
      </c>
      <c r="CH41" s="193">
        <v>0.8</v>
      </c>
      <c r="CI41" s="193">
        <v>1</v>
      </c>
      <c r="CJ41" s="193">
        <v>1.2</v>
      </c>
      <c r="CK41" s="382">
        <v>1</v>
      </c>
      <c r="CL41" s="193">
        <v>0</v>
      </c>
      <c r="CM41" s="193">
        <v>0.8</v>
      </c>
      <c r="CN41" s="193">
        <v>1</v>
      </c>
      <c r="CO41" s="193">
        <v>1.2</v>
      </c>
      <c r="CP41" s="382">
        <v>1</v>
      </c>
      <c r="CQ41" s="193">
        <v>0</v>
      </c>
      <c r="CR41" s="193">
        <v>0.8</v>
      </c>
      <c r="CS41" s="193">
        <v>1</v>
      </c>
      <c r="CT41" s="193">
        <v>1.2</v>
      </c>
      <c r="CU41" s="382">
        <v>1</v>
      </c>
      <c r="CV41" s="193">
        <v>0</v>
      </c>
      <c r="CW41" s="193">
        <v>0.8</v>
      </c>
      <c r="CX41" s="193">
        <v>1</v>
      </c>
      <c r="CY41" s="193">
        <v>1.2</v>
      </c>
      <c r="CZ41" s="382">
        <v>1</v>
      </c>
      <c r="DA41" s="193">
        <v>0</v>
      </c>
      <c r="DB41" s="193">
        <v>0.8</v>
      </c>
      <c r="DC41" s="193">
        <v>1</v>
      </c>
      <c r="DD41" s="193">
        <v>1.2</v>
      </c>
      <c r="DE41" s="382">
        <v>1</v>
      </c>
      <c r="DF41" s="193">
        <v>0</v>
      </c>
      <c r="DG41" s="193">
        <v>0</v>
      </c>
      <c r="DH41" s="193">
        <v>0</v>
      </c>
      <c r="DI41" s="193">
        <v>0</v>
      </c>
      <c r="DJ41" s="382">
        <v>1</v>
      </c>
      <c r="DK41" s="193">
        <v>0</v>
      </c>
      <c r="DL41" s="193">
        <v>0</v>
      </c>
      <c r="DM41" s="193">
        <v>0</v>
      </c>
      <c r="DN41" s="193">
        <v>0</v>
      </c>
      <c r="DO41" s="382">
        <v>1</v>
      </c>
      <c r="DP41" s="193">
        <v>0</v>
      </c>
      <c r="DQ41" s="193">
        <v>0</v>
      </c>
      <c r="DR41" s="193">
        <v>0</v>
      </c>
      <c r="DS41" s="193">
        <v>0</v>
      </c>
      <c r="DT41" s="382">
        <v>1</v>
      </c>
      <c r="DU41" s="193">
        <v>0</v>
      </c>
      <c r="DV41" s="193">
        <v>0</v>
      </c>
      <c r="DW41" s="193">
        <v>0</v>
      </c>
      <c r="DX41" s="193">
        <v>0</v>
      </c>
      <c r="DY41" s="382">
        <v>1</v>
      </c>
      <c r="DZ41" s="193">
        <v>0</v>
      </c>
      <c r="EA41" s="193">
        <v>0</v>
      </c>
      <c r="EB41" s="193">
        <v>0</v>
      </c>
      <c r="EC41" s="193">
        <v>0</v>
      </c>
      <c r="ED41" s="382">
        <v>1</v>
      </c>
      <c r="EE41" s="193">
        <v>0</v>
      </c>
      <c r="EF41" s="193">
        <v>0</v>
      </c>
      <c r="EG41" s="193">
        <v>0</v>
      </c>
      <c r="EH41" s="193">
        <v>0</v>
      </c>
      <c r="EI41" s="382">
        <v>1</v>
      </c>
      <c r="EJ41" s="193">
        <v>0</v>
      </c>
      <c r="EK41" s="193">
        <v>0</v>
      </c>
      <c r="EL41" s="193">
        <v>0</v>
      </c>
      <c r="EM41" s="193">
        <v>0</v>
      </c>
      <c r="EN41" s="382">
        <v>1</v>
      </c>
      <c r="EO41" s="193">
        <v>0</v>
      </c>
      <c r="EP41" s="193">
        <v>0</v>
      </c>
      <c r="EQ41" s="193">
        <v>0</v>
      </c>
      <c r="ER41" s="193">
        <v>0</v>
      </c>
      <c r="ES41" s="382">
        <v>1</v>
      </c>
      <c r="ET41" s="193">
        <v>0</v>
      </c>
      <c r="EU41" s="193">
        <v>0</v>
      </c>
      <c r="EV41" s="193">
        <v>0</v>
      </c>
      <c r="EW41" s="193">
        <v>0</v>
      </c>
      <c r="EX41" s="382">
        <v>1</v>
      </c>
      <c r="EY41" s="193">
        <v>0</v>
      </c>
      <c r="EZ41" s="193">
        <v>0</v>
      </c>
      <c r="FA41" s="193">
        <v>0</v>
      </c>
      <c r="FB41" s="193">
        <v>0</v>
      </c>
      <c r="FC41" s="382">
        <v>1</v>
      </c>
      <c r="FD41" s="193">
        <v>0</v>
      </c>
      <c r="FE41" s="193">
        <v>0</v>
      </c>
      <c r="FF41" s="193">
        <v>0</v>
      </c>
      <c r="FG41" s="193">
        <v>0</v>
      </c>
      <c r="FH41" s="382">
        <v>1</v>
      </c>
      <c r="FI41" s="193">
        <v>0</v>
      </c>
      <c r="FJ41" s="193">
        <v>0</v>
      </c>
      <c r="FK41" s="193">
        <v>0</v>
      </c>
      <c r="FL41" s="193">
        <v>0</v>
      </c>
      <c r="FM41" s="382">
        <v>1</v>
      </c>
      <c r="FN41" s="193">
        <v>0</v>
      </c>
      <c r="FO41" s="193">
        <v>0</v>
      </c>
      <c r="FP41" s="193">
        <v>0</v>
      </c>
      <c r="FQ41" s="193">
        <v>0</v>
      </c>
      <c r="FR41" s="382">
        <v>1</v>
      </c>
      <c r="FS41" s="193">
        <v>0</v>
      </c>
      <c r="FT41" s="193">
        <v>0</v>
      </c>
      <c r="FU41" s="193">
        <v>0</v>
      </c>
      <c r="FV41" s="193">
        <v>0</v>
      </c>
      <c r="FW41" s="382">
        <v>1</v>
      </c>
      <c r="FX41" s="193">
        <v>0</v>
      </c>
      <c r="FY41" s="193">
        <v>0</v>
      </c>
      <c r="FZ41" s="193">
        <v>0</v>
      </c>
      <c r="GA41" s="193">
        <v>0</v>
      </c>
      <c r="GB41" s="382">
        <v>1</v>
      </c>
      <c r="GC41" s="193">
        <v>0</v>
      </c>
      <c r="GD41" s="193">
        <v>0</v>
      </c>
      <c r="GE41" s="193">
        <v>0</v>
      </c>
      <c r="GF41" s="193">
        <v>0</v>
      </c>
      <c r="GG41" s="382">
        <v>1</v>
      </c>
      <c r="GH41" s="193">
        <v>0</v>
      </c>
      <c r="GI41" s="193">
        <v>0</v>
      </c>
      <c r="GJ41" s="193">
        <v>0</v>
      </c>
      <c r="GK41" s="193">
        <v>0</v>
      </c>
      <c r="GL41" s="382">
        <v>1</v>
      </c>
      <c r="GM41" s="193">
        <v>0</v>
      </c>
      <c r="GN41" s="193">
        <v>0</v>
      </c>
      <c r="GO41" s="193">
        <v>0</v>
      </c>
      <c r="GP41" s="187">
        <v>0</v>
      </c>
      <c r="GQ41" s="382">
        <v>1</v>
      </c>
    </row>
    <row r="42" spans="1:199">
      <c r="A42" s="195"/>
      <c r="B42" s="188"/>
      <c r="C42" s="188" t="s">
        <v>997</v>
      </c>
      <c r="D42" s="188" t="s">
        <v>206</v>
      </c>
      <c r="E42" s="190">
        <v>0</v>
      </c>
      <c r="F42" s="193">
        <v>0</v>
      </c>
      <c r="G42" s="203">
        <v>0</v>
      </c>
      <c r="H42" s="201">
        <v>0</v>
      </c>
      <c r="I42" s="383">
        <v>1</v>
      </c>
      <c r="J42" s="383">
        <v>0</v>
      </c>
      <c r="K42" s="201">
        <v>0</v>
      </c>
      <c r="L42" s="201">
        <v>0</v>
      </c>
      <c r="M42" s="201">
        <v>0</v>
      </c>
      <c r="N42" s="383">
        <v>1</v>
      </c>
      <c r="O42" s="383">
        <v>0</v>
      </c>
      <c r="P42" s="201">
        <v>0</v>
      </c>
      <c r="Q42" s="201">
        <v>0</v>
      </c>
      <c r="R42" s="202">
        <v>0</v>
      </c>
      <c r="S42" s="382">
        <v>1</v>
      </c>
      <c r="T42" s="190">
        <v>0</v>
      </c>
      <c r="U42" s="193">
        <v>0</v>
      </c>
      <c r="V42" s="203">
        <v>0</v>
      </c>
      <c r="W42" s="201">
        <v>0</v>
      </c>
      <c r="X42" s="382">
        <v>1</v>
      </c>
      <c r="Y42" s="200">
        <v>0</v>
      </c>
      <c r="Z42" s="201">
        <v>0</v>
      </c>
      <c r="AA42" s="201">
        <v>0</v>
      </c>
      <c r="AB42" s="201">
        <v>0</v>
      </c>
      <c r="AC42" s="382">
        <v>1</v>
      </c>
      <c r="AD42" s="200">
        <v>0</v>
      </c>
      <c r="AE42" s="201">
        <v>0</v>
      </c>
      <c r="AF42" s="402">
        <v>0</v>
      </c>
      <c r="AG42" s="383">
        <v>0</v>
      </c>
      <c r="AH42" s="383">
        <v>1</v>
      </c>
      <c r="AI42" s="383">
        <v>0</v>
      </c>
      <c r="AJ42" s="383">
        <v>0</v>
      </c>
      <c r="AK42" s="386">
        <v>0</v>
      </c>
      <c r="AL42" s="201">
        <v>0</v>
      </c>
      <c r="AM42" s="383">
        <v>1</v>
      </c>
      <c r="AN42" s="383">
        <v>0</v>
      </c>
      <c r="AO42" s="201">
        <v>0</v>
      </c>
      <c r="AP42" s="201">
        <v>0</v>
      </c>
      <c r="AQ42" s="201">
        <v>0</v>
      </c>
      <c r="AR42" s="382">
        <v>1</v>
      </c>
      <c r="AS42" s="200">
        <v>0</v>
      </c>
      <c r="AT42" s="201">
        <v>0</v>
      </c>
      <c r="AU42" s="201">
        <v>0</v>
      </c>
      <c r="AV42" s="193">
        <v>0</v>
      </c>
      <c r="AW42" s="382">
        <v>1</v>
      </c>
      <c r="AX42" s="193">
        <v>0</v>
      </c>
      <c r="AY42" s="193">
        <v>0</v>
      </c>
      <c r="AZ42" s="193">
        <v>0</v>
      </c>
      <c r="BA42" s="193">
        <v>0</v>
      </c>
      <c r="BB42" s="382">
        <v>1</v>
      </c>
      <c r="BC42" s="193">
        <v>0</v>
      </c>
      <c r="BD42" s="193">
        <v>0</v>
      </c>
      <c r="BE42" s="193">
        <v>0</v>
      </c>
      <c r="BF42" s="193">
        <v>0</v>
      </c>
      <c r="BG42" s="382">
        <v>1</v>
      </c>
      <c r="BH42" s="193">
        <v>0</v>
      </c>
      <c r="BI42" s="193">
        <v>0</v>
      </c>
      <c r="BJ42" s="193">
        <v>0</v>
      </c>
      <c r="BK42" s="193">
        <v>0</v>
      </c>
      <c r="BL42" s="382">
        <v>1</v>
      </c>
      <c r="BM42" s="193">
        <v>0</v>
      </c>
      <c r="BN42" s="193">
        <v>0</v>
      </c>
      <c r="BO42" s="193">
        <v>1</v>
      </c>
      <c r="BP42" s="193">
        <v>1.2</v>
      </c>
      <c r="BQ42" s="382">
        <v>1</v>
      </c>
      <c r="BR42" s="193">
        <v>0</v>
      </c>
      <c r="BS42" s="193">
        <v>0</v>
      </c>
      <c r="BT42" s="193">
        <v>0</v>
      </c>
      <c r="BU42" s="193">
        <v>0</v>
      </c>
      <c r="BV42" s="382">
        <v>1</v>
      </c>
      <c r="BW42" s="193">
        <v>0</v>
      </c>
      <c r="BX42" s="193">
        <v>0</v>
      </c>
      <c r="BY42" s="193">
        <v>1</v>
      </c>
      <c r="BZ42" s="193">
        <v>1.2</v>
      </c>
      <c r="CA42" s="382">
        <v>1</v>
      </c>
      <c r="CB42" s="193">
        <v>0</v>
      </c>
      <c r="CC42" s="193">
        <v>0</v>
      </c>
      <c r="CD42" s="193">
        <v>1</v>
      </c>
      <c r="CE42" s="193">
        <v>1.2</v>
      </c>
      <c r="CF42" s="382">
        <v>1</v>
      </c>
      <c r="CG42" s="193">
        <v>0</v>
      </c>
      <c r="CH42" s="193">
        <v>0</v>
      </c>
      <c r="CI42" s="193">
        <v>0</v>
      </c>
      <c r="CJ42" s="193">
        <v>0</v>
      </c>
      <c r="CK42" s="382">
        <v>1</v>
      </c>
      <c r="CL42" s="193">
        <v>0</v>
      </c>
      <c r="CM42" s="193">
        <v>0</v>
      </c>
      <c r="CN42" s="193">
        <v>1</v>
      </c>
      <c r="CO42" s="193">
        <v>1.2</v>
      </c>
      <c r="CP42" s="382">
        <v>1</v>
      </c>
      <c r="CQ42" s="193">
        <v>0</v>
      </c>
      <c r="CR42" s="193">
        <v>0.8</v>
      </c>
      <c r="CS42" s="193">
        <v>1</v>
      </c>
      <c r="CT42" s="193">
        <v>1.2</v>
      </c>
      <c r="CU42" s="382">
        <v>1</v>
      </c>
      <c r="CV42" s="193">
        <v>0</v>
      </c>
      <c r="CW42" s="193">
        <v>0</v>
      </c>
      <c r="CX42" s="193">
        <v>0</v>
      </c>
      <c r="CY42" s="193">
        <v>0</v>
      </c>
      <c r="CZ42" s="382">
        <v>1</v>
      </c>
      <c r="DA42" s="193">
        <v>0</v>
      </c>
      <c r="DB42" s="193">
        <v>0.8</v>
      </c>
      <c r="DC42" s="193">
        <v>1</v>
      </c>
      <c r="DD42" s="193">
        <v>1.2</v>
      </c>
      <c r="DE42" s="382">
        <v>1</v>
      </c>
      <c r="DF42" s="193">
        <v>0</v>
      </c>
      <c r="DG42" s="193">
        <v>0</v>
      </c>
      <c r="DH42" s="193">
        <v>0</v>
      </c>
      <c r="DI42" s="193">
        <v>0</v>
      </c>
      <c r="DJ42" s="382">
        <v>1</v>
      </c>
      <c r="DK42" s="193">
        <v>0</v>
      </c>
      <c r="DL42" s="193">
        <v>0</v>
      </c>
      <c r="DM42" s="193">
        <v>0</v>
      </c>
      <c r="DN42" s="193">
        <v>0</v>
      </c>
      <c r="DO42" s="382">
        <v>1</v>
      </c>
      <c r="DP42" s="193">
        <v>0</v>
      </c>
      <c r="DQ42" s="193">
        <v>0</v>
      </c>
      <c r="DR42" s="193">
        <v>0</v>
      </c>
      <c r="DS42" s="193">
        <v>0</v>
      </c>
      <c r="DT42" s="382">
        <v>1</v>
      </c>
      <c r="DU42" s="193">
        <v>0</v>
      </c>
      <c r="DV42" s="193">
        <v>0</v>
      </c>
      <c r="DW42" s="193">
        <v>0</v>
      </c>
      <c r="DX42" s="193">
        <v>0</v>
      </c>
      <c r="DY42" s="382">
        <v>1</v>
      </c>
      <c r="DZ42" s="193">
        <v>0</v>
      </c>
      <c r="EA42" s="193">
        <v>0</v>
      </c>
      <c r="EB42" s="193">
        <v>0</v>
      </c>
      <c r="EC42" s="193">
        <v>0</v>
      </c>
      <c r="ED42" s="382">
        <v>1</v>
      </c>
      <c r="EE42" s="193">
        <v>0</v>
      </c>
      <c r="EF42" s="193">
        <v>0</v>
      </c>
      <c r="EG42" s="193">
        <v>0</v>
      </c>
      <c r="EH42" s="193">
        <v>0</v>
      </c>
      <c r="EI42" s="382">
        <v>1</v>
      </c>
      <c r="EJ42" s="193">
        <v>0</v>
      </c>
      <c r="EK42" s="193">
        <v>0</v>
      </c>
      <c r="EL42" s="193">
        <v>0</v>
      </c>
      <c r="EM42" s="193">
        <v>0</v>
      </c>
      <c r="EN42" s="382">
        <v>1</v>
      </c>
      <c r="EO42" s="193">
        <v>0</v>
      </c>
      <c r="EP42" s="193">
        <v>0</v>
      </c>
      <c r="EQ42" s="193">
        <v>0</v>
      </c>
      <c r="ER42" s="193">
        <v>0</v>
      </c>
      <c r="ES42" s="382">
        <v>1</v>
      </c>
      <c r="ET42" s="193">
        <v>0</v>
      </c>
      <c r="EU42" s="193">
        <v>0</v>
      </c>
      <c r="EV42" s="193">
        <v>0</v>
      </c>
      <c r="EW42" s="193">
        <v>0</v>
      </c>
      <c r="EX42" s="382">
        <v>1</v>
      </c>
      <c r="EY42" s="193">
        <v>0</v>
      </c>
      <c r="EZ42" s="193">
        <v>0</v>
      </c>
      <c r="FA42" s="193">
        <v>0</v>
      </c>
      <c r="FB42" s="193">
        <v>0</v>
      </c>
      <c r="FC42" s="382">
        <v>1</v>
      </c>
      <c r="FD42" s="193">
        <v>0</v>
      </c>
      <c r="FE42" s="193">
        <v>0</v>
      </c>
      <c r="FF42" s="193">
        <v>0</v>
      </c>
      <c r="FG42" s="193">
        <v>0</v>
      </c>
      <c r="FH42" s="382">
        <v>1</v>
      </c>
      <c r="FI42" s="193">
        <v>0</v>
      </c>
      <c r="FJ42" s="193">
        <v>0</v>
      </c>
      <c r="FK42" s="193">
        <v>0</v>
      </c>
      <c r="FL42" s="193">
        <v>0</v>
      </c>
      <c r="FM42" s="382">
        <v>1</v>
      </c>
      <c r="FN42" s="193">
        <v>0</v>
      </c>
      <c r="FO42" s="193">
        <v>0</v>
      </c>
      <c r="FP42" s="193">
        <v>0</v>
      </c>
      <c r="FQ42" s="193">
        <v>0</v>
      </c>
      <c r="FR42" s="382">
        <v>1</v>
      </c>
      <c r="FS42" s="193">
        <v>0</v>
      </c>
      <c r="FT42" s="193">
        <v>0</v>
      </c>
      <c r="FU42" s="193">
        <v>0</v>
      </c>
      <c r="FV42" s="193">
        <v>0</v>
      </c>
      <c r="FW42" s="382">
        <v>1</v>
      </c>
      <c r="FX42" s="193">
        <v>0</v>
      </c>
      <c r="FY42" s="193">
        <v>0</v>
      </c>
      <c r="FZ42" s="193">
        <v>0</v>
      </c>
      <c r="GA42" s="193">
        <v>0</v>
      </c>
      <c r="GB42" s="382">
        <v>1</v>
      </c>
      <c r="GC42" s="193">
        <v>0</v>
      </c>
      <c r="GD42" s="193">
        <v>0</v>
      </c>
      <c r="GE42" s="193">
        <v>0</v>
      </c>
      <c r="GF42" s="193">
        <v>0</v>
      </c>
      <c r="GG42" s="382">
        <v>1</v>
      </c>
      <c r="GH42" s="193">
        <v>0</v>
      </c>
      <c r="GI42" s="193">
        <v>0</v>
      </c>
      <c r="GJ42" s="193">
        <v>0</v>
      </c>
      <c r="GK42" s="193">
        <v>0</v>
      </c>
      <c r="GL42" s="382">
        <v>1</v>
      </c>
      <c r="GM42" s="193">
        <v>0</v>
      </c>
      <c r="GN42" s="193">
        <v>0</v>
      </c>
      <c r="GO42" s="193">
        <v>0</v>
      </c>
      <c r="GP42" s="187">
        <v>0</v>
      </c>
      <c r="GQ42" s="382">
        <v>1</v>
      </c>
    </row>
    <row r="43" spans="1:199">
      <c r="A43" s="195"/>
      <c r="B43" s="188"/>
      <c r="C43" s="188"/>
      <c r="D43" s="188" t="s">
        <v>967</v>
      </c>
      <c r="E43" s="190">
        <v>0</v>
      </c>
      <c r="F43" s="193">
        <v>0</v>
      </c>
      <c r="G43" s="203">
        <v>0</v>
      </c>
      <c r="H43" s="201">
        <v>0</v>
      </c>
      <c r="I43" s="383">
        <v>1</v>
      </c>
      <c r="J43" s="383">
        <v>0</v>
      </c>
      <c r="K43" s="201">
        <v>0</v>
      </c>
      <c r="L43" s="201">
        <v>0</v>
      </c>
      <c r="M43" s="201">
        <v>0</v>
      </c>
      <c r="N43" s="383">
        <v>1</v>
      </c>
      <c r="O43" s="383">
        <v>0</v>
      </c>
      <c r="P43" s="201">
        <v>0</v>
      </c>
      <c r="Q43" s="201">
        <v>0</v>
      </c>
      <c r="R43" s="202">
        <v>0</v>
      </c>
      <c r="S43" s="382">
        <v>1</v>
      </c>
      <c r="T43" s="190">
        <v>0</v>
      </c>
      <c r="U43" s="193">
        <v>0</v>
      </c>
      <c r="V43" s="203">
        <v>0</v>
      </c>
      <c r="W43" s="201">
        <v>0</v>
      </c>
      <c r="X43" s="382">
        <v>1</v>
      </c>
      <c r="Y43" s="200">
        <v>0</v>
      </c>
      <c r="Z43" s="201">
        <v>0</v>
      </c>
      <c r="AA43" s="201">
        <v>0</v>
      </c>
      <c r="AB43" s="201">
        <v>0</v>
      </c>
      <c r="AC43" s="382">
        <v>1</v>
      </c>
      <c r="AD43" s="200">
        <v>0</v>
      </c>
      <c r="AE43" s="201">
        <v>0</v>
      </c>
      <c r="AF43" s="402">
        <v>0</v>
      </c>
      <c r="AG43" s="383">
        <v>0</v>
      </c>
      <c r="AH43" s="383">
        <v>1</v>
      </c>
      <c r="AI43" s="383">
        <v>0</v>
      </c>
      <c r="AJ43" s="383">
        <v>0</v>
      </c>
      <c r="AK43" s="386">
        <v>0</v>
      </c>
      <c r="AL43" s="201">
        <v>0</v>
      </c>
      <c r="AM43" s="383">
        <v>1</v>
      </c>
      <c r="AN43" s="383">
        <v>0</v>
      </c>
      <c r="AO43" s="201">
        <v>0</v>
      </c>
      <c r="AP43" s="201">
        <v>0</v>
      </c>
      <c r="AQ43" s="201">
        <v>0</v>
      </c>
      <c r="AR43" s="382">
        <v>1</v>
      </c>
      <c r="AS43" s="200">
        <v>0</v>
      </c>
      <c r="AT43" s="201">
        <v>0</v>
      </c>
      <c r="AU43" s="201">
        <v>0</v>
      </c>
      <c r="AV43" s="193">
        <v>0</v>
      </c>
      <c r="AW43" s="382">
        <v>1</v>
      </c>
      <c r="AX43" s="193">
        <v>0</v>
      </c>
      <c r="AY43" s="193">
        <v>0</v>
      </c>
      <c r="AZ43" s="193">
        <v>0</v>
      </c>
      <c r="BA43" s="193">
        <v>0</v>
      </c>
      <c r="BB43" s="382">
        <v>1</v>
      </c>
      <c r="BC43" s="193">
        <v>0</v>
      </c>
      <c r="BD43" s="193">
        <v>0</v>
      </c>
      <c r="BE43" s="193">
        <v>0</v>
      </c>
      <c r="BF43" s="193">
        <v>0</v>
      </c>
      <c r="BG43" s="382">
        <v>1</v>
      </c>
      <c r="BH43" s="193">
        <v>0</v>
      </c>
      <c r="BI43" s="193">
        <v>0</v>
      </c>
      <c r="BJ43" s="193">
        <v>0</v>
      </c>
      <c r="BK43" s="193">
        <v>0</v>
      </c>
      <c r="BL43" s="382">
        <v>1</v>
      </c>
      <c r="BM43" s="193">
        <v>0</v>
      </c>
      <c r="BN43" s="193">
        <v>0</v>
      </c>
      <c r="BO43" s="193">
        <v>1</v>
      </c>
      <c r="BP43" s="193">
        <v>1.2</v>
      </c>
      <c r="BQ43" s="382">
        <v>1</v>
      </c>
      <c r="BR43" s="193">
        <v>0</v>
      </c>
      <c r="BS43" s="193">
        <v>0</v>
      </c>
      <c r="BT43" s="193">
        <v>0</v>
      </c>
      <c r="BU43" s="193">
        <v>1.2</v>
      </c>
      <c r="BV43" s="382">
        <v>1</v>
      </c>
      <c r="BW43" s="193">
        <v>0</v>
      </c>
      <c r="BX43" s="193">
        <v>0</v>
      </c>
      <c r="BY43" s="193">
        <v>1</v>
      </c>
      <c r="BZ43" s="193">
        <v>1.2</v>
      </c>
      <c r="CA43" s="382">
        <v>1</v>
      </c>
      <c r="CB43" s="193">
        <v>0</v>
      </c>
      <c r="CC43" s="193">
        <v>0</v>
      </c>
      <c r="CD43" s="193">
        <v>1</v>
      </c>
      <c r="CE43" s="193">
        <v>1.2</v>
      </c>
      <c r="CF43" s="382">
        <v>1</v>
      </c>
      <c r="CG43" s="193">
        <v>0</v>
      </c>
      <c r="CH43" s="193">
        <v>0</v>
      </c>
      <c r="CI43" s="193">
        <v>0</v>
      </c>
      <c r="CJ43" s="193">
        <v>1.2</v>
      </c>
      <c r="CK43" s="382">
        <v>1</v>
      </c>
      <c r="CL43" s="193">
        <v>0</v>
      </c>
      <c r="CM43" s="193">
        <v>0</v>
      </c>
      <c r="CN43" s="193">
        <v>1</v>
      </c>
      <c r="CO43" s="193">
        <v>1.2</v>
      </c>
      <c r="CP43" s="382">
        <v>1</v>
      </c>
      <c r="CQ43" s="193">
        <v>0</v>
      </c>
      <c r="CR43" s="193">
        <v>0.8</v>
      </c>
      <c r="CS43" s="193">
        <v>1</v>
      </c>
      <c r="CT43" s="193">
        <v>1.2</v>
      </c>
      <c r="CU43" s="382">
        <v>1</v>
      </c>
      <c r="CV43" s="193">
        <v>0</v>
      </c>
      <c r="CW43" s="193">
        <v>0</v>
      </c>
      <c r="CX43" s="193">
        <v>0</v>
      </c>
      <c r="CY43" s="193">
        <v>1.2</v>
      </c>
      <c r="CZ43" s="382">
        <v>1</v>
      </c>
      <c r="DA43" s="193">
        <v>0</v>
      </c>
      <c r="DB43" s="193">
        <v>0.8</v>
      </c>
      <c r="DC43" s="193">
        <v>1</v>
      </c>
      <c r="DD43" s="193">
        <v>1.2</v>
      </c>
      <c r="DE43" s="382">
        <v>1</v>
      </c>
      <c r="DF43" s="193">
        <v>0</v>
      </c>
      <c r="DG43" s="193">
        <v>0</v>
      </c>
      <c r="DH43" s="193">
        <v>0</v>
      </c>
      <c r="DI43" s="193">
        <v>0</v>
      </c>
      <c r="DJ43" s="382">
        <v>1</v>
      </c>
      <c r="DK43" s="193">
        <v>0</v>
      </c>
      <c r="DL43" s="193">
        <v>0</v>
      </c>
      <c r="DM43" s="193">
        <v>0</v>
      </c>
      <c r="DN43" s="193">
        <v>0</v>
      </c>
      <c r="DO43" s="382">
        <v>1</v>
      </c>
      <c r="DP43" s="193">
        <v>0</v>
      </c>
      <c r="DQ43" s="193">
        <v>0</v>
      </c>
      <c r="DR43" s="193">
        <v>0</v>
      </c>
      <c r="DS43" s="193">
        <v>0</v>
      </c>
      <c r="DT43" s="382">
        <v>1</v>
      </c>
      <c r="DU43" s="193">
        <v>0</v>
      </c>
      <c r="DV43" s="193">
        <v>0</v>
      </c>
      <c r="DW43" s="193">
        <v>0</v>
      </c>
      <c r="DX43" s="193">
        <v>0</v>
      </c>
      <c r="DY43" s="382">
        <v>1</v>
      </c>
      <c r="DZ43" s="193">
        <v>0</v>
      </c>
      <c r="EA43" s="193">
        <v>0</v>
      </c>
      <c r="EB43" s="193">
        <v>0</v>
      </c>
      <c r="EC43" s="193">
        <v>0</v>
      </c>
      <c r="ED43" s="382">
        <v>1</v>
      </c>
      <c r="EE43" s="193">
        <v>0</v>
      </c>
      <c r="EF43" s="193">
        <v>0</v>
      </c>
      <c r="EG43" s="193">
        <v>0</v>
      </c>
      <c r="EH43" s="193">
        <v>0</v>
      </c>
      <c r="EI43" s="382">
        <v>1</v>
      </c>
      <c r="EJ43" s="193">
        <v>0</v>
      </c>
      <c r="EK43" s="193">
        <v>0</v>
      </c>
      <c r="EL43" s="193">
        <v>0</v>
      </c>
      <c r="EM43" s="193">
        <v>0</v>
      </c>
      <c r="EN43" s="382">
        <v>1</v>
      </c>
      <c r="EO43" s="193">
        <v>0</v>
      </c>
      <c r="EP43" s="193">
        <v>0</v>
      </c>
      <c r="EQ43" s="193">
        <v>0</v>
      </c>
      <c r="ER43" s="193">
        <v>0</v>
      </c>
      <c r="ES43" s="382">
        <v>1</v>
      </c>
      <c r="ET43" s="193">
        <v>0</v>
      </c>
      <c r="EU43" s="193">
        <v>0</v>
      </c>
      <c r="EV43" s="193">
        <v>0</v>
      </c>
      <c r="EW43" s="193">
        <v>0</v>
      </c>
      <c r="EX43" s="382">
        <v>1</v>
      </c>
      <c r="EY43" s="193">
        <v>0</v>
      </c>
      <c r="EZ43" s="193">
        <v>0</v>
      </c>
      <c r="FA43" s="193">
        <v>0</v>
      </c>
      <c r="FB43" s="193">
        <v>0</v>
      </c>
      <c r="FC43" s="382">
        <v>1</v>
      </c>
      <c r="FD43" s="193">
        <v>0</v>
      </c>
      <c r="FE43" s="193">
        <v>0</v>
      </c>
      <c r="FF43" s="193">
        <v>0</v>
      </c>
      <c r="FG43" s="193">
        <v>0</v>
      </c>
      <c r="FH43" s="382">
        <v>1</v>
      </c>
      <c r="FI43" s="193">
        <v>0</v>
      </c>
      <c r="FJ43" s="193">
        <v>0</v>
      </c>
      <c r="FK43" s="193">
        <v>0</v>
      </c>
      <c r="FL43" s="193">
        <v>0</v>
      </c>
      <c r="FM43" s="382">
        <v>1</v>
      </c>
      <c r="FN43" s="193">
        <v>0</v>
      </c>
      <c r="FO43" s="193">
        <v>0</v>
      </c>
      <c r="FP43" s="193">
        <v>0</v>
      </c>
      <c r="FQ43" s="193">
        <v>0</v>
      </c>
      <c r="FR43" s="382">
        <v>1</v>
      </c>
      <c r="FS43" s="193">
        <v>0</v>
      </c>
      <c r="FT43" s="193">
        <v>0</v>
      </c>
      <c r="FU43" s="193">
        <v>0</v>
      </c>
      <c r="FV43" s="193">
        <v>0</v>
      </c>
      <c r="FW43" s="382">
        <v>1</v>
      </c>
      <c r="FX43" s="193">
        <v>0</v>
      </c>
      <c r="FY43" s="193">
        <v>0</v>
      </c>
      <c r="FZ43" s="193">
        <v>0</v>
      </c>
      <c r="GA43" s="193">
        <v>0</v>
      </c>
      <c r="GB43" s="382">
        <v>1</v>
      </c>
      <c r="GC43" s="193">
        <v>0</v>
      </c>
      <c r="GD43" s="193">
        <v>0</v>
      </c>
      <c r="GE43" s="193">
        <v>0</v>
      </c>
      <c r="GF43" s="193">
        <v>0</v>
      </c>
      <c r="GG43" s="382">
        <v>1</v>
      </c>
      <c r="GH43" s="193">
        <v>0</v>
      </c>
      <c r="GI43" s="193">
        <v>0</v>
      </c>
      <c r="GJ43" s="193">
        <v>0</v>
      </c>
      <c r="GK43" s="193">
        <v>0</v>
      </c>
      <c r="GL43" s="382">
        <v>1</v>
      </c>
      <c r="GM43" s="193">
        <v>0</v>
      </c>
      <c r="GN43" s="193">
        <v>0</v>
      </c>
      <c r="GO43" s="193">
        <v>0</v>
      </c>
      <c r="GP43" s="187">
        <v>0</v>
      </c>
      <c r="GQ43" s="382">
        <v>1</v>
      </c>
    </row>
    <row r="44" spans="1:199">
      <c r="A44" s="195"/>
      <c r="B44" s="200"/>
      <c r="C44" s="200"/>
      <c r="D44" s="382" t="s">
        <v>359</v>
      </c>
      <c r="E44" s="386">
        <v>0</v>
      </c>
      <c r="F44" s="201">
        <v>0.8</v>
      </c>
      <c r="G44" s="203">
        <v>1</v>
      </c>
      <c r="H44" s="201">
        <v>1.2</v>
      </c>
      <c r="I44" s="383">
        <v>1</v>
      </c>
      <c r="J44" s="383">
        <v>0</v>
      </c>
      <c r="K44" s="201">
        <v>0</v>
      </c>
      <c r="L44" s="201">
        <v>0</v>
      </c>
      <c r="M44" s="201">
        <v>1.2</v>
      </c>
      <c r="N44" s="383">
        <v>1</v>
      </c>
      <c r="O44" s="383">
        <v>0</v>
      </c>
      <c r="P44" s="201">
        <v>0.8</v>
      </c>
      <c r="Q44" s="201">
        <v>1</v>
      </c>
      <c r="R44" s="202">
        <v>1.2</v>
      </c>
      <c r="S44" s="382">
        <v>1</v>
      </c>
      <c r="T44" s="386">
        <v>0</v>
      </c>
      <c r="U44" s="201">
        <v>0.8</v>
      </c>
      <c r="V44" s="203">
        <v>1</v>
      </c>
      <c r="W44" s="201">
        <v>1.2</v>
      </c>
      <c r="X44" s="382">
        <v>1</v>
      </c>
      <c r="Y44" s="200">
        <v>0</v>
      </c>
      <c r="Z44" s="201">
        <v>0</v>
      </c>
      <c r="AA44" s="201">
        <v>0</v>
      </c>
      <c r="AB44" s="201">
        <v>1.2</v>
      </c>
      <c r="AC44" s="382">
        <v>1</v>
      </c>
      <c r="AD44" s="200">
        <v>0</v>
      </c>
      <c r="AE44" s="201">
        <v>0.8</v>
      </c>
      <c r="AF44" s="402">
        <v>1</v>
      </c>
      <c r="AG44" s="383">
        <v>1.2</v>
      </c>
      <c r="AH44" s="383">
        <v>1</v>
      </c>
      <c r="AI44" s="383">
        <v>0</v>
      </c>
      <c r="AJ44" s="383">
        <v>0.8</v>
      </c>
      <c r="AK44" s="386">
        <v>1</v>
      </c>
      <c r="AL44" s="201">
        <v>1.2</v>
      </c>
      <c r="AM44" s="383">
        <v>1</v>
      </c>
      <c r="AN44" s="383">
        <v>0</v>
      </c>
      <c r="AO44" s="201">
        <v>0</v>
      </c>
      <c r="AP44" s="201">
        <v>0</v>
      </c>
      <c r="AQ44" s="201">
        <v>1.2</v>
      </c>
      <c r="AR44" s="382">
        <v>1</v>
      </c>
      <c r="AS44" s="200">
        <v>0</v>
      </c>
      <c r="AT44" s="201">
        <v>0.8</v>
      </c>
      <c r="AU44" s="201">
        <v>1</v>
      </c>
      <c r="AV44" s="201">
        <v>1.2</v>
      </c>
      <c r="AW44" s="382">
        <v>1</v>
      </c>
      <c r="AX44" s="201">
        <v>0</v>
      </c>
      <c r="AY44" s="201">
        <v>0.8</v>
      </c>
      <c r="AZ44" s="201">
        <v>1</v>
      </c>
      <c r="BA44" s="201">
        <v>1.2</v>
      </c>
      <c r="BB44" s="382">
        <v>1</v>
      </c>
      <c r="BC44" s="201">
        <v>0</v>
      </c>
      <c r="BD44" s="201">
        <v>0</v>
      </c>
      <c r="BE44" s="201">
        <v>0</v>
      </c>
      <c r="BF44" s="201">
        <v>1.2</v>
      </c>
      <c r="BG44" s="382">
        <v>1</v>
      </c>
      <c r="BH44" s="201">
        <v>0</v>
      </c>
      <c r="BI44" s="201">
        <v>0.8</v>
      </c>
      <c r="BJ44" s="201">
        <v>1</v>
      </c>
      <c r="BK44" s="201">
        <v>1.2</v>
      </c>
      <c r="BL44" s="382">
        <v>1</v>
      </c>
      <c r="BM44" s="201">
        <v>0</v>
      </c>
      <c r="BN44" s="201">
        <v>0.8</v>
      </c>
      <c r="BO44" s="201">
        <v>1</v>
      </c>
      <c r="BP44" s="201">
        <v>1.2</v>
      </c>
      <c r="BQ44" s="382">
        <v>1</v>
      </c>
      <c r="BR44" s="201">
        <v>0</v>
      </c>
      <c r="BS44" s="201">
        <v>0</v>
      </c>
      <c r="BT44" s="201">
        <v>0</v>
      </c>
      <c r="BU44" s="201">
        <v>1.2</v>
      </c>
      <c r="BV44" s="382">
        <v>1</v>
      </c>
      <c r="BW44" s="201">
        <v>0</v>
      </c>
      <c r="BX44" s="201">
        <v>0.8</v>
      </c>
      <c r="BY44" s="201">
        <v>1</v>
      </c>
      <c r="BZ44" s="201">
        <v>1.2</v>
      </c>
      <c r="CA44" s="382">
        <v>1</v>
      </c>
      <c r="CB44" s="201">
        <v>0</v>
      </c>
      <c r="CC44" s="201">
        <v>0.8</v>
      </c>
      <c r="CD44" s="201">
        <v>1</v>
      </c>
      <c r="CE44" s="201">
        <v>1.2</v>
      </c>
      <c r="CF44" s="382">
        <v>1</v>
      </c>
      <c r="CG44" s="201">
        <v>0</v>
      </c>
      <c r="CH44" s="201">
        <v>0</v>
      </c>
      <c r="CI44" s="201">
        <v>0</v>
      </c>
      <c r="CJ44" s="201">
        <v>1.2</v>
      </c>
      <c r="CK44" s="382">
        <v>1</v>
      </c>
      <c r="CL44" s="201">
        <v>0</v>
      </c>
      <c r="CM44" s="201">
        <v>0.8</v>
      </c>
      <c r="CN44" s="201">
        <v>1</v>
      </c>
      <c r="CO44" s="201">
        <v>1.2</v>
      </c>
      <c r="CP44" s="382">
        <v>1</v>
      </c>
      <c r="CQ44" s="201">
        <v>0</v>
      </c>
      <c r="CR44" s="201">
        <v>0.8</v>
      </c>
      <c r="CS44" s="201">
        <v>1</v>
      </c>
      <c r="CT44" s="201">
        <v>1.2</v>
      </c>
      <c r="CU44" s="382">
        <v>1</v>
      </c>
      <c r="CV44" s="201">
        <v>0</v>
      </c>
      <c r="CW44" s="201">
        <v>0</v>
      </c>
      <c r="CX44" s="201">
        <v>0</v>
      </c>
      <c r="CY44" s="201">
        <v>1.2</v>
      </c>
      <c r="CZ44" s="382">
        <v>1</v>
      </c>
      <c r="DA44" s="201">
        <v>0</v>
      </c>
      <c r="DB44" s="201">
        <v>0.8</v>
      </c>
      <c r="DC44" s="201">
        <v>1</v>
      </c>
      <c r="DD44" s="201">
        <v>1.2</v>
      </c>
      <c r="DE44" s="382">
        <v>1</v>
      </c>
      <c r="DF44" s="201">
        <v>0</v>
      </c>
      <c r="DG44" s="201">
        <v>0</v>
      </c>
      <c r="DH44" s="201">
        <v>0</v>
      </c>
      <c r="DI44" s="201">
        <v>0</v>
      </c>
      <c r="DJ44" s="382">
        <v>1</v>
      </c>
      <c r="DK44" s="201">
        <v>0</v>
      </c>
      <c r="DL44" s="201">
        <v>0</v>
      </c>
      <c r="DM44" s="201">
        <v>0</v>
      </c>
      <c r="DN44" s="201">
        <v>0</v>
      </c>
      <c r="DO44" s="382">
        <v>1</v>
      </c>
      <c r="DP44" s="201">
        <v>0</v>
      </c>
      <c r="DQ44" s="201">
        <v>0</v>
      </c>
      <c r="DR44" s="201">
        <v>0</v>
      </c>
      <c r="DS44" s="201">
        <v>0</v>
      </c>
      <c r="DT44" s="382">
        <v>1</v>
      </c>
      <c r="DU44" s="201">
        <v>0</v>
      </c>
      <c r="DV44" s="201">
        <v>0</v>
      </c>
      <c r="DW44" s="201">
        <v>0</v>
      </c>
      <c r="DX44" s="201">
        <v>0</v>
      </c>
      <c r="DY44" s="382">
        <v>1</v>
      </c>
      <c r="DZ44" s="201">
        <v>0</v>
      </c>
      <c r="EA44" s="201">
        <v>0</v>
      </c>
      <c r="EB44" s="201">
        <v>0</v>
      </c>
      <c r="EC44" s="201">
        <v>0</v>
      </c>
      <c r="ED44" s="382">
        <v>1</v>
      </c>
      <c r="EE44" s="201">
        <v>0</v>
      </c>
      <c r="EF44" s="201">
        <v>0</v>
      </c>
      <c r="EG44" s="201">
        <v>0</v>
      </c>
      <c r="EH44" s="201">
        <v>0</v>
      </c>
      <c r="EI44" s="382">
        <v>1</v>
      </c>
      <c r="EJ44" s="201">
        <v>0</v>
      </c>
      <c r="EK44" s="201">
        <v>0</v>
      </c>
      <c r="EL44" s="201">
        <v>0</v>
      </c>
      <c r="EM44" s="201">
        <v>0</v>
      </c>
      <c r="EN44" s="382">
        <v>1</v>
      </c>
      <c r="EO44" s="201">
        <v>0</v>
      </c>
      <c r="EP44" s="201">
        <v>0</v>
      </c>
      <c r="EQ44" s="201">
        <v>0</v>
      </c>
      <c r="ER44" s="201">
        <v>0</v>
      </c>
      <c r="ES44" s="382">
        <v>1</v>
      </c>
      <c r="ET44" s="201">
        <v>0</v>
      </c>
      <c r="EU44" s="201">
        <v>0</v>
      </c>
      <c r="EV44" s="201">
        <v>0</v>
      </c>
      <c r="EW44" s="201">
        <v>0</v>
      </c>
      <c r="EX44" s="382">
        <v>1</v>
      </c>
      <c r="EY44" s="201">
        <v>0</v>
      </c>
      <c r="EZ44" s="201">
        <v>0</v>
      </c>
      <c r="FA44" s="201">
        <v>0</v>
      </c>
      <c r="FB44" s="201">
        <v>0</v>
      </c>
      <c r="FC44" s="382">
        <v>1</v>
      </c>
      <c r="FD44" s="201">
        <v>0</v>
      </c>
      <c r="FE44" s="201">
        <v>0</v>
      </c>
      <c r="FF44" s="201">
        <v>0</v>
      </c>
      <c r="FG44" s="201">
        <v>0</v>
      </c>
      <c r="FH44" s="382">
        <v>1</v>
      </c>
      <c r="FI44" s="201">
        <v>0</v>
      </c>
      <c r="FJ44" s="201">
        <v>0</v>
      </c>
      <c r="FK44" s="201">
        <v>0</v>
      </c>
      <c r="FL44" s="201">
        <v>0</v>
      </c>
      <c r="FM44" s="382">
        <v>1</v>
      </c>
      <c r="FN44" s="201">
        <v>0</v>
      </c>
      <c r="FO44" s="201">
        <v>0</v>
      </c>
      <c r="FP44" s="201">
        <v>0</v>
      </c>
      <c r="FQ44" s="201">
        <v>0</v>
      </c>
      <c r="FR44" s="382">
        <v>1</v>
      </c>
      <c r="FS44" s="201">
        <v>0</v>
      </c>
      <c r="FT44" s="201">
        <v>0</v>
      </c>
      <c r="FU44" s="201">
        <v>0</v>
      </c>
      <c r="FV44" s="201">
        <v>0</v>
      </c>
      <c r="FW44" s="382">
        <v>1</v>
      </c>
      <c r="FX44" s="201">
        <v>0</v>
      </c>
      <c r="FY44" s="201">
        <v>0</v>
      </c>
      <c r="FZ44" s="201">
        <v>0</v>
      </c>
      <c r="GA44" s="201">
        <v>0</v>
      </c>
      <c r="GB44" s="382">
        <v>1</v>
      </c>
      <c r="GC44" s="201">
        <v>0</v>
      </c>
      <c r="GD44" s="201">
        <v>0</v>
      </c>
      <c r="GE44" s="201">
        <v>0</v>
      </c>
      <c r="GF44" s="201">
        <v>0</v>
      </c>
      <c r="GG44" s="382">
        <v>1</v>
      </c>
      <c r="GH44" s="201">
        <v>0</v>
      </c>
      <c r="GI44" s="201">
        <v>0</v>
      </c>
      <c r="GJ44" s="201">
        <v>0</v>
      </c>
      <c r="GK44" s="201">
        <v>0</v>
      </c>
      <c r="GL44" s="382">
        <v>1</v>
      </c>
      <c r="GM44" s="201">
        <v>0</v>
      </c>
      <c r="GN44" s="201">
        <v>0</v>
      </c>
      <c r="GO44" s="201">
        <v>0</v>
      </c>
      <c r="GP44" s="202">
        <v>0</v>
      </c>
      <c r="GQ44" s="382">
        <v>1</v>
      </c>
    </row>
    <row r="45" spans="1:199">
      <c r="A45" s="195"/>
    </row>
    <row r="46" spans="1:199">
      <c r="A46" s="195" t="s">
        <v>998</v>
      </c>
      <c r="B46" s="195" t="s">
        <v>999</v>
      </c>
      <c r="C46" s="207"/>
    </row>
    <row r="47" spans="1:199">
      <c r="A47" s="195"/>
      <c r="B47" s="196"/>
      <c r="C47" s="196" t="s">
        <v>987</v>
      </c>
      <c r="D47" s="196" t="s">
        <v>245</v>
      </c>
      <c r="E47" s="199">
        <v>0</v>
      </c>
      <c r="F47" s="197">
        <v>0.8</v>
      </c>
      <c r="G47" s="206">
        <v>1</v>
      </c>
      <c r="H47" s="204">
        <v>2</v>
      </c>
      <c r="I47" s="204">
        <v>1</v>
      </c>
      <c r="J47" s="204">
        <v>0</v>
      </c>
      <c r="K47" s="204">
        <v>0</v>
      </c>
      <c r="L47" s="204">
        <v>0</v>
      </c>
      <c r="M47" s="204">
        <v>0</v>
      </c>
      <c r="N47" s="204">
        <v>1</v>
      </c>
      <c r="O47" s="204">
        <v>0</v>
      </c>
      <c r="P47" s="204">
        <v>0.8</v>
      </c>
      <c r="Q47" s="204">
        <v>1</v>
      </c>
      <c r="R47" s="205">
        <v>2</v>
      </c>
      <c r="S47" s="186">
        <v>1</v>
      </c>
      <c r="T47" s="199">
        <v>0</v>
      </c>
      <c r="U47" s="197">
        <v>0.8</v>
      </c>
      <c r="V47" s="206">
        <v>1</v>
      </c>
      <c r="W47" s="204">
        <v>2</v>
      </c>
      <c r="X47" s="186">
        <v>1</v>
      </c>
      <c r="Y47" s="186">
        <v>0</v>
      </c>
      <c r="Z47" s="204">
        <v>0</v>
      </c>
      <c r="AA47" s="204">
        <v>0</v>
      </c>
      <c r="AB47" s="204">
        <v>2</v>
      </c>
      <c r="AC47" s="186">
        <v>1</v>
      </c>
      <c r="AD47" s="186">
        <v>0</v>
      </c>
      <c r="AE47" s="204">
        <v>0.8</v>
      </c>
      <c r="AF47" s="204">
        <v>1</v>
      </c>
      <c r="AG47" s="204">
        <v>2</v>
      </c>
      <c r="AH47" s="204">
        <v>1</v>
      </c>
      <c r="AI47" s="204">
        <v>0</v>
      </c>
      <c r="AJ47" s="204">
        <v>0.8</v>
      </c>
      <c r="AK47" s="204">
        <v>1</v>
      </c>
      <c r="AL47" s="204">
        <v>2</v>
      </c>
      <c r="AM47" s="204">
        <v>1</v>
      </c>
      <c r="AN47" s="204">
        <v>0</v>
      </c>
      <c r="AO47" s="204">
        <v>0</v>
      </c>
      <c r="AP47" s="204">
        <v>0</v>
      </c>
      <c r="AQ47" s="204">
        <v>2</v>
      </c>
      <c r="AR47" s="186">
        <v>1</v>
      </c>
      <c r="AS47" s="186">
        <v>0</v>
      </c>
      <c r="AT47" s="204">
        <v>0.8</v>
      </c>
      <c r="AU47" s="204">
        <v>1</v>
      </c>
      <c r="AV47" s="197">
        <v>2</v>
      </c>
      <c r="AW47" s="186">
        <v>1</v>
      </c>
      <c r="AX47" s="197">
        <v>0</v>
      </c>
      <c r="AY47" s="197">
        <v>0.8</v>
      </c>
      <c r="AZ47" s="197">
        <v>1</v>
      </c>
      <c r="BA47" s="197">
        <v>2</v>
      </c>
      <c r="BB47" s="186">
        <v>1</v>
      </c>
      <c r="BC47" s="197">
        <v>0</v>
      </c>
      <c r="BD47" s="197">
        <v>0</v>
      </c>
      <c r="BE47" s="197">
        <v>0</v>
      </c>
      <c r="BF47" s="197">
        <v>2</v>
      </c>
      <c r="BG47" s="186">
        <v>1</v>
      </c>
      <c r="BH47" s="197">
        <v>0</v>
      </c>
      <c r="BI47" s="197">
        <v>0.8</v>
      </c>
      <c r="BJ47" s="197">
        <v>1</v>
      </c>
      <c r="BK47" s="197">
        <v>2</v>
      </c>
      <c r="BL47" s="186">
        <v>1</v>
      </c>
      <c r="BM47" s="197">
        <v>0</v>
      </c>
      <c r="BN47" s="197">
        <v>0.8</v>
      </c>
      <c r="BO47" s="197">
        <v>1</v>
      </c>
      <c r="BP47" s="197">
        <v>2</v>
      </c>
      <c r="BQ47" s="186">
        <v>1</v>
      </c>
      <c r="BR47" s="197">
        <v>0</v>
      </c>
      <c r="BS47" s="197">
        <v>0</v>
      </c>
      <c r="BT47" s="197">
        <v>0</v>
      </c>
      <c r="BU47" s="197">
        <v>2</v>
      </c>
      <c r="BV47" s="186">
        <v>1</v>
      </c>
      <c r="BW47" s="197">
        <v>0</v>
      </c>
      <c r="BX47" s="197">
        <v>0.8</v>
      </c>
      <c r="BY47" s="197">
        <v>1</v>
      </c>
      <c r="BZ47" s="197">
        <v>2</v>
      </c>
      <c r="CA47" s="186">
        <v>1</v>
      </c>
      <c r="CB47" s="197">
        <v>0</v>
      </c>
      <c r="CC47" s="197">
        <v>0.8</v>
      </c>
      <c r="CD47" s="197">
        <v>1</v>
      </c>
      <c r="CE47" s="197">
        <v>2</v>
      </c>
      <c r="CF47" s="186">
        <v>1</v>
      </c>
      <c r="CG47" s="197">
        <v>0</v>
      </c>
      <c r="CH47" s="197">
        <v>0</v>
      </c>
      <c r="CI47" s="197">
        <v>0</v>
      </c>
      <c r="CJ47" s="197">
        <v>2</v>
      </c>
      <c r="CK47" s="186">
        <v>1</v>
      </c>
      <c r="CL47" s="197">
        <v>0</v>
      </c>
      <c r="CM47" s="197">
        <v>0.8</v>
      </c>
      <c r="CN47" s="197">
        <v>1</v>
      </c>
      <c r="CO47" s="197">
        <v>2</v>
      </c>
      <c r="CP47" s="186">
        <v>1</v>
      </c>
      <c r="CQ47" s="197">
        <v>0</v>
      </c>
      <c r="CR47" s="197">
        <v>0.8</v>
      </c>
      <c r="CS47" s="197">
        <v>1</v>
      </c>
      <c r="CT47" s="197">
        <v>2</v>
      </c>
      <c r="CU47" s="186">
        <v>1</v>
      </c>
      <c r="CV47" s="197">
        <v>0</v>
      </c>
      <c r="CW47" s="197">
        <v>0</v>
      </c>
      <c r="CX47" s="197">
        <v>0</v>
      </c>
      <c r="CY47" s="197">
        <v>2</v>
      </c>
      <c r="CZ47" s="186">
        <v>1</v>
      </c>
      <c r="DA47" s="197">
        <v>0</v>
      </c>
      <c r="DB47" s="197">
        <v>0.8</v>
      </c>
      <c r="DC47" s="197">
        <v>1</v>
      </c>
      <c r="DD47" s="197">
        <v>2</v>
      </c>
      <c r="DE47" s="186">
        <v>1</v>
      </c>
      <c r="DF47" s="197">
        <v>0</v>
      </c>
      <c r="DG47" s="197">
        <v>0.8</v>
      </c>
      <c r="DH47" s="197">
        <v>1</v>
      </c>
      <c r="DI47" s="197">
        <v>2</v>
      </c>
      <c r="DJ47" s="186">
        <v>1</v>
      </c>
      <c r="DK47" s="197">
        <v>0</v>
      </c>
      <c r="DL47" s="197">
        <v>0</v>
      </c>
      <c r="DM47" s="197">
        <v>0</v>
      </c>
      <c r="DN47" s="197">
        <v>2</v>
      </c>
      <c r="DO47" s="186">
        <v>1</v>
      </c>
      <c r="DP47" s="197">
        <v>0</v>
      </c>
      <c r="DQ47" s="197">
        <v>0.8</v>
      </c>
      <c r="DR47" s="197">
        <v>1</v>
      </c>
      <c r="DS47" s="197">
        <v>2</v>
      </c>
      <c r="DT47" s="186">
        <v>1</v>
      </c>
      <c r="DU47" s="197">
        <v>0</v>
      </c>
      <c r="DV47" s="197">
        <v>0.8</v>
      </c>
      <c r="DW47" s="197">
        <v>1</v>
      </c>
      <c r="DX47" s="197">
        <v>2</v>
      </c>
      <c r="DY47" s="186">
        <v>1</v>
      </c>
      <c r="DZ47" s="197">
        <v>0</v>
      </c>
      <c r="EA47" s="197">
        <v>0</v>
      </c>
      <c r="EB47" s="197">
        <v>0</v>
      </c>
      <c r="EC47" s="197">
        <v>2</v>
      </c>
      <c r="ED47" s="186">
        <v>1</v>
      </c>
      <c r="EE47" s="197">
        <v>0</v>
      </c>
      <c r="EF47" s="197">
        <v>0.8</v>
      </c>
      <c r="EG47" s="197">
        <v>1</v>
      </c>
      <c r="EH47" s="197">
        <v>2</v>
      </c>
      <c r="EI47" s="186">
        <v>1</v>
      </c>
      <c r="EJ47" s="197">
        <v>0</v>
      </c>
      <c r="EK47" s="197">
        <v>0.8</v>
      </c>
      <c r="EL47" s="197">
        <v>1</v>
      </c>
      <c r="EM47" s="197">
        <v>2</v>
      </c>
      <c r="EN47" s="186">
        <v>1</v>
      </c>
      <c r="EO47" s="197">
        <v>0</v>
      </c>
      <c r="EP47" s="197">
        <v>0</v>
      </c>
      <c r="EQ47" s="197">
        <v>0</v>
      </c>
      <c r="ER47" s="197">
        <v>2</v>
      </c>
      <c r="ES47" s="186">
        <v>1</v>
      </c>
      <c r="ET47" s="197">
        <v>0</v>
      </c>
      <c r="EU47" s="197">
        <v>0.8</v>
      </c>
      <c r="EV47" s="197">
        <v>1</v>
      </c>
      <c r="EW47" s="197">
        <v>2</v>
      </c>
      <c r="EX47" s="186">
        <v>1</v>
      </c>
      <c r="EY47" s="197">
        <v>0</v>
      </c>
      <c r="EZ47" s="197">
        <v>0.8</v>
      </c>
      <c r="FA47" s="197">
        <v>1</v>
      </c>
      <c r="FB47" s="197">
        <v>2</v>
      </c>
      <c r="FC47" s="186">
        <v>1</v>
      </c>
      <c r="FD47" s="197">
        <v>0</v>
      </c>
      <c r="FE47" s="197">
        <v>0</v>
      </c>
      <c r="FF47" s="197">
        <v>0</v>
      </c>
      <c r="FG47" s="197">
        <v>2</v>
      </c>
      <c r="FH47" s="186">
        <v>1</v>
      </c>
      <c r="FI47" s="197">
        <v>0</v>
      </c>
      <c r="FJ47" s="197">
        <v>0.8</v>
      </c>
      <c r="FK47" s="197">
        <v>1</v>
      </c>
      <c r="FL47" s="197">
        <v>2</v>
      </c>
      <c r="FM47" s="186">
        <v>1</v>
      </c>
      <c r="FN47" s="197">
        <v>0</v>
      </c>
      <c r="FO47" s="197">
        <v>0.8</v>
      </c>
      <c r="FP47" s="197">
        <v>1</v>
      </c>
      <c r="FQ47" s="197">
        <v>2</v>
      </c>
      <c r="FR47" s="186">
        <v>1</v>
      </c>
      <c r="FS47" s="197">
        <v>0</v>
      </c>
      <c r="FT47" s="197">
        <v>0</v>
      </c>
      <c r="FU47" s="197">
        <v>0</v>
      </c>
      <c r="FV47" s="197">
        <v>2</v>
      </c>
      <c r="FW47" s="186">
        <v>1</v>
      </c>
      <c r="FX47" s="197">
        <v>0</v>
      </c>
      <c r="FY47" s="197">
        <v>0.8</v>
      </c>
      <c r="FZ47" s="197">
        <v>1</v>
      </c>
      <c r="GA47" s="197">
        <v>2</v>
      </c>
      <c r="GB47" s="186">
        <v>1</v>
      </c>
      <c r="GC47" s="197">
        <v>0</v>
      </c>
      <c r="GD47" s="197">
        <v>0.8</v>
      </c>
      <c r="GE47" s="197">
        <v>1</v>
      </c>
      <c r="GF47" s="197">
        <v>2</v>
      </c>
      <c r="GG47" s="186">
        <v>1</v>
      </c>
      <c r="GH47" s="197">
        <v>0</v>
      </c>
      <c r="GI47" s="197">
        <v>0</v>
      </c>
      <c r="GJ47" s="197">
        <v>0</v>
      </c>
      <c r="GK47" s="197">
        <v>2</v>
      </c>
      <c r="GL47" s="186">
        <v>1</v>
      </c>
      <c r="GM47" s="197">
        <v>0</v>
      </c>
      <c r="GN47" s="197">
        <v>0.8</v>
      </c>
      <c r="GO47" s="197">
        <v>1</v>
      </c>
      <c r="GP47" s="198">
        <v>2</v>
      </c>
      <c r="GQ47" s="186">
        <v>1</v>
      </c>
    </row>
    <row r="48" spans="1:199">
      <c r="A48" s="195"/>
      <c r="B48" s="188"/>
      <c r="C48" s="188" t="s">
        <v>303</v>
      </c>
      <c r="D48" s="188" t="s">
        <v>1000</v>
      </c>
      <c r="E48" s="190">
        <v>0</v>
      </c>
      <c r="F48" s="193">
        <v>0.8</v>
      </c>
      <c r="G48" s="203">
        <v>1</v>
      </c>
      <c r="H48" s="201">
        <v>1.2</v>
      </c>
      <c r="I48" s="383">
        <v>1</v>
      </c>
      <c r="J48" s="383">
        <v>0</v>
      </c>
      <c r="K48" s="201">
        <v>0.8</v>
      </c>
      <c r="L48" s="201">
        <v>1</v>
      </c>
      <c r="M48" s="201">
        <v>1.2</v>
      </c>
      <c r="N48" s="383">
        <v>1</v>
      </c>
      <c r="O48" s="383">
        <v>0</v>
      </c>
      <c r="P48" s="201">
        <v>0.8</v>
      </c>
      <c r="Q48" s="201">
        <v>1</v>
      </c>
      <c r="R48" s="202">
        <v>1.2</v>
      </c>
      <c r="S48" s="382">
        <v>1</v>
      </c>
      <c r="T48" s="190">
        <v>0</v>
      </c>
      <c r="U48" s="193">
        <v>0.8</v>
      </c>
      <c r="V48" s="203">
        <v>1</v>
      </c>
      <c r="W48" s="201">
        <v>1.2</v>
      </c>
      <c r="X48" s="382">
        <v>1</v>
      </c>
      <c r="Y48" s="200">
        <v>0</v>
      </c>
      <c r="Z48" s="201">
        <v>0.8</v>
      </c>
      <c r="AA48" s="201">
        <v>1</v>
      </c>
      <c r="AB48" s="201">
        <v>1.2</v>
      </c>
      <c r="AC48" s="382">
        <v>1</v>
      </c>
      <c r="AD48" s="200">
        <v>0</v>
      </c>
      <c r="AE48" s="201">
        <v>0.8</v>
      </c>
      <c r="AF48" s="201">
        <v>1</v>
      </c>
      <c r="AG48" s="383">
        <v>1.2</v>
      </c>
      <c r="AH48" s="383">
        <v>1</v>
      </c>
      <c r="AI48" s="383">
        <v>0</v>
      </c>
      <c r="AJ48" s="383">
        <v>0.8</v>
      </c>
      <c r="AK48" s="201">
        <v>1</v>
      </c>
      <c r="AL48" s="201">
        <v>1.2</v>
      </c>
      <c r="AM48" s="383">
        <v>1</v>
      </c>
      <c r="AN48" s="383">
        <v>0</v>
      </c>
      <c r="AO48" s="201">
        <v>0.8</v>
      </c>
      <c r="AP48" s="201">
        <v>1</v>
      </c>
      <c r="AQ48" s="201">
        <v>1.2</v>
      </c>
      <c r="AR48" s="382">
        <v>1</v>
      </c>
      <c r="AS48" s="200">
        <v>0</v>
      </c>
      <c r="AT48" s="201">
        <v>0.8</v>
      </c>
      <c r="AU48" s="201">
        <v>1</v>
      </c>
      <c r="AV48" s="193">
        <v>1.2</v>
      </c>
      <c r="AW48" s="382">
        <v>1</v>
      </c>
      <c r="AX48" s="193">
        <v>0</v>
      </c>
      <c r="AY48" s="193">
        <v>0.8</v>
      </c>
      <c r="AZ48" s="193">
        <v>1</v>
      </c>
      <c r="BA48" s="193">
        <v>1.2</v>
      </c>
      <c r="BB48" s="382">
        <v>1</v>
      </c>
      <c r="BC48" s="193">
        <v>0</v>
      </c>
      <c r="BD48" s="193">
        <v>0.8</v>
      </c>
      <c r="BE48" s="193">
        <v>1</v>
      </c>
      <c r="BF48" s="193">
        <v>1.2</v>
      </c>
      <c r="BG48" s="382">
        <v>1</v>
      </c>
      <c r="BH48" s="193">
        <v>0</v>
      </c>
      <c r="BI48" s="193">
        <v>0.8</v>
      </c>
      <c r="BJ48" s="193">
        <v>1</v>
      </c>
      <c r="BK48" s="193">
        <v>1.2</v>
      </c>
      <c r="BL48" s="382">
        <v>1</v>
      </c>
      <c r="BM48" s="193">
        <v>0</v>
      </c>
      <c r="BN48" s="193">
        <v>0.8</v>
      </c>
      <c r="BO48" s="193">
        <v>1</v>
      </c>
      <c r="BP48" s="193">
        <v>1.2</v>
      </c>
      <c r="BQ48" s="382">
        <v>1</v>
      </c>
      <c r="BR48" s="193">
        <v>0</v>
      </c>
      <c r="BS48" s="193">
        <v>0.8</v>
      </c>
      <c r="BT48" s="193">
        <v>1</v>
      </c>
      <c r="BU48" s="193">
        <v>1.2</v>
      </c>
      <c r="BV48" s="382">
        <v>1</v>
      </c>
      <c r="BW48" s="193">
        <v>0</v>
      </c>
      <c r="BX48" s="193">
        <v>0.8</v>
      </c>
      <c r="BY48" s="193">
        <v>1</v>
      </c>
      <c r="BZ48" s="193">
        <v>1.2</v>
      </c>
      <c r="CA48" s="382">
        <v>1</v>
      </c>
      <c r="CB48" s="193">
        <v>0</v>
      </c>
      <c r="CC48" s="193">
        <v>0.8</v>
      </c>
      <c r="CD48" s="193">
        <v>1</v>
      </c>
      <c r="CE48" s="193">
        <v>1.2</v>
      </c>
      <c r="CF48" s="382">
        <v>1</v>
      </c>
      <c r="CG48" s="193">
        <v>0</v>
      </c>
      <c r="CH48" s="193">
        <v>0.8</v>
      </c>
      <c r="CI48" s="193">
        <v>1</v>
      </c>
      <c r="CJ48" s="193">
        <v>1.2</v>
      </c>
      <c r="CK48" s="382">
        <v>1</v>
      </c>
      <c r="CL48" s="193">
        <v>0</v>
      </c>
      <c r="CM48" s="193">
        <v>0.8</v>
      </c>
      <c r="CN48" s="193">
        <v>1</v>
      </c>
      <c r="CO48" s="193">
        <v>1.2</v>
      </c>
      <c r="CP48" s="382">
        <v>1</v>
      </c>
      <c r="CQ48" s="193">
        <v>0</v>
      </c>
      <c r="CR48" s="193">
        <v>0.8</v>
      </c>
      <c r="CS48" s="193">
        <v>1</v>
      </c>
      <c r="CT48" s="193">
        <v>1.2</v>
      </c>
      <c r="CU48" s="382">
        <v>1</v>
      </c>
      <c r="CV48" s="193">
        <v>0</v>
      </c>
      <c r="CW48" s="193">
        <v>0.8</v>
      </c>
      <c r="CX48" s="193">
        <v>1</v>
      </c>
      <c r="CY48" s="193">
        <v>1.2</v>
      </c>
      <c r="CZ48" s="382">
        <v>1</v>
      </c>
      <c r="DA48" s="193">
        <v>0</v>
      </c>
      <c r="DB48" s="193">
        <v>0.8</v>
      </c>
      <c r="DC48" s="193">
        <v>1</v>
      </c>
      <c r="DD48" s="193">
        <v>1.2</v>
      </c>
      <c r="DE48" s="382">
        <v>1</v>
      </c>
      <c r="DF48" s="193">
        <v>0</v>
      </c>
      <c r="DG48" s="193">
        <v>0.8</v>
      </c>
      <c r="DH48" s="193">
        <v>1</v>
      </c>
      <c r="DI48" s="193">
        <v>1.2</v>
      </c>
      <c r="DJ48" s="382">
        <v>1</v>
      </c>
      <c r="DK48" s="193">
        <v>0</v>
      </c>
      <c r="DL48" s="193">
        <v>0.8</v>
      </c>
      <c r="DM48" s="193">
        <v>1</v>
      </c>
      <c r="DN48" s="193">
        <v>1.2</v>
      </c>
      <c r="DO48" s="382">
        <v>1</v>
      </c>
      <c r="DP48" s="193">
        <v>0</v>
      </c>
      <c r="DQ48" s="193">
        <v>0.8</v>
      </c>
      <c r="DR48" s="193">
        <v>1</v>
      </c>
      <c r="DS48" s="193">
        <v>1.2</v>
      </c>
      <c r="DT48" s="382">
        <v>1</v>
      </c>
      <c r="DU48" s="193">
        <v>0</v>
      </c>
      <c r="DV48" s="193">
        <v>0.8</v>
      </c>
      <c r="DW48" s="193">
        <v>1</v>
      </c>
      <c r="DX48" s="193">
        <v>1.2</v>
      </c>
      <c r="DY48" s="382">
        <v>1</v>
      </c>
      <c r="DZ48" s="193">
        <v>0</v>
      </c>
      <c r="EA48" s="193">
        <v>0.8</v>
      </c>
      <c r="EB48" s="193">
        <v>1</v>
      </c>
      <c r="EC48" s="193">
        <v>1.2</v>
      </c>
      <c r="ED48" s="382">
        <v>1</v>
      </c>
      <c r="EE48" s="193">
        <v>0</v>
      </c>
      <c r="EF48" s="193">
        <v>0.8</v>
      </c>
      <c r="EG48" s="193">
        <v>1</v>
      </c>
      <c r="EH48" s="193">
        <v>1.2</v>
      </c>
      <c r="EI48" s="382">
        <v>1</v>
      </c>
      <c r="EJ48" s="193">
        <v>0</v>
      </c>
      <c r="EK48" s="193">
        <v>0.8</v>
      </c>
      <c r="EL48" s="193">
        <v>1</v>
      </c>
      <c r="EM48" s="193">
        <v>1.2</v>
      </c>
      <c r="EN48" s="382">
        <v>1</v>
      </c>
      <c r="EO48" s="193">
        <v>0</v>
      </c>
      <c r="EP48" s="193">
        <v>0.8</v>
      </c>
      <c r="EQ48" s="193">
        <v>1</v>
      </c>
      <c r="ER48" s="193">
        <v>1.2</v>
      </c>
      <c r="ES48" s="382">
        <v>1</v>
      </c>
      <c r="ET48" s="193">
        <v>0</v>
      </c>
      <c r="EU48" s="193">
        <v>0.8</v>
      </c>
      <c r="EV48" s="193">
        <v>1</v>
      </c>
      <c r="EW48" s="193">
        <v>1.2</v>
      </c>
      <c r="EX48" s="382">
        <v>1</v>
      </c>
      <c r="EY48" s="193">
        <v>0</v>
      </c>
      <c r="EZ48" s="193">
        <v>0.8</v>
      </c>
      <c r="FA48" s="193">
        <v>1</v>
      </c>
      <c r="FB48" s="193">
        <v>1.2</v>
      </c>
      <c r="FC48" s="382">
        <v>1</v>
      </c>
      <c r="FD48" s="193">
        <v>0</v>
      </c>
      <c r="FE48" s="193">
        <v>0.8</v>
      </c>
      <c r="FF48" s="193">
        <v>1</v>
      </c>
      <c r="FG48" s="193">
        <v>1.2</v>
      </c>
      <c r="FH48" s="382">
        <v>1</v>
      </c>
      <c r="FI48" s="193">
        <v>0</v>
      </c>
      <c r="FJ48" s="193">
        <v>0.8</v>
      </c>
      <c r="FK48" s="193">
        <v>1</v>
      </c>
      <c r="FL48" s="193">
        <v>1.2</v>
      </c>
      <c r="FM48" s="382">
        <v>1</v>
      </c>
      <c r="FN48" s="193">
        <v>0</v>
      </c>
      <c r="FO48" s="193">
        <v>0.8</v>
      </c>
      <c r="FP48" s="193">
        <v>1</v>
      </c>
      <c r="FQ48" s="193">
        <v>1.2</v>
      </c>
      <c r="FR48" s="382">
        <v>1</v>
      </c>
      <c r="FS48" s="193">
        <v>0</v>
      </c>
      <c r="FT48" s="193">
        <v>0.8</v>
      </c>
      <c r="FU48" s="193">
        <v>1</v>
      </c>
      <c r="FV48" s="193">
        <v>1.2</v>
      </c>
      <c r="FW48" s="382">
        <v>1</v>
      </c>
      <c r="FX48" s="193">
        <v>0</v>
      </c>
      <c r="FY48" s="193">
        <v>0.8</v>
      </c>
      <c r="FZ48" s="193">
        <v>1</v>
      </c>
      <c r="GA48" s="193">
        <v>1.2</v>
      </c>
      <c r="GB48" s="382">
        <v>1</v>
      </c>
      <c r="GC48" s="193">
        <v>0</v>
      </c>
      <c r="GD48" s="193">
        <v>0.8</v>
      </c>
      <c r="GE48" s="193">
        <v>1</v>
      </c>
      <c r="GF48" s="193">
        <v>1.2</v>
      </c>
      <c r="GG48" s="382">
        <v>1</v>
      </c>
      <c r="GH48" s="193">
        <v>0</v>
      </c>
      <c r="GI48" s="193">
        <v>0.8</v>
      </c>
      <c r="GJ48" s="193">
        <v>1</v>
      </c>
      <c r="GK48" s="193">
        <v>1.2</v>
      </c>
      <c r="GL48" s="382">
        <v>1</v>
      </c>
      <c r="GM48" s="193">
        <v>0</v>
      </c>
      <c r="GN48" s="193">
        <v>0.8</v>
      </c>
      <c r="GO48" s="193">
        <v>1</v>
      </c>
      <c r="GP48" s="187">
        <v>1.2</v>
      </c>
      <c r="GQ48" s="382">
        <v>1</v>
      </c>
    </row>
    <row r="49" spans="1:199">
      <c r="A49" s="195"/>
      <c r="B49" s="188"/>
      <c r="C49" s="188"/>
      <c r="D49" s="188" t="s">
        <v>230</v>
      </c>
      <c r="E49" s="190">
        <v>0</v>
      </c>
      <c r="F49" s="193">
        <v>0.9</v>
      </c>
      <c r="G49" s="203">
        <v>1</v>
      </c>
      <c r="H49" s="201">
        <v>1.1000000000000001</v>
      </c>
      <c r="I49" s="383">
        <v>1</v>
      </c>
      <c r="J49" s="383">
        <v>0</v>
      </c>
      <c r="K49" s="201">
        <v>0.9</v>
      </c>
      <c r="L49" s="201">
        <v>1</v>
      </c>
      <c r="M49" s="201">
        <v>1.1000000000000001</v>
      </c>
      <c r="N49" s="383">
        <v>1</v>
      </c>
      <c r="O49" s="383">
        <v>0</v>
      </c>
      <c r="P49" s="201">
        <v>0.9</v>
      </c>
      <c r="Q49" s="201">
        <v>1</v>
      </c>
      <c r="R49" s="202">
        <v>1.1000000000000001</v>
      </c>
      <c r="S49" s="382">
        <v>1</v>
      </c>
      <c r="T49" s="190">
        <v>0</v>
      </c>
      <c r="U49" s="193">
        <v>0.9</v>
      </c>
      <c r="V49" s="203">
        <v>1</v>
      </c>
      <c r="W49" s="201">
        <v>1.1000000000000001</v>
      </c>
      <c r="X49" s="382">
        <v>1</v>
      </c>
      <c r="Y49" s="200">
        <v>0</v>
      </c>
      <c r="Z49" s="201">
        <v>0.9</v>
      </c>
      <c r="AA49" s="201">
        <v>1</v>
      </c>
      <c r="AB49" s="201">
        <v>1.1000000000000001</v>
      </c>
      <c r="AC49" s="382">
        <v>1</v>
      </c>
      <c r="AD49" s="200">
        <v>0</v>
      </c>
      <c r="AE49" s="201">
        <v>0.9</v>
      </c>
      <c r="AF49" s="201">
        <v>1</v>
      </c>
      <c r="AG49" s="383">
        <v>1.1000000000000001</v>
      </c>
      <c r="AH49" s="383">
        <v>1</v>
      </c>
      <c r="AI49" s="383">
        <v>0</v>
      </c>
      <c r="AJ49" s="383">
        <v>0.9</v>
      </c>
      <c r="AK49" s="201">
        <v>1</v>
      </c>
      <c r="AL49" s="201">
        <v>1.1000000000000001</v>
      </c>
      <c r="AM49" s="383">
        <v>1</v>
      </c>
      <c r="AN49" s="383">
        <v>0</v>
      </c>
      <c r="AO49" s="201">
        <v>0.9</v>
      </c>
      <c r="AP49" s="201">
        <v>1</v>
      </c>
      <c r="AQ49" s="201">
        <v>1.1000000000000001</v>
      </c>
      <c r="AR49" s="382">
        <v>1</v>
      </c>
      <c r="AS49" s="200">
        <v>0</v>
      </c>
      <c r="AT49" s="201">
        <v>0.9</v>
      </c>
      <c r="AU49" s="201">
        <v>1</v>
      </c>
      <c r="AV49" s="193">
        <v>1.1000000000000001</v>
      </c>
      <c r="AW49" s="382">
        <v>1</v>
      </c>
      <c r="AX49" s="193">
        <v>0</v>
      </c>
      <c r="AY49" s="193">
        <v>0.9</v>
      </c>
      <c r="AZ49" s="193">
        <v>1</v>
      </c>
      <c r="BA49" s="193">
        <v>1.1000000000000001</v>
      </c>
      <c r="BB49" s="382">
        <v>1</v>
      </c>
      <c r="BC49" s="193">
        <v>0</v>
      </c>
      <c r="BD49" s="193">
        <v>0.9</v>
      </c>
      <c r="BE49" s="193">
        <v>1</v>
      </c>
      <c r="BF49" s="193">
        <v>1.1000000000000001</v>
      </c>
      <c r="BG49" s="382">
        <v>1</v>
      </c>
      <c r="BH49" s="193">
        <v>0</v>
      </c>
      <c r="BI49" s="193">
        <v>0.9</v>
      </c>
      <c r="BJ49" s="193">
        <v>1</v>
      </c>
      <c r="BK49" s="193">
        <v>1.1000000000000001</v>
      </c>
      <c r="BL49" s="382">
        <v>1</v>
      </c>
      <c r="BM49" s="193">
        <v>0</v>
      </c>
      <c r="BN49" s="193">
        <v>0.9</v>
      </c>
      <c r="BO49" s="193">
        <v>1</v>
      </c>
      <c r="BP49" s="193">
        <v>1.1000000000000001</v>
      </c>
      <c r="BQ49" s="382">
        <v>1</v>
      </c>
      <c r="BR49" s="193">
        <v>0</v>
      </c>
      <c r="BS49" s="193">
        <v>0.9</v>
      </c>
      <c r="BT49" s="193">
        <v>1</v>
      </c>
      <c r="BU49" s="193">
        <v>1.1000000000000001</v>
      </c>
      <c r="BV49" s="382">
        <v>1</v>
      </c>
      <c r="BW49" s="193">
        <v>0</v>
      </c>
      <c r="BX49" s="193">
        <v>0.9</v>
      </c>
      <c r="BY49" s="193">
        <v>1</v>
      </c>
      <c r="BZ49" s="193">
        <v>1.1000000000000001</v>
      </c>
      <c r="CA49" s="382">
        <v>1</v>
      </c>
      <c r="CB49" s="193">
        <v>0</v>
      </c>
      <c r="CC49" s="193">
        <v>0.9</v>
      </c>
      <c r="CD49" s="193">
        <v>1</v>
      </c>
      <c r="CE49" s="193">
        <v>1.1000000000000001</v>
      </c>
      <c r="CF49" s="382">
        <v>1</v>
      </c>
      <c r="CG49" s="193">
        <v>0</v>
      </c>
      <c r="CH49" s="193">
        <v>0.9</v>
      </c>
      <c r="CI49" s="193">
        <v>1</v>
      </c>
      <c r="CJ49" s="193">
        <v>1.1000000000000001</v>
      </c>
      <c r="CK49" s="382">
        <v>1</v>
      </c>
      <c r="CL49" s="193">
        <v>0</v>
      </c>
      <c r="CM49" s="193">
        <v>0.9</v>
      </c>
      <c r="CN49" s="193">
        <v>1</v>
      </c>
      <c r="CO49" s="193">
        <v>1.1000000000000001</v>
      </c>
      <c r="CP49" s="382">
        <v>1</v>
      </c>
      <c r="CQ49" s="193">
        <v>0</v>
      </c>
      <c r="CR49" s="193">
        <v>0.9</v>
      </c>
      <c r="CS49" s="193">
        <v>1</v>
      </c>
      <c r="CT49" s="193">
        <v>1.1000000000000001</v>
      </c>
      <c r="CU49" s="382">
        <v>1</v>
      </c>
      <c r="CV49" s="193">
        <v>0</v>
      </c>
      <c r="CW49" s="193">
        <v>0.9</v>
      </c>
      <c r="CX49" s="193">
        <v>1</v>
      </c>
      <c r="CY49" s="193">
        <v>1.1000000000000001</v>
      </c>
      <c r="CZ49" s="382">
        <v>1</v>
      </c>
      <c r="DA49" s="193">
        <v>0</v>
      </c>
      <c r="DB49" s="193">
        <v>0.9</v>
      </c>
      <c r="DC49" s="193">
        <v>1</v>
      </c>
      <c r="DD49" s="193">
        <v>1.1000000000000001</v>
      </c>
      <c r="DE49" s="382">
        <v>1</v>
      </c>
      <c r="DF49" s="193">
        <v>0</v>
      </c>
      <c r="DG49" s="193">
        <v>0.9</v>
      </c>
      <c r="DH49" s="193">
        <v>1</v>
      </c>
      <c r="DI49" s="193">
        <v>1.1000000000000001</v>
      </c>
      <c r="DJ49" s="382">
        <v>1</v>
      </c>
      <c r="DK49" s="193">
        <v>0</v>
      </c>
      <c r="DL49" s="193">
        <v>0.9</v>
      </c>
      <c r="DM49" s="193">
        <v>1</v>
      </c>
      <c r="DN49" s="193">
        <v>1.1000000000000001</v>
      </c>
      <c r="DO49" s="382">
        <v>1</v>
      </c>
      <c r="DP49" s="193">
        <v>0</v>
      </c>
      <c r="DQ49" s="193">
        <v>0.9</v>
      </c>
      <c r="DR49" s="193">
        <v>1</v>
      </c>
      <c r="DS49" s="193">
        <v>1.1000000000000001</v>
      </c>
      <c r="DT49" s="382">
        <v>1</v>
      </c>
      <c r="DU49" s="193">
        <v>0</v>
      </c>
      <c r="DV49" s="193">
        <v>0.9</v>
      </c>
      <c r="DW49" s="193">
        <v>1</v>
      </c>
      <c r="DX49" s="193">
        <v>1.1000000000000001</v>
      </c>
      <c r="DY49" s="382">
        <v>1</v>
      </c>
      <c r="DZ49" s="193">
        <v>0</v>
      </c>
      <c r="EA49" s="193">
        <v>0.9</v>
      </c>
      <c r="EB49" s="193">
        <v>1</v>
      </c>
      <c r="EC49" s="193">
        <v>1.1000000000000001</v>
      </c>
      <c r="ED49" s="382">
        <v>1</v>
      </c>
      <c r="EE49" s="193">
        <v>0</v>
      </c>
      <c r="EF49" s="193">
        <v>0.9</v>
      </c>
      <c r="EG49" s="193">
        <v>1</v>
      </c>
      <c r="EH49" s="193">
        <v>1.1000000000000001</v>
      </c>
      <c r="EI49" s="382">
        <v>1</v>
      </c>
      <c r="EJ49" s="193">
        <v>0</v>
      </c>
      <c r="EK49" s="193">
        <v>0.9</v>
      </c>
      <c r="EL49" s="193">
        <v>1</v>
      </c>
      <c r="EM49" s="193">
        <v>1.1000000000000001</v>
      </c>
      <c r="EN49" s="382">
        <v>1</v>
      </c>
      <c r="EO49" s="193">
        <v>0</v>
      </c>
      <c r="EP49" s="193">
        <v>0.9</v>
      </c>
      <c r="EQ49" s="193">
        <v>1</v>
      </c>
      <c r="ER49" s="193">
        <v>1.1000000000000001</v>
      </c>
      <c r="ES49" s="382">
        <v>1</v>
      </c>
      <c r="ET49" s="193">
        <v>0</v>
      </c>
      <c r="EU49" s="193">
        <v>0.9</v>
      </c>
      <c r="EV49" s="193">
        <v>1</v>
      </c>
      <c r="EW49" s="193">
        <v>1.1000000000000001</v>
      </c>
      <c r="EX49" s="382">
        <v>1</v>
      </c>
      <c r="EY49" s="193">
        <v>0</v>
      </c>
      <c r="EZ49" s="193">
        <v>0.9</v>
      </c>
      <c r="FA49" s="193">
        <v>1</v>
      </c>
      <c r="FB49" s="193">
        <v>1.1000000000000001</v>
      </c>
      <c r="FC49" s="382">
        <v>1</v>
      </c>
      <c r="FD49" s="193">
        <v>0</v>
      </c>
      <c r="FE49" s="193">
        <v>0.9</v>
      </c>
      <c r="FF49" s="193">
        <v>1</v>
      </c>
      <c r="FG49" s="193">
        <v>1.1000000000000001</v>
      </c>
      <c r="FH49" s="382">
        <v>1</v>
      </c>
      <c r="FI49" s="193">
        <v>0</v>
      </c>
      <c r="FJ49" s="193">
        <v>0.9</v>
      </c>
      <c r="FK49" s="193">
        <v>1</v>
      </c>
      <c r="FL49" s="193">
        <v>1.1000000000000001</v>
      </c>
      <c r="FM49" s="382">
        <v>1</v>
      </c>
      <c r="FN49" s="193">
        <v>0</v>
      </c>
      <c r="FO49" s="193">
        <v>0.9</v>
      </c>
      <c r="FP49" s="193">
        <v>1</v>
      </c>
      <c r="FQ49" s="193">
        <v>1.1000000000000001</v>
      </c>
      <c r="FR49" s="382">
        <v>1</v>
      </c>
      <c r="FS49" s="193">
        <v>0</v>
      </c>
      <c r="FT49" s="193">
        <v>0.9</v>
      </c>
      <c r="FU49" s="193">
        <v>1</v>
      </c>
      <c r="FV49" s="193">
        <v>1.1000000000000001</v>
      </c>
      <c r="FW49" s="382">
        <v>1</v>
      </c>
      <c r="FX49" s="193">
        <v>0</v>
      </c>
      <c r="FY49" s="193">
        <v>0.9</v>
      </c>
      <c r="FZ49" s="193">
        <v>1</v>
      </c>
      <c r="GA49" s="193">
        <v>1.1000000000000001</v>
      </c>
      <c r="GB49" s="382">
        <v>1</v>
      </c>
      <c r="GC49" s="193">
        <v>0</v>
      </c>
      <c r="GD49" s="193">
        <v>0.9</v>
      </c>
      <c r="GE49" s="193">
        <v>1</v>
      </c>
      <c r="GF49" s="193">
        <v>1.1000000000000001</v>
      </c>
      <c r="GG49" s="382">
        <v>1</v>
      </c>
      <c r="GH49" s="193">
        <v>0</v>
      </c>
      <c r="GI49" s="193">
        <v>0.9</v>
      </c>
      <c r="GJ49" s="193">
        <v>1</v>
      </c>
      <c r="GK49" s="193">
        <v>1.1000000000000001</v>
      </c>
      <c r="GL49" s="382">
        <v>1</v>
      </c>
      <c r="GM49" s="193">
        <v>0</v>
      </c>
      <c r="GN49" s="193">
        <v>0.9</v>
      </c>
      <c r="GO49" s="193">
        <v>1</v>
      </c>
      <c r="GP49" s="187">
        <v>1.1000000000000001</v>
      </c>
      <c r="GQ49" s="382">
        <v>1</v>
      </c>
    </row>
    <row r="50" spans="1:199">
      <c r="A50" s="195"/>
      <c r="B50" s="188"/>
      <c r="C50" s="188"/>
      <c r="D50" s="188" t="s">
        <v>231</v>
      </c>
      <c r="E50" s="190">
        <v>0</v>
      </c>
      <c r="F50" s="193">
        <v>0.9</v>
      </c>
      <c r="G50" s="203">
        <v>1</v>
      </c>
      <c r="H50" s="201">
        <v>1.1000000000000001</v>
      </c>
      <c r="I50" s="383">
        <v>1</v>
      </c>
      <c r="J50" s="383">
        <v>0</v>
      </c>
      <c r="K50" s="201">
        <v>0</v>
      </c>
      <c r="L50" s="201">
        <v>1</v>
      </c>
      <c r="M50" s="201">
        <v>1.1000000000000001</v>
      </c>
      <c r="N50" s="383">
        <v>1</v>
      </c>
      <c r="O50" s="383">
        <v>0</v>
      </c>
      <c r="P50" s="201">
        <v>0.9</v>
      </c>
      <c r="Q50" s="201">
        <v>1</v>
      </c>
      <c r="R50" s="202">
        <v>1.1000000000000001</v>
      </c>
      <c r="S50" s="382">
        <v>1</v>
      </c>
      <c r="T50" s="190">
        <v>0</v>
      </c>
      <c r="U50" s="193">
        <v>0.9</v>
      </c>
      <c r="V50" s="203">
        <v>1</v>
      </c>
      <c r="W50" s="201">
        <v>1.1000000000000001</v>
      </c>
      <c r="X50" s="382">
        <v>1</v>
      </c>
      <c r="Y50" s="200">
        <v>0</v>
      </c>
      <c r="Z50" s="201">
        <v>0</v>
      </c>
      <c r="AA50" s="201">
        <v>1</v>
      </c>
      <c r="AB50" s="201">
        <v>1.1000000000000001</v>
      </c>
      <c r="AC50" s="382">
        <v>1</v>
      </c>
      <c r="AD50" s="200">
        <v>0</v>
      </c>
      <c r="AE50" s="201">
        <v>0.9</v>
      </c>
      <c r="AF50" s="201">
        <v>1</v>
      </c>
      <c r="AG50" s="383">
        <v>1.1000000000000001</v>
      </c>
      <c r="AH50" s="383">
        <v>1</v>
      </c>
      <c r="AI50" s="383">
        <v>0</v>
      </c>
      <c r="AJ50" s="383">
        <v>0.9</v>
      </c>
      <c r="AK50" s="201">
        <v>1</v>
      </c>
      <c r="AL50" s="201">
        <v>1.1000000000000001</v>
      </c>
      <c r="AM50" s="383">
        <v>1</v>
      </c>
      <c r="AN50" s="383">
        <v>0</v>
      </c>
      <c r="AO50" s="201">
        <v>0</v>
      </c>
      <c r="AP50" s="201">
        <v>1</v>
      </c>
      <c r="AQ50" s="201">
        <v>1.1000000000000001</v>
      </c>
      <c r="AR50" s="382">
        <v>1</v>
      </c>
      <c r="AS50" s="200">
        <v>0</v>
      </c>
      <c r="AT50" s="201">
        <v>0.9</v>
      </c>
      <c r="AU50" s="201">
        <v>1</v>
      </c>
      <c r="AV50" s="193">
        <v>1.1000000000000001</v>
      </c>
      <c r="AW50" s="382">
        <v>1</v>
      </c>
      <c r="AX50" s="193">
        <v>0</v>
      </c>
      <c r="AY50" s="193">
        <v>0.9</v>
      </c>
      <c r="AZ50" s="193">
        <v>1</v>
      </c>
      <c r="BA50" s="193">
        <v>1.1000000000000001</v>
      </c>
      <c r="BB50" s="382">
        <v>1</v>
      </c>
      <c r="BC50" s="193">
        <v>0</v>
      </c>
      <c r="BD50" s="193">
        <v>0</v>
      </c>
      <c r="BE50" s="193">
        <v>1</v>
      </c>
      <c r="BF50" s="193">
        <v>1.1000000000000001</v>
      </c>
      <c r="BG50" s="382">
        <v>1</v>
      </c>
      <c r="BH50" s="193">
        <v>0</v>
      </c>
      <c r="BI50" s="193">
        <v>0.9</v>
      </c>
      <c r="BJ50" s="193">
        <v>1</v>
      </c>
      <c r="BK50" s="193">
        <v>1.1000000000000001</v>
      </c>
      <c r="BL50" s="382">
        <v>1</v>
      </c>
      <c r="BM50" s="193">
        <v>0</v>
      </c>
      <c r="BN50" s="193">
        <v>0.9</v>
      </c>
      <c r="BO50" s="193">
        <v>1</v>
      </c>
      <c r="BP50" s="193">
        <v>1.1000000000000001</v>
      </c>
      <c r="BQ50" s="382">
        <v>1</v>
      </c>
      <c r="BR50" s="193">
        <v>0</v>
      </c>
      <c r="BS50" s="193">
        <v>0</v>
      </c>
      <c r="BT50" s="193">
        <v>1</v>
      </c>
      <c r="BU50" s="193">
        <v>1.1000000000000001</v>
      </c>
      <c r="BV50" s="382">
        <v>1</v>
      </c>
      <c r="BW50" s="193">
        <v>0</v>
      </c>
      <c r="BX50" s="193">
        <v>0.9</v>
      </c>
      <c r="BY50" s="193">
        <v>1</v>
      </c>
      <c r="BZ50" s="193">
        <v>1.1000000000000001</v>
      </c>
      <c r="CA50" s="382">
        <v>1</v>
      </c>
      <c r="CB50" s="193">
        <v>0</v>
      </c>
      <c r="CC50" s="193">
        <v>0.9</v>
      </c>
      <c r="CD50" s="193">
        <v>1</v>
      </c>
      <c r="CE50" s="193">
        <v>1.1000000000000001</v>
      </c>
      <c r="CF50" s="382">
        <v>1</v>
      </c>
      <c r="CG50" s="193">
        <v>0</v>
      </c>
      <c r="CH50" s="193">
        <v>0</v>
      </c>
      <c r="CI50" s="193">
        <v>1</v>
      </c>
      <c r="CJ50" s="193">
        <v>1.1000000000000001</v>
      </c>
      <c r="CK50" s="382">
        <v>1</v>
      </c>
      <c r="CL50" s="193">
        <v>0</v>
      </c>
      <c r="CM50" s="193">
        <v>0.9</v>
      </c>
      <c r="CN50" s="193">
        <v>1</v>
      </c>
      <c r="CO50" s="193">
        <v>1.1000000000000001</v>
      </c>
      <c r="CP50" s="382">
        <v>1</v>
      </c>
      <c r="CQ50" s="193">
        <v>0</v>
      </c>
      <c r="CR50" s="193">
        <v>0.9</v>
      </c>
      <c r="CS50" s="193">
        <v>1</v>
      </c>
      <c r="CT50" s="193">
        <v>1.1000000000000001</v>
      </c>
      <c r="CU50" s="382">
        <v>1</v>
      </c>
      <c r="CV50" s="193">
        <v>0</v>
      </c>
      <c r="CW50" s="193">
        <v>0</v>
      </c>
      <c r="CX50" s="193">
        <v>1</v>
      </c>
      <c r="CY50" s="193">
        <v>1.1000000000000001</v>
      </c>
      <c r="CZ50" s="382">
        <v>1</v>
      </c>
      <c r="DA50" s="193">
        <v>0</v>
      </c>
      <c r="DB50" s="193">
        <v>0.9</v>
      </c>
      <c r="DC50" s="193">
        <v>1</v>
      </c>
      <c r="DD50" s="193">
        <v>1.1000000000000001</v>
      </c>
      <c r="DE50" s="382">
        <v>1</v>
      </c>
      <c r="DF50" s="193">
        <v>0</v>
      </c>
      <c r="DG50" s="193">
        <v>0.9</v>
      </c>
      <c r="DH50" s="193">
        <v>1</v>
      </c>
      <c r="DI50" s="193">
        <v>1.1000000000000001</v>
      </c>
      <c r="DJ50" s="382">
        <v>1</v>
      </c>
      <c r="DK50" s="193">
        <v>0</v>
      </c>
      <c r="DL50" s="193">
        <v>0</v>
      </c>
      <c r="DM50" s="193">
        <v>1</v>
      </c>
      <c r="DN50" s="193">
        <v>1.1000000000000001</v>
      </c>
      <c r="DO50" s="382">
        <v>1</v>
      </c>
      <c r="DP50" s="193">
        <v>0</v>
      </c>
      <c r="DQ50" s="193">
        <v>0.9</v>
      </c>
      <c r="DR50" s="193">
        <v>1</v>
      </c>
      <c r="DS50" s="193">
        <v>1.1000000000000001</v>
      </c>
      <c r="DT50" s="382">
        <v>1</v>
      </c>
      <c r="DU50" s="193">
        <v>0</v>
      </c>
      <c r="DV50" s="193">
        <v>0.9</v>
      </c>
      <c r="DW50" s="193">
        <v>1</v>
      </c>
      <c r="DX50" s="193">
        <v>1.1000000000000001</v>
      </c>
      <c r="DY50" s="382">
        <v>1</v>
      </c>
      <c r="DZ50" s="193">
        <v>0</v>
      </c>
      <c r="EA50" s="193">
        <v>0</v>
      </c>
      <c r="EB50" s="193">
        <v>1</v>
      </c>
      <c r="EC50" s="193">
        <v>1.1000000000000001</v>
      </c>
      <c r="ED50" s="382">
        <v>1</v>
      </c>
      <c r="EE50" s="193">
        <v>0</v>
      </c>
      <c r="EF50" s="193">
        <v>0.9</v>
      </c>
      <c r="EG50" s="193">
        <v>1</v>
      </c>
      <c r="EH50" s="193">
        <v>1.1000000000000001</v>
      </c>
      <c r="EI50" s="382">
        <v>1</v>
      </c>
      <c r="EJ50" s="193">
        <v>0</v>
      </c>
      <c r="EK50" s="193">
        <v>0.9</v>
      </c>
      <c r="EL50" s="193">
        <v>1</v>
      </c>
      <c r="EM50" s="193">
        <v>1.1000000000000001</v>
      </c>
      <c r="EN50" s="382">
        <v>1</v>
      </c>
      <c r="EO50" s="193">
        <v>0</v>
      </c>
      <c r="EP50" s="193">
        <v>0</v>
      </c>
      <c r="EQ50" s="193">
        <v>1</v>
      </c>
      <c r="ER50" s="193">
        <v>1.1000000000000001</v>
      </c>
      <c r="ES50" s="382">
        <v>1</v>
      </c>
      <c r="ET50" s="193">
        <v>0</v>
      </c>
      <c r="EU50" s="193">
        <v>0.9</v>
      </c>
      <c r="EV50" s="193">
        <v>1</v>
      </c>
      <c r="EW50" s="193">
        <v>1.1000000000000001</v>
      </c>
      <c r="EX50" s="382">
        <v>1</v>
      </c>
      <c r="EY50" s="193">
        <v>0</v>
      </c>
      <c r="EZ50" s="193">
        <v>0.9</v>
      </c>
      <c r="FA50" s="193">
        <v>1</v>
      </c>
      <c r="FB50" s="193">
        <v>1.1000000000000001</v>
      </c>
      <c r="FC50" s="382">
        <v>1</v>
      </c>
      <c r="FD50" s="193">
        <v>0</v>
      </c>
      <c r="FE50" s="193">
        <v>0</v>
      </c>
      <c r="FF50" s="193">
        <v>1</v>
      </c>
      <c r="FG50" s="193">
        <v>1.1000000000000001</v>
      </c>
      <c r="FH50" s="382">
        <v>1</v>
      </c>
      <c r="FI50" s="193">
        <v>0</v>
      </c>
      <c r="FJ50" s="193">
        <v>0.9</v>
      </c>
      <c r="FK50" s="193">
        <v>1</v>
      </c>
      <c r="FL50" s="193">
        <v>1.1000000000000001</v>
      </c>
      <c r="FM50" s="382">
        <v>1</v>
      </c>
      <c r="FN50" s="193">
        <v>0</v>
      </c>
      <c r="FO50" s="193">
        <v>0.9</v>
      </c>
      <c r="FP50" s="193">
        <v>1</v>
      </c>
      <c r="FQ50" s="193">
        <v>1.1000000000000001</v>
      </c>
      <c r="FR50" s="382">
        <v>1</v>
      </c>
      <c r="FS50" s="193">
        <v>0</v>
      </c>
      <c r="FT50" s="193">
        <v>0</v>
      </c>
      <c r="FU50" s="193">
        <v>1</v>
      </c>
      <c r="FV50" s="193">
        <v>1.1000000000000001</v>
      </c>
      <c r="FW50" s="382">
        <v>1</v>
      </c>
      <c r="FX50" s="193">
        <v>0</v>
      </c>
      <c r="FY50" s="193">
        <v>0.9</v>
      </c>
      <c r="FZ50" s="193">
        <v>1</v>
      </c>
      <c r="GA50" s="193">
        <v>1.1000000000000001</v>
      </c>
      <c r="GB50" s="382">
        <v>1</v>
      </c>
      <c r="GC50" s="193">
        <v>0</v>
      </c>
      <c r="GD50" s="193">
        <v>0.9</v>
      </c>
      <c r="GE50" s="193">
        <v>1</v>
      </c>
      <c r="GF50" s="193">
        <v>1.1000000000000001</v>
      </c>
      <c r="GG50" s="382">
        <v>1</v>
      </c>
      <c r="GH50" s="193">
        <v>0</v>
      </c>
      <c r="GI50" s="193">
        <v>0</v>
      </c>
      <c r="GJ50" s="193">
        <v>1</v>
      </c>
      <c r="GK50" s="193">
        <v>1.1000000000000001</v>
      </c>
      <c r="GL50" s="382">
        <v>1</v>
      </c>
      <c r="GM50" s="193">
        <v>0</v>
      </c>
      <c r="GN50" s="193">
        <v>0.9</v>
      </c>
      <c r="GO50" s="193">
        <v>1</v>
      </c>
      <c r="GP50" s="187">
        <v>1.1000000000000001</v>
      </c>
      <c r="GQ50" s="382">
        <v>1</v>
      </c>
    </row>
    <row r="51" spans="1:199">
      <c r="A51" s="195"/>
      <c r="B51" s="188"/>
      <c r="C51" s="188"/>
      <c r="D51" s="188" t="s">
        <v>237</v>
      </c>
      <c r="E51" s="190">
        <v>0</v>
      </c>
      <c r="F51" s="193">
        <v>0.9</v>
      </c>
      <c r="G51" s="203">
        <v>1</v>
      </c>
      <c r="H51" s="201">
        <v>1.1000000000000001</v>
      </c>
      <c r="I51" s="383">
        <v>1</v>
      </c>
      <c r="J51" s="383">
        <v>0</v>
      </c>
      <c r="K51" s="201">
        <v>0</v>
      </c>
      <c r="L51" s="201">
        <v>1</v>
      </c>
      <c r="M51" s="201">
        <v>1.1000000000000001</v>
      </c>
      <c r="N51" s="383">
        <v>1</v>
      </c>
      <c r="O51" s="383">
        <v>0</v>
      </c>
      <c r="P51" s="201">
        <v>0.9</v>
      </c>
      <c r="Q51" s="201">
        <v>1</v>
      </c>
      <c r="R51" s="202">
        <v>1.1000000000000001</v>
      </c>
      <c r="S51" s="382">
        <v>1</v>
      </c>
      <c r="T51" s="190">
        <v>0</v>
      </c>
      <c r="U51" s="193">
        <v>0.9</v>
      </c>
      <c r="V51" s="203">
        <v>1</v>
      </c>
      <c r="W51" s="201">
        <v>1.1000000000000001</v>
      </c>
      <c r="X51" s="382">
        <v>1</v>
      </c>
      <c r="Y51" s="200">
        <v>0</v>
      </c>
      <c r="Z51" s="201">
        <v>0</v>
      </c>
      <c r="AA51" s="201">
        <v>1</v>
      </c>
      <c r="AB51" s="201">
        <v>1.1000000000000001</v>
      </c>
      <c r="AC51" s="382">
        <v>1</v>
      </c>
      <c r="AD51" s="200">
        <v>0</v>
      </c>
      <c r="AE51" s="201">
        <v>0.9</v>
      </c>
      <c r="AF51" s="201">
        <v>1</v>
      </c>
      <c r="AG51" s="383">
        <v>1.1000000000000001</v>
      </c>
      <c r="AH51" s="383">
        <v>1</v>
      </c>
      <c r="AI51" s="383">
        <v>0</v>
      </c>
      <c r="AJ51" s="383">
        <v>0.9</v>
      </c>
      <c r="AK51" s="201">
        <v>1</v>
      </c>
      <c r="AL51" s="201">
        <v>1.1000000000000001</v>
      </c>
      <c r="AM51" s="383">
        <v>1</v>
      </c>
      <c r="AN51" s="383">
        <v>0</v>
      </c>
      <c r="AO51" s="201">
        <v>0</v>
      </c>
      <c r="AP51" s="201">
        <v>1</v>
      </c>
      <c r="AQ51" s="201">
        <v>1.1000000000000001</v>
      </c>
      <c r="AR51" s="382">
        <v>1</v>
      </c>
      <c r="AS51" s="200">
        <v>0</v>
      </c>
      <c r="AT51" s="201">
        <v>0.9</v>
      </c>
      <c r="AU51" s="201">
        <v>1</v>
      </c>
      <c r="AV51" s="193">
        <v>1.1000000000000001</v>
      </c>
      <c r="AW51" s="382">
        <v>1</v>
      </c>
      <c r="AX51" s="193">
        <v>0</v>
      </c>
      <c r="AY51" s="193">
        <v>0.9</v>
      </c>
      <c r="AZ51" s="193">
        <v>1</v>
      </c>
      <c r="BA51" s="193">
        <v>1.1000000000000001</v>
      </c>
      <c r="BB51" s="382">
        <v>1</v>
      </c>
      <c r="BC51" s="193">
        <v>0</v>
      </c>
      <c r="BD51" s="193">
        <v>0</v>
      </c>
      <c r="BE51" s="193">
        <v>1</v>
      </c>
      <c r="BF51" s="193">
        <v>1.1000000000000001</v>
      </c>
      <c r="BG51" s="382">
        <v>1</v>
      </c>
      <c r="BH51" s="193">
        <v>0</v>
      </c>
      <c r="BI51" s="193">
        <v>0.9</v>
      </c>
      <c r="BJ51" s="193">
        <v>1</v>
      </c>
      <c r="BK51" s="193">
        <v>1.1000000000000001</v>
      </c>
      <c r="BL51" s="382">
        <v>1</v>
      </c>
      <c r="BM51" s="193">
        <v>0</v>
      </c>
      <c r="BN51" s="193">
        <v>0.9</v>
      </c>
      <c r="BO51" s="193">
        <v>1</v>
      </c>
      <c r="BP51" s="193">
        <v>1.1000000000000001</v>
      </c>
      <c r="BQ51" s="382">
        <v>1</v>
      </c>
      <c r="BR51" s="193">
        <v>0</v>
      </c>
      <c r="BS51" s="193">
        <v>0</v>
      </c>
      <c r="BT51" s="193">
        <v>1</v>
      </c>
      <c r="BU51" s="193">
        <v>1.1000000000000001</v>
      </c>
      <c r="BV51" s="382">
        <v>1</v>
      </c>
      <c r="BW51" s="193">
        <v>0</v>
      </c>
      <c r="BX51" s="193">
        <v>0.9</v>
      </c>
      <c r="BY51" s="193">
        <v>1</v>
      </c>
      <c r="BZ51" s="193">
        <v>1.1000000000000001</v>
      </c>
      <c r="CA51" s="382">
        <v>1</v>
      </c>
      <c r="CB51" s="193">
        <v>0</v>
      </c>
      <c r="CC51" s="193">
        <v>0.9</v>
      </c>
      <c r="CD51" s="193">
        <v>1</v>
      </c>
      <c r="CE51" s="193">
        <v>1.1000000000000001</v>
      </c>
      <c r="CF51" s="382">
        <v>1</v>
      </c>
      <c r="CG51" s="193">
        <v>0</v>
      </c>
      <c r="CH51" s="193">
        <v>0</v>
      </c>
      <c r="CI51" s="193">
        <v>1</v>
      </c>
      <c r="CJ51" s="193">
        <v>1.1000000000000001</v>
      </c>
      <c r="CK51" s="382">
        <v>1</v>
      </c>
      <c r="CL51" s="193">
        <v>0</v>
      </c>
      <c r="CM51" s="193">
        <v>0.9</v>
      </c>
      <c r="CN51" s="193">
        <v>1</v>
      </c>
      <c r="CO51" s="193">
        <v>1.1000000000000001</v>
      </c>
      <c r="CP51" s="382">
        <v>1</v>
      </c>
      <c r="CQ51" s="193">
        <v>0</v>
      </c>
      <c r="CR51" s="193">
        <v>0.9</v>
      </c>
      <c r="CS51" s="193">
        <v>1</v>
      </c>
      <c r="CT51" s="193">
        <v>1.1000000000000001</v>
      </c>
      <c r="CU51" s="382">
        <v>1</v>
      </c>
      <c r="CV51" s="193">
        <v>0</v>
      </c>
      <c r="CW51" s="193">
        <v>0</v>
      </c>
      <c r="CX51" s="193">
        <v>1</v>
      </c>
      <c r="CY51" s="193">
        <v>1.1000000000000001</v>
      </c>
      <c r="CZ51" s="382">
        <v>1</v>
      </c>
      <c r="DA51" s="193">
        <v>0</v>
      </c>
      <c r="DB51" s="193">
        <v>0.9</v>
      </c>
      <c r="DC51" s="193">
        <v>1</v>
      </c>
      <c r="DD51" s="193">
        <v>1.1000000000000001</v>
      </c>
      <c r="DE51" s="382">
        <v>1</v>
      </c>
      <c r="DF51" s="193">
        <v>0</v>
      </c>
      <c r="DG51" s="193">
        <v>0.9</v>
      </c>
      <c r="DH51" s="193">
        <v>1</v>
      </c>
      <c r="DI51" s="193">
        <v>1.1000000000000001</v>
      </c>
      <c r="DJ51" s="382">
        <v>1</v>
      </c>
      <c r="DK51" s="193">
        <v>0</v>
      </c>
      <c r="DL51" s="193">
        <v>0</v>
      </c>
      <c r="DM51" s="193">
        <v>1</v>
      </c>
      <c r="DN51" s="193">
        <v>1.1000000000000001</v>
      </c>
      <c r="DO51" s="382">
        <v>1</v>
      </c>
      <c r="DP51" s="193">
        <v>0</v>
      </c>
      <c r="DQ51" s="193">
        <v>0.9</v>
      </c>
      <c r="DR51" s="193">
        <v>1</v>
      </c>
      <c r="DS51" s="193">
        <v>1.1000000000000001</v>
      </c>
      <c r="DT51" s="382">
        <v>1</v>
      </c>
      <c r="DU51" s="193">
        <v>0</v>
      </c>
      <c r="DV51" s="193">
        <v>0.9</v>
      </c>
      <c r="DW51" s="193">
        <v>1</v>
      </c>
      <c r="DX51" s="193">
        <v>1.1000000000000001</v>
      </c>
      <c r="DY51" s="382">
        <v>1</v>
      </c>
      <c r="DZ51" s="193">
        <v>0</v>
      </c>
      <c r="EA51" s="193">
        <v>0</v>
      </c>
      <c r="EB51" s="193">
        <v>1</v>
      </c>
      <c r="EC51" s="193">
        <v>1.1000000000000001</v>
      </c>
      <c r="ED51" s="382">
        <v>1</v>
      </c>
      <c r="EE51" s="193">
        <v>0</v>
      </c>
      <c r="EF51" s="193">
        <v>0.9</v>
      </c>
      <c r="EG51" s="193">
        <v>1</v>
      </c>
      <c r="EH51" s="193">
        <v>1.1000000000000001</v>
      </c>
      <c r="EI51" s="382">
        <v>1</v>
      </c>
      <c r="EJ51" s="193">
        <v>0</v>
      </c>
      <c r="EK51" s="193">
        <v>0.9</v>
      </c>
      <c r="EL51" s="193">
        <v>1</v>
      </c>
      <c r="EM51" s="193">
        <v>1.1000000000000001</v>
      </c>
      <c r="EN51" s="382">
        <v>1</v>
      </c>
      <c r="EO51" s="193">
        <v>0</v>
      </c>
      <c r="EP51" s="193">
        <v>0</v>
      </c>
      <c r="EQ51" s="193">
        <v>1</v>
      </c>
      <c r="ER51" s="193">
        <v>1.1000000000000001</v>
      </c>
      <c r="ES51" s="382">
        <v>1</v>
      </c>
      <c r="ET51" s="193">
        <v>0</v>
      </c>
      <c r="EU51" s="193">
        <v>0.9</v>
      </c>
      <c r="EV51" s="193">
        <v>1</v>
      </c>
      <c r="EW51" s="193">
        <v>1.1000000000000001</v>
      </c>
      <c r="EX51" s="382">
        <v>1</v>
      </c>
      <c r="EY51" s="193">
        <v>0</v>
      </c>
      <c r="EZ51" s="193">
        <v>0.9</v>
      </c>
      <c r="FA51" s="193">
        <v>1</v>
      </c>
      <c r="FB51" s="193">
        <v>1.1000000000000001</v>
      </c>
      <c r="FC51" s="382">
        <v>1</v>
      </c>
      <c r="FD51" s="193">
        <v>0</v>
      </c>
      <c r="FE51" s="193">
        <v>0</v>
      </c>
      <c r="FF51" s="193">
        <v>1</v>
      </c>
      <c r="FG51" s="193">
        <v>1.1000000000000001</v>
      </c>
      <c r="FH51" s="382">
        <v>1</v>
      </c>
      <c r="FI51" s="193">
        <v>0</v>
      </c>
      <c r="FJ51" s="193">
        <v>0.9</v>
      </c>
      <c r="FK51" s="193">
        <v>1</v>
      </c>
      <c r="FL51" s="193">
        <v>1.1000000000000001</v>
      </c>
      <c r="FM51" s="382">
        <v>1</v>
      </c>
      <c r="FN51" s="193">
        <v>0</v>
      </c>
      <c r="FO51" s="193">
        <v>0.9</v>
      </c>
      <c r="FP51" s="193">
        <v>1</v>
      </c>
      <c r="FQ51" s="193">
        <v>1.1000000000000001</v>
      </c>
      <c r="FR51" s="382">
        <v>1</v>
      </c>
      <c r="FS51" s="193">
        <v>0</v>
      </c>
      <c r="FT51" s="193">
        <v>0</v>
      </c>
      <c r="FU51" s="193">
        <v>1</v>
      </c>
      <c r="FV51" s="193">
        <v>1.1000000000000001</v>
      </c>
      <c r="FW51" s="382">
        <v>1</v>
      </c>
      <c r="FX51" s="193">
        <v>0</v>
      </c>
      <c r="FY51" s="193">
        <v>0.9</v>
      </c>
      <c r="FZ51" s="193">
        <v>1</v>
      </c>
      <c r="GA51" s="193">
        <v>1.1000000000000001</v>
      </c>
      <c r="GB51" s="382">
        <v>1</v>
      </c>
      <c r="GC51" s="193">
        <v>0</v>
      </c>
      <c r="GD51" s="193">
        <v>0.9</v>
      </c>
      <c r="GE51" s="193">
        <v>1</v>
      </c>
      <c r="GF51" s="193">
        <v>1.1000000000000001</v>
      </c>
      <c r="GG51" s="382">
        <v>1</v>
      </c>
      <c r="GH51" s="193">
        <v>0</v>
      </c>
      <c r="GI51" s="193">
        <v>0</v>
      </c>
      <c r="GJ51" s="193">
        <v>1</v>
      </c>
      <c r="GK51" s="193">
        <v>1.1000000000000001</v>
      </c>
      <c r="GL51" s="382">
        <v>1</v>
      </c>
      <c r="GM51" s="193">
        <v>0</v>
      </c>
      <c r="GN51" s="193">
        <v>0.9</v>
      </c>
      <c r="GO51" s="193">
        <v>1</v>
      </c>
      <c r="GP51" s="187">
        <v>1.1000000000000001</v>
      </c>
      <c r="GQ51" s="382">
        <v>1</v>
      </c>
    </row>
    <row r="52" spans="1:199">
      <c r="A52" s="195"/>
      <c r="B52" s="188"/>
      <c r="C52" s="188"/>
      <c r="D52" s="188" t="s">
        <v>966</v>
      </c>
      <c r="E52" s="190">
        <v>0</v>
      </c>
      <c r="F52" s="193">
        <v>0.8</v>
      </c>
      <c r="G52" s="203">
        <v>1</v>
      </c>
      <c r="H52" s="201">
        <v>1.2</v>
      </c>
      <c r="I52" s="383">
        <v>1</v>
      </c>
      <c r="J52" s="383">
        <v>0</v>
      </c>
      <c r="K52" s="201">
        <v>0.8</v>
      </c>
      <c r="L52" s="201">
        <v>1</v>
      </c>
      <c r="M52" s="201">
        <v>1.2</v>
      </c>
      <c r="N52" s="383">
        <v>1</v>
      </c>
      <c r="O52" s="383">
        <v>0</v>
      </c>
      <c r="P52" s="201">
        <v>0.8</v>
      </c>
      <c r="Q52" s="201">
        <v>1</v>
      </c>
      <c r="R52" s="202">
        <v>1.2</v>
      </c>
      <c r="S52" s="382">
        <v>1</v>
      </c>
      <c r="T52" s="190">
        <v>0</v>
      </c>
      <c r="U52" s="193">
        <v>0.8</v>
      </c>
      <c r="V52" s="203">
        <v>1</v>
      </c>
      <c r="W52" s="201">
        <v>1.2</v>
      </c>
      <c r="X52" s="382">
        <v>1</v>
      </c>
      <c r="Y52" s="200">
        <v>0</v>
      </c>
      <c r="Z52" s="201">
        <v>0.8</v>
      </c>
      <c r="AA52" s="201">
        <v>1</v>
      </c>
      <c r="AB52" s="201">
        <v>1.2</v>
      </c>
      <c r="AC52" s="382">
        <v>1</v>
      </c>
      <c r="AD52" s="200">
        <v>0</v>
      </c>
      <c r="AE52" s="201">
        <v>0.8</v>
      </c>
      <c r="AF52" s="201">
        <v>1</v>
      </c>
      <c r="AG52" s="383">
        <v>1.2</v>
      </c>
      <c r="AH52" s="383">
        <v>1</v>
      </c>
      <c r="AI52" s="383">
        <v>0</v>
      </c>
      <c r="AJ52" s="383">
        <v>0.8</v>
      </c>
      <c r="AK52" s="201">
        <v>1</v>
      </c>
      <c r="AL52" s="201">
        <v>1.2</v>
      </c>
      <c r="AM52" s="383">
        <v>1</v>
      </c>
      <c r="AN52" s="383">
        <v>0</v>
      </c>
      <c r="AO52" s="201">
        <v>0.8</v>
      </c>
      <c r="AP52" s="201">
        <v>1</v>
      </c>
      <c r="AQ52" s="201">
        <v>1.2</v>
      </c>
      <c r="AR52" s="382">
        <v>1</v>
      </c>
      <c r="AS52" s="200">
        <v>0</v>
      </c>
      <c r="AT52" s="201">
        <v>0.8</v>
      </c>
      <c r="AU52" s="201">
        <v>1</v>
      </c>
      <c r="AV52" s="193">
        <v>1.2</v>
      </c>
      <c r="AW52" s="382">
        <v>1</v>
      </c>
      <c r="AX52" s="193">
        <v>0</v>
      </c>
      <c r="AY52" s="193">
        <v>0.8</v>
      </c>
      <c r="AZ52" s="193">
        <v>1</v>
      </c>
      <c r="BA52" s="193">
        <v>1.2</v>
      </c>
      <c r="BB52" s="382">
        <v>1</v>
      </c>
      <c r="BC52" s="193">
        <v>0</v>
      </c>
      <c r="BD52" s="193">
        <v>0.8</v>
      </c>
      <c r="BE52" s="193">
        <v>1</v>
      </c>
      <c r="BF52" s="193">
        <v>1.2</v>
      </c>
      <c r="BG52" s="382">
        <v>1</v>
      </c>
      <c r="BH52" s="193">
        <v>0</v>
      </c>
      <c r="BI52" s="193">
        <v>0.8</v>
      </c>
      <c r="BJ52" s="193">
        <v>1</v>
      </c>
      <c r="BK52" s="193">
        <v>1.2</v>
      </c>
      <c r="BL52" s="382">
        <v>1</v>
      </c>
      <c r="BM52" s="193">
        <v>0</v>
      </c>
      <c r="BN52" s="193">
        <v>0.8</v>
      </c>
      <c r="BO52" s="193">
        <v>1</v>
      </c>
      <c r="BP52" s="193">
        <v>1.2</v>
      </c>
      <c r="BQ52" s="382">
        <v>1</v>
      </c>
      <c r="BR52" s="193">
        <v>0</v>
      </c>
      <c r="BS52" s="193">
        <v>0.8</v>
      </c>
      <c r="BT52" s="193">
        <v>1</v>
      </c>
      <c r="BU52" s="193">
        <v>1.2</v>
      </c>
      <c r="BV52" s="382">
        <v>1</v>
      </c>
      <c r="BW52" s="193">
        <v>0</v>
      </c>
      <c r="BX52" s="193">
        <v>0.8</v>
      </c>
      <c r="BY52" s="193">
        <v>1</v>
      </c>
      <c r="BZ52" s="193">
        <v>1.2</v>
      </c>
      <c r="CA52" s="382">
        <v>1</v>
      </c>
      <c r="CB52" s="193">
        <v>0</v>
      </c>
      <c r="CC52" s="193">
        <v>0.8</v>
      </c>
      <c r="CD52" s="193">
        <v>1</v>
      </c>
      <c r="CE52" s="193">
        <v>1.2</v>
      </c>
      <c r="CF52" s="382">
        <v>1</v>
      </c>
      <c r="CG52" s="193">
        <v>0</v>
      </c>
      <c r="CH52" s="193">
        <v>0.8</v>
      </c>
      <c r="CI52" s="193">
        <v>1</v>
      </c>
      <c r="CJ52" s="193">
        <v>1.2</v>
      </c>
      <c r="CK52" s="382">
        <v>1</v>
      </c>
      <c r="CL52" s="193">
        <v>0</v>
      </c>
      <c r="CM52" s="193">
        <v>0.8</v>
      </c>
      <c r="CN52" s="193">
        <v>1</v>
      </c>
      <c r="CO52" s="193">
        <v>1.2</v>
      </c>
      <c r="CP52" s="382">
        <v>1</v>
      </c>
      <c r="CQ52" s="193">
        <v>0</v>
      </c>
      <c r="CR52" s="193">
        <v>0.8</v>
      </c>
      <c r="CS52" s="193">
        <v>1</v>
      </c>
      <c r="CT52" s="193">
        <v>1.2</v>
      </c>
      <c r="CU52" s="382">
        <v>1</v>
      </c>
      <c r="CV52" s="193">
        <v>0</v>
      </c>
      <c r="CW52" s="193">
        <v>0.8</v>
      </c>
      <c r="CX52" s="193">
        <v>1</v>
      </c>
      <c r="CY52" s="193">
        <v>1.2</v>
      </c>
      <c r="CZ52" s="382">
        <v>1</v>
      </c>
      <c r="DA52" s="193">
        <v>0</v>
      </c>
      <c r="DB52" s="193">
        <v>0.8</v>
      </c>
      <c r="DC52" s="193">
        <v>1</v>
      </c>
      <c r="DD52" s="193">
        <v>1.2</v>
      </c>
      <c r="DE52" s="382">
        <v>1</v>
      </c>
      <c r="DF52" s="193">
        <v>0</v>
      </c>
      <c r="DG52" s="193">
        <v>0.8</v>
      </c>
      <c r="DH52" s="193">
        <v>1</v>
      </c>
      <c r="DI52" s="193">
        <v>1.2</v>
      </c>
      <c r="DJ52" s="382">
        <v>1</v>
      </c>
      <c r="DK52" s="193">
        <v>0</v>
      </c>
      <c r="DL52" s="193">
        <v>0.8</v>
      </c>
      <c r="DM52" s="193">
        <v>1</v>
      </c>
      <c r="DN52" s="193">
        <v>1.2</v>
      </c>
      <c r="DO52" s="382">
        <v>1</v>
      </c>
      <c r="DP52" s="193">
        <v>0</v>
      </c>
      <c r="DQ52" s="193">
        <v>0.8</v>
      </c>
      <c r="DR52" s="193">
        <v>1</v>
      </c>
      <c r="DS52" s="193">
        <v>1.2</v>
      </c>
      <c r="DT52" s="382">
        <v>1</v>
      </c>
      <c r="DU52" s="193">
        <v>0</v>
      </c>
      <c r="DV52" s="193">
        <v>0.8</v>
      </c>
      <c r="DW52" s="193">
        <v>1</v>
      </c>
      <c r="DX52" s="193">
        <v>1.2</v>
      </c>
      <c r="DY52" s="382">
        <v>1</v>
      </c>
      <c r="DZ52" s="193">
        <v>0</v>
      </c>
      <c r="EA52" s="193">
        <v>0.8</v>
      </c>
      <c r="EB52" s="193">
        <v>1</v>
      </c>
      <c r="EC52" s="193">
        <v>1.2</v>
      </c>
      <c r="ED52" s="382">
        <v>1</v>
      </c>
      <c r="EE52" s="193">
        <v>0</v>
      </c>
      <c r="EF52" s="193">
        <v>0.8</v>
      </c>
      <c r="EG52" s="193">
        <v>1</v>
      </c>
      <c r="EH52" s="193">
        <v>1.2</v>
      </c>
      <c r="EI52" s="382">
        <v>1</v>
      </c>
      <c r="EJ52" s="193">
        <v>0</v>
      </c>
      <c r="EK52" s="193">
        <v>0.8</v>
      </c>
      <c r="EL52" s="193">
        <v>1</v>
      </c>
      <c r="EM52" s="193">
        <v>1.2</v>
      </c>
      <c r="EN52" s="382">
        <v>1</v>
      </c>
      <c r="EO52" s="193">
        <v>0</v>
      </c>
      <c r="EP52" s="193">
        <v>0.8</v>
      </c>
      <c r="EQ52" s="193">
        <v>1</v>
      </c>
      <c r="ER52" s="193">
        <v>1.2</v>
      </c>
      <c r="ES52" s="382">
        <v>1</v>
      </c>
      <c r="ET52" s="193">
        <v>0</v>
      </c>
      <c r="EU52" s="193">
        <v>0.8</v>
      </c>
      <c r="EV52" s="193">
        <v>1</v>
      </c>
      <c r="EW52" s="193">
        <v>1.2</v>
      </c>
      <c r="EX52" s="382">
        <v>1</v>
      </c>
      <c r="EY52" s="193">
        <v>0</v>
      </c>
      <c r="EZ52" s="193">
        <v>0.8</v>
      </c>
      <c r="FA52" s="193">
        <v>1</v>
      </c>
      <c r="FB52" s="193">
        <v>1.2</v>
      </c>
      <c r="FC52" s="382">
        <v>1</v>
      </c>
      <c r="FD52" s="193">
        <v>0</v>
      </c>
      <c r="FE52" s="193">
        <v>0.8</v>
      </c>
      <c r="FF52" s="193">
        <v>1</v>
      </c>
      <c r="FG52" s="193">
        <v>1.2</v>
      </c>
      <c r="FH52" s="382">
        <v>1</v>
      </c>
      <c r="FI52" s="193">
        <v>0</v>
      </c>
      <c r="FJ52" s="193">
        <v>0.8</v>
      </c>
      <c r="FK52" s="193">
        <v>1</v>
      </c>
      <c r="FL52" s="193">
        <v>1.2</v>
      </c>
      <c r="FM52" s="382">
        <v>1</v>
      </c>
      <c r="FN52" s="193">
        <v>0</v>
      </c>
      <c r="FO52" s="193">
        <v>0.8</v>
      </c>
      <c r="FP52" s="193">
        <v>1</v>
      </c>
      <c r="FQ52" s="193">
        <v>1.2</v>
      </c>
      <c r="FR52" s="382">
        <v>1</v>
      </c>
      <c r="FS52" s="193">
        <v>0</v>
      </c>
      <c r="FT52" s="193">
        <v>0.8</v>
      </c>
      <c r="FU52" s="193">
        <v>1</v>
      </c>
      <c r="FV52" s="193">
        <v>1.2</v>
      </c>
      <c r="FW52" s="382">
        <v>1</v>
      </c>
      <c r="FX52" s="193">
        <v>0</v>
      </c>
      <c r="FY52" s="193">
        <v>0.8</v>
      </c>
      <c r="FZ52" s="193">
        <v>1</v>
      </c>
      <c r="GA52" s="193">
        <v>1.2</v>
      </c>
      <c r="GB52" s="382">
        <v>1</v>
      </c>
      <c r="GC52" s="193">
        <v>0</v>
      </c>
      <c r="GD52" s="193">
        <v>0.8</v>
      </c>
      <c r="GE52" s="193">
        <v>1</v>
      </c>
      <c r="GF52" s="193">
        <v>1.2</v>
      </c>
      <c r="GG52" s="382">
        <v>1</v>
      </c>
      <c r="GH52" s="193">
        <v>0</v>
      </c>
      <c r="GI52" s="193">
        <v>0.8</v>
      </c>
      <c r="GJ52" s="193">
        <v>1</v>
      </c>
      <c r="GK52" s="193">
        <v>1.2</v>
      </c>
      <c r="GL52" s="382">
        <v>1</v>
      </c>
      <c r="GM52" s="193">
        <v>0</v>
      </c>
      <c r="GN52" s="193">
        <v>0.8</v>
      </c>
      <c r="GO52" s="193">
        <v>1</v>
      </c>
      <c r="GP52" s="187">
        <v>1.2</v>
      </c>
      <c r="GQ52" s="382">
        <v>1</v>
      </c>
    </row>
    <row r="53" spans="1:199">
      <c r="A53" s="195"/>
      <c r="B53" s="188"/>
      <c r="C53" s="188" t="s">
        <v>997</v>
      </c>
      <c r="D53" s="188" t="s">
        <v>206</v>
      </c>
      <c r="E53" s="190">
        <v>0</v>
      </c>
      <c r="F53" s="193">
        <v>0</v>
      </c>
      <c r="G53" s="203">
        <v>0</v>
      </c>
      <c r="H53" s="201">
        <v>0</v>
      </c>
      <c r="I53" s="383">
        <v>1</v>
      </c>
      <c r="J53" s="383">
        <v>0</v>
      </c>
      <c r="K53" s="201">
        <v>0</v>
      </c>
      <c r="L53" s="201">
        <v>0</v>
      </c>
      <c r="M53" s="201">
        <v>0</v>
      </c>
      <c r="N53" s="383">
        <v>1</v>
      </c>
      <c r="O53" s="383">
        <v>0</v>
      </c>
      <c r="P53" s="201">
        <v>0</v>
      </c>
      <c r="Q53" s="201">
        <v>0</v>
      </c>
      <c r="R53" s="202">
        <v>0</v>
      </c>
      <c r="S53" s="382">
        <v>1</v>
      </c>
      <c r="T53" s="190">
        <v>0</v>
      </c>
      <c r="U53" s="193">
        <v>0</v>
      </c>
      <c r="V53" s="203">
        <v>0</v>
      </c>
      <c r="W53" s="201">
        <v>0</v>
      </c>
      <c r="X53" s="382">
        <v>1</v>
      </c>
      <c r="Y53" s="200">
        <v>0</v>
      </c>
      <c r="Z53" s="201">
        <v>0</v>
      </c>
      <c r="AA53" s="201">
        <v>0</v>
      </c>
      <c r="AB53" s="201">
        <v>0</v>
      </c>
      <c r="AC53" s="382">
        <v>1</v>
      </c>
      <c r="AD53" s="200">
        <v>0</v>
      </c>
      <c r="AE53" s="201">
        <v>0</v>
      </c>
      <c r="AF53" s="201">
        <v>0</v>
      </c>
      <c r="AG53" s="383">
        <v>0</v>
      </c>
      <c r="AH53" s="383">
        <v>1</v>
      </c>
      <c r="AI53" s="383">
        <v>0</v>
      </c>
      <c r="AJ53" s="383">
        <v>0</v>
      </c>
      <c r="AK53" s="201">
        <v>0</v>
      </c>
      <c r="AL53" s="201">
        <v>0</v>
      </c>
      <c r="AM53" s="383">
        <v>1</v>
      </c>
      <c r="AN53" s="383">
        <v>0</v>
      </c>
      <c r="AO53" s="201">
        <v>0</v>
      </c>
      <c r="AP53" s="201">
        <v>0</v>
      </c>
      <c r="AQ53" s="201">
        <v>0</v>
      </c>
      <c r="AR53" s="382">
        <v>1</v>
      </c>
      <c r="AS53" s="200">
        <v>0</v>
      </c>
      <c r="AT53" s="201">
        <v>0</v>
      </c>
      <c r="AU53" s="201">
        <v>0</v>
      </c>
      <c r="AV53" s="193">
        <v>0</v>
      </c>
      <c r="AW53" s="382">
        <v>1</v>
      </c>
      <c r="AX53" s="193">
        <v>0</v>
      </c>
      <c r="AY53" s="193">
        <v>0</v>
      </c>
      <c r="AZ53" s="193">
        <v>0</v>
      </c>
      <c r="BA53" s="193">
        <v>0</v>
      </c>
      <c r="BB53" s="382">
        <v>1</v>
      </c>
      <c r="BC53" s="193">
        <v>0</v>
      </c>
      <c r="BD53" s="193">
        <v>0</v>
      </c>
      <c r="BE53" s="193">
        <v>0</v>
      </c>
      <c r="BF53" s="193">
        <v>0</v>
      </c>
      <c r="BG53" s="382">
        <v>1</v>
      </c>
      <c r="BH53" s="193">
        <v>0</v>
      </c>
      <c r="BI53" s="193">
        <v>0</v>
      </c>
      <c r="BJ53" s="193">
        <v>0</v>
      </c>
      <c r="BK53" s="193">
        <v>0</v>
      </c>
      <c r="BL53" s="382">
        <v>1</v>
      </c>
      <c r="BM53" s="193">
        <v>0</v>
      </c>
      <c r="BN53" s="193">
        <v>0</v>
      </c>
      <c r="BO53" s="193">
        <v>1</v>
      </c>
      <c r="BP53" s="193">
        <v>1.2</v>
      </c>
      <c r="BQ53" s="382">
        <v>1</v>
      </c>
      <c r="BR53" s="193">
        <v>0</v>
      </c>
      <c r="BS53" s="193">
        <v>0</v>
      </c>
      <c r="BT53" s="193">
        <v>0</v>
      </c>
      <c r="BU53" s="193">
        <v>1.2</v>
      </c>
      <c r="BV53" s="382">
        <v>1</v>
      </c>
      <c r="BW53" s="193">
        <v>0</v>
      </c>
      <c r="BX53" s="193">
        <v>0</v>
      </c>
      <c r="BY53" s="193">
        <v>1</v>
      </c>
      <c r="BZ53" s="193">
        <v>1.2</v>
      </c>
      <c r="CA53" s="382">
        <v>1</v>
      </c>
      <c r="CB53" s="193">
        <v>0</v>
      </c>
      <c r="CC53" s="193">
        <v>0</v>
      </c>
      <c r="CD53" s="193">
        <v>1</v>
      </c>
      <c r="CE53" s="193">
        <v>1.2</v>
      </c>
      <c r="CF53" s="382">
        <v>1</v>
      </c>
      <c r="CG53" s="193">
        <v>0</v>
      </c>
      <c r="CH53" s="193">
        <v>0</v>
      </c>
      <c r="CI53" s="193">
        <v>0</v>
      </c>
      <c r="CJ53" s="193">
        <v>1.2</v>
      </c>
      <c r="CK53" s="382">
        <v>1</v>
      </c>
      <c r="CL53" s="193">
        <v>0</v>
      </c>
      <c r="CM53" s="193">
        <v>0</v>
      </c>
      <c r="CN53" s="193">
        <v>1</v>
      </c>
      <c r="CO53" s="193">
        <v>1.2</v>
      </c>
      <c r="CP53" s="382">
        <v>1</v>
      </c>
      <c r="CQ53" s="193">
        <v>0</v>
      </c>
      <c r="CR53" s="193">
        <v>0.8</v>
      </c>
      <c r="CS53" s="193">
        <v>1</v>
      </c>
      <c r="CT53" s="193">
        <v>1.2</v>
      </c>
      <c r="CU53" s="382">
        <v>1</v>
      </c>
      <c r="CV53" s="193">
        <v>0</v>
      </c>
      <c r="CW53" s="193">
        <v>0</v>
      </c>
      <c r="CX53" s="193">
        <v>0</v>
      </c>
      <c r="CY53" s="193">
        <v>1.2</v>
      </c>
      <c r="CZ53" s="382">
        <v>1</v>
      </c>
      <c r="DA53" s="193">
        <v>0</v>
      </c>
      <c r="DB53" s="193">
        <v>0.8</v>
      </c>
      <c r="DC53" s="193">
        <v>1</v>
      </c>
      <c r="DD53" s="193">
        <v>1.2</v>
      </c>
      <c r="DE53" s="382">
        <v>1</v>
      </c>
      <c r="DF53" s="193">
        <v>0</v>
      </c>
      <c r="DG53" s="193">
        <v>0.8</v>
      </c>
      <c r="DH53" s="193">
        <v>1</v>
      </c>
      <c r="DI53" s="193">
        <v>1.2</v>
      </c>
      <c r="DJ53" s="382">
        <v>1</v>
      </c>
      <c r="DK53" s="193">
        <v>0</v>
      </c>
      <c r="DL53" s="193">
        <v>0</v>
      </c>
      <c r="DM53" s="193">
        <v>0</v>
      </c>
      <c r="DN53" s="193">
        <v>1.2</v>
      </c>
      <c r="DO53" s="382">
        <v>1</v>
      </c>
      <c r="DP53" s="193">
        <v>0</v>
      </c>
      <c r="DQ53" s="193">
        <v>0.8</v>
      </c>
      <c r="DR53" s="193">
        <v>1</v>
      </c>
      <c r="DS53" s="193">
        <v>1.2</v>
      </c>
      <c r="DT53" s="382">
        <v>1</v>
      </c>
      <c r="DU53" s="193">
        <v>0</v>
      </c>
      <c r="DV53" s="193">
        <v>0.8</v>
      </c>
      <c r="DW53" s="193">
        <v>1</v>
      </c>
      <c r="DX53" s="193">
        <v>1.2</v>
      </c>
      <c r="DY53" s="382">
        <v>1</v>
      </c>
      <c r="DZ53" s="193">
        <v>0</v>
      </c>
      <c r="EA53" s="193">
        <v>0</v>
      </c>
      <c r="EB53" s="193">
        <v>0</v>
      </c>
      <c r="EC53" s="193">
        <v>1.2</v>
      </c>
      <c r="ED53" s="382">
        <v>1</v>
      </c>
      <c r="EE53" s="193">
        <v>0</v>
      </c>
      <c r="EF53" s="193">
        <v>0.8</v>
      </c>
      <c r="EG53" s="193">
        <v>1</v>
      </c>
      <c r="EH53" s="193">
        <v>1.2</v>
      </c>
      <c r="EI53" s="382">
        <v>1</v>
      </c>
      <c r="EJ53" s="193">
        <v>0</v>
      </c>
      <c r="EK53" s="193">
        <v>0.8</v>
      </c>
      <c r="EL53" s="193">
        <v>1</v>
      </c>
      <c r="EM53" s="193">
        <v>1.2</v>
      </c>
      <c r="EN53" s="382">
        <v>1</v>
      </c>
      <c r="EO53" s="193">
        <v>0</v>
      </c>
      <c r="EP53" s="193">
        <v>0</v>
      </c>
      <c r="EQ53" s="193">
        <v>0</v>
      </c>
      <c r="ER53" s="193">
        <v>1.2</v>
      </c>
      <c r="ES53" s="382">
        <v>1</v>
      </c>
      <c r="ET53" s="193">
        <v>0</v>
      </c>
      <c r="EU53" s="193">
        <v>0.8</v>
      </c>
      <c r="EV53" s="193">
        <v>1</v>
      </c>
      <c r="EW53" s="193">
        <v>1.2</v>
      </c>
      <c r="EX53" s="382">
        <v>1</v>
      </c>
      <c r="EY53" s="193">
        <v>0</v>
      </c>
      <c r="EZ53" s="193">
        <v>0.8</v>
      </c>
      <c r="FA53" s="193">
        <v>1</v>
      </c>
      <c r="FB53" s="193">
        <v>1.2</v>
      </c>
      <c r="FC53" s="382">
        <v>1</v>
      </c>
      <c r="FD53" s="193">
        <v>0</v>
      </c>
      <c r="FE53" s="193">
        <v>0</v>
      </c>
      <c r="FF53" s="193">
        <v>0</v>
      </c>
      <c r="FG53" s="193">
        <v>1.2</v>
      </c>
      <c r="FH53" s="382">
        <v>1</v>
      </c>
      <c r="FI53" s="193">
        <v>0</v>
      </c>
      <c r="FJ53" s="193">
        <v>0.8</v>
      </c>
      <c r="FK53" s="193">
        <v>1</v>
      </c>
      <c r="FL53" s="193">
        <v>1.2</v>
      </c>
      <c r="FM53" s="382">
        <v>1</v>
      </c>
      <c r="FN53" s="193">
        <v>0</v>
      </c>
      <c r="FO53" s="193">
        <v>0.8</v>
      </c>
      <c r="FP53" s="193">
        <v>1</v>
      </c>
      <c r="FQ53" s="193">
        <v>1.2</v>
      </c>
      <c r="FR53" s="382">
        <v>1</v>
      </c>
      <c r="FS53" s="193">
        <v>0</v>
      </c>
      <c r="FT53" s="193">
        <v>0</v>
      </c>
      <c r="FU53" s="193">
        <v>0</v>
      </c>
      <c r="FV53" s="193">
        <v>1.2</v>
      </c>
      <c r="FW53" s="382">
        <v>1</v>
      </c>
      <c r="FX53" s="193">
        <v>0</v>
      </c>
      <c r="FY53" s="193">
        <v>0.8</v>
      </c>
      <c r="FZ53" s="193">
        <v>1</v>
      </c>
      <c r="GA53" s="193">
        <v>1.2</v>
      </c>
      <c r="GB53" s="382">
        <v>1</v>
      </c>
      <c r="GC53" s="193">
        <v>0</v>
      </c>
      <c r="GD53" s="193">
        <v>0.8</v>
      </c>
      <c r="GE53" s="193">
        <v>1</v>
      </c>
      <c r="GF53" s="193">
        <v>1.2</v>
      </c>
      <c r="GG53" s="382">
        <v>1</v>
      </c>
      <c r="GH53" s="193">
        <v>0</v>
      </c>
      <c r="GI53" s="193">
        <v>0</v>
      </c>
      <c r="GJ53" s="193">
        <v>0</v>
      </c>
      <c r="GK53" s="193">
        <v>1.2</v>
      </c>
      <c r="GL53" s="382">
        <v>1</v>
      </c>
      <c r="GM53" s="193">
        <v>0</v>
      </c>
      <c r="GN53" s="193">
        <v>0.8</v>
      </c>
      <c r="GO53" s="193">
        <v>1</v>
      </c>
      <c r="GP53" s="187">
        <v>1.2</v>
      </c>
      <c r="GQ53" s="382">
        <v>1</v>
      </c>
    </row>
    <row r="54" spans="1:199">
      <c r="A54" s="195"/>
      <c r="B54" s="188"/>
      <c r="C54" s="188"/>
      <c r="D54" s="188" t="s">
        <v>967</v>
      </c>
      <c r="E54" s="190">
        <v>0</v>
      </c>
      <c r="F54" s="193">
        <v>0</v>
      </c>
      <c r="G54" s="203">
        <v>0</v>
      </c>
      <c r="H54" s="201">
        <v>0</v>
      </c>
      <c r="I54" s="383">
        <v>1</v>
      </c>
      <c r="J54" s="383">
        <v>0</v>
      </c>
      <c r="K54" s="201">
        <v>0</v>
      </c>
      <c r="L54" s="201">
        <v>0</v>
      </c>
      <c r="M54" s="201">
        <v>0</v>
      </c>
      <c r="N54" s="383">
        <v>1</v>
      </c>
      <c r="O54" s="383">
        <v>0</v>
      </c>
      <c r="P54" s="201">
        <v>0</v>
      </c>
      <c r="Q54" s="201">
        <v>0</v>
      </c>
      <c r="R54" s="202">
        <v>0</v>
      </c>
      <c r="S54" s="382">
        <v>1</v>
      </c>
      <c r="T54" s="190">
        <v>0</v>
      </c>
      <c r="U54" s="193">
        <v>0</v>
      </c>
      <c r="V54" s="203">
        <v>0</v>
      </c>
      <c r="W54" s="201">
        <v>0</v>
      </c>
      <c r="X54" s="382">
        <v>1</v>
      </c>
      <c r="Y54" s="200">
        <v>0</v>
      </c>
      <c r="Z54" s="201">
        <v>0</v>
      </c>
      <c r="AA54" s="201">
        <v>0</v>
      </c>
      <c r="AB54" s="201">
        <v>0</v>
      </c>
      <c r="AC54" s="382">
        <v>1</v>
      </c>
      <c r="AD54" s="200">
        <v>0</v>
      </c>
      <c r="AE54" s="201">
        <v>0</v>
      </c>
      <c r="AF54" s="201">
        <v>0</v>
      </c>
      <c r="AG54" s="383">
        <v>0</v>
      </c>
      <c r="AH54" s="383">
        <v>1</v>
      </c>
      <c r="AI54" s="383">
        <v>0</v>
      </c>
      <c r="AJ54" s="383">
        <v>0</v>
      </c>
      <c r="AK54" s="201">
        <v>0</v>
      </c>
      <c r="AL54" s="201">
        <v>0</v>
      </c>
      <c r="AM54" s="383">
        <v>1</v>
      </c>
      <c r="AN54" s="383">
        <v>0</v>
      </c>
      <c r="AO54" s="201">
        <v>0</v>
      </c>
      <c r="AP54" s="201">
        <v>0</v>
      </c>
      <c r="AQ54" s="201">
        <v>0</v>
      </c>
      <c r="AR54" s="382">
        <v>1</v>
      </c>
      <c r="AS54" s="200">
        <v>0</v>
      </c>
      <c r="AT54" s="201">
        <v>0</v>
      </c>
      <c r="AU54" s="201">
        <v>0</v>
      </c>
      <c r="AV54" s="193">
        <v>0</v>
      </c>
      <c r="AW54" s="382">
        <v>1</v>
      </c>
      <c r="AX54" s="193">
        <v>0</v>
      </c>
      <c r="AY54" s="193">
        <v>0</v>
      </c>
      <c r="AZ54" s="193">
        <v>0</v>
      </c>
      <c r="BA54" s="193">
        <v>0</v>
      </c>
      <c r="BB54" s="382">
        <v>1</v>
      </c>
      <c r="BC54" s="193">
        <v>0</v>
      </c>
      <c r="BD54" s="193">
        <v>0</v>
      </c>
      <c r="BE54" s="193">
        <v>0</v>
      </c>
      <c r="BF54" s="193">
        <v>0</v>
      </c>
      <c r="BG54" s="382">
        <v>1</v>
      </c>
      <c r="BH54" s="193">
        <v>0</v>
      </c>
      <c r="BI54" s="193">
        <v>0</v>
      </c>
      <c r="BJ54" s="193">
        <v>0</v>
      </c>
      <c r="BK54" s="193">
        <v>0</v>
      </c>
      <c r="BL54" s="382">
        <v>1</v>
      </c>
      <c r="BM54" s="193">
        <v>0</v>
      </c>
      <c r="BN54" s="193">
        <v>0</v>
      </c>
      <c r="BO54" s="193">
        <v>1</v>
      </c>
      <c r="BP54" s="193">
        <v>1.2</v>
      </c>
      <c r="BQ54" s="382">
        <v>1</v>
      </c>
      <c r="BR54" s="193">
        <v>0</v>
      </c>
      <c r="BS54" s="193">
        <v>0</v>
      </c>
      <c r="BT54" s="193">
        <v>0</v>
      </c>
      <c r="BU54" s="193">
        <v>1.2</v>
      </c>
      <c r="BV54" s="382">
        <v>1</v>
      </c>
      <c r="BW54" s="193">
        <v>0</v>
      </c>
      <c r="BX54" s="193">
        <v>0</v>
      </c>
      <c r="BY54" s="193">
        <v>1</v>
      </c>
      <c r="BZ54" s="193">
        <v>1.2</v>
      </c>
      <c r="CA54" s="382">
        <v>1</v>
      </c>
      <c r="CB54" s="193">
        <v>0</v>
      </c>
      <c r="CC54" s="193">
        <v>0</v>
      </c>
      <c r="CD54" s="193">
        <v>1</v>
      </c>
      <c r="CE54" s="193">
        <v>1.2</v>
      </c>
      <c r="CF54" s="382">
        <v>1</v>
      </c>
      <c r="CG54" s="193">
        <v>0</v>
      </c>
      <c r="CH54" s="193">
        <v>0</v>
      </c>
      <c r="CI54" s="193">
        <v>0</v>
      </c>
      <c r="CJ54" s="193">
        <v>1.2</v>
      </c>
      <c r="CK54" s="382">
        <v>1</v>
      </c>
      <c r="CL54" s="193">
        <v>0</v>
      </c>
      <c r="CM54" s="193">
        <v>0</v>
      </c>
      <c r="CN54" s="193">
        <v>1</v>
      </c>
      <c r="CO54" s="193">
        <v>1.2</v>
      </c>
      <c r="CP54" s="382">
        <v>1</v>
      </c>
      <c r="CQ54" s="193">
        <v>0</v>
      </c>
      <c r="CR54" s="193">
        <v>0.8</v>
      </c>
      <c r="CS54" s="193">
        <v>1</v>
      </c>
      <c r="CT54" s="193">
        <v>1.2</v>
      </c>
      <c r="CU54" s="382">
        <v>1</v>
      </c>
      <c r="CV54" s="193">
        <v>0</v>
      </c>
      <c r="CW54" s="193">
        <v>0</v>
      </c>
      <c r="CX54" s="193">
        <v>0</v>
      </c>
      <c r="CY54" s="193">
        <v>1.2</v>
      </c>
      <c r="CZ54" s="382">
        <v>1</v>
      </c>
      <c r="DA54" s="193">
        <v>0</v>
      </c>
      <c r="DB54" s="193">
        <v>0.8</v>
      </c>
      <c r="DC54" s="193">
        <v>1</v>
      </c>
      <c r="DD54" s="193">
        <v>1.2</v>
      </c>
      <c r="DE54" s="382">
        <v>1</v>
      </c>
      <c r="DF54" s="193">
        <v>0</v>
      </c>
      <c r="DG54" s="193">
        <v>0.8</v>
      </c>
      <c r="DH54" s="193">
        <v>1</v>
      </c>
      <c r="DI54" s="193">
        <v>1.2</v>
      </c>
      <c r="DJ54" s="382">
        <v>1</v>
      </c>
      <c r="DK54" s="193">
        <v>0</v>
      </c>
      <c r="DL54" s="193">
        <v>0</v>
      </c>
      <c r="DM54" s="193">
        <v>0</v>
      </c>
      <c r="DN54" s="193">
        <v>1.2</v>
      </c>
      <c r="DO54" s="382">
        <v>1</v>
      </c>
      <c r="DP54" s="193">
        <v>0</v>
      </c>
      <c r="DQ54" s="193">
        <v>0.8</v>
      </c>
      <c r="DR54" s="193">
        <v>1</v>
      </c>
      <c r="DS54" s="193">
        <v>1.2</v>
      </c>
      <c r="DT54" s="382">
        <v>1</v>
      </c>
      <c r="DU54" s="193">
        <v>0</v>
      </c>
      <c r="DV54" s="193">
        <v>0.8</v>
      </c>
      <c r="DW54" s="193">
        <v>1</v>
      </c>
      <c r="DX54" s="193">
        <v>1.2</v>
      </c>
      <c r="DY54" s="382">
        <v>1</v>
      </c>
      <c r="DZ54" s="193">
        <v>0</v>
      </c>
      <c r="EA54" s="193">
        <v>0</v>
      </c>
      <c r="EB54" s="193">
        <v>0</v>
      </c>
      <c r="EC54" s="193">
        <v>1.2</v>
      </c>
      <c r="ED54" s="382">
        <v>1</v>
      </c>
      <c r="EE54" s="193">
        <v>0</v>
      </c>
      <c r="EF54" s="193">
        <v>0.8</v>
      </c>
      <c r="EG54" s="193">
        <v>1</v>
      </c>
      <c r="EH54" s="193">
        <v>1.2</v>
      </c>
      <c r="EI54" s="382">
        <v>1</v>
      </c>
      <c r="EJ54" s="193">
        <v>0</v>
      </c>
      <c r="EK54" s="193">
        <v>0.8</v>
      </c>
      <c r="EL54" s="193">
        <v>1</v>
      </c>
      <c r="EM54" s="193">
        <v>1.2</v>
      </c>
      <c r="EN54" s="382">
        <v>1</v>
      </c>
      <c r="EO54" s="193">
        <v>0</v>
      </c>
      <c r="EP54" s="193">
        <v>0</v>
      </c>
      <c r="EQ54" s="193">
        <v>0</v>
      </c>
      <c r="ER54" s="193">
        <v>1.2</v>
      </c>
      <c r="ES54" s="382">
        <v>1</v>
      </c>
      <c r="ET54" s="193">
        <v>0</v>
      </c>
      <c r="EU54" s="193">
        <v>0.8</v>
      </c>
      <c r="EV54" s="193">
        <v>1</v>
      </c>
      <c r="EW54" s="193">
        <v>1.2</v>
      </c>
      <c r="EX54" s="382">
        <v>1</v>
      </c>
      <c r="EY54" s="193">
        <v>0</v>
      </c>
      <c r="EZ54" s="193">
        <v>0.8</v>
      </c>
      <c r="FA54" s="193">
        <v>1</v>
      </c>
      <c r="FB54" s="193">
        <v>1.2</v>
      </c>
      <c r="FC54" s="382">
        <v>1</v>
      </c>
      <c r="FD54" s="193">
        <v>0</v>
      </c>
      <c r="FE54" s="193">
        <v>0</v>
      </c>
      <c r="FF54" s="193">
        <v>0</v>
      </c>
      <c r="FG54" s="193">
        <v>1.2</v>
      </c>
      <c r="FH54" s="382">
        <v>1</v>
      </c>
      <c r="FI54" s="193">
        <v>0</v>
      </c>
      <c r="FJ54" s="193">
        <v>0.8</v>
      </c>
      <c r="FK54" s="193">
        <v>1</v>
      </c>
      <c r="FL54" s="193">
        <v>1.2</v>
      </c>
      <c r="FM54" s="382">
        <v>1</v>
      </c>
      <c r="FN54" s="193">
        <v>0</v>
      </c>
      <c r="FO54" s="193">
        <v>0.8</v>
      </c>
      <c r="FP54" s="193">
        <v>1</v>
      </c>
      <c r="FQ54" s="193">
        <v>1.2</v>
      </c>
      <c r="FR54" s="382">
        <v>1</v>
      </c>
      <c r="FS54" s="193">
        <v>0</v>
      </c>
      <c r="FT54" s="193">
        <v>0</v>
      </c>
      <c r="FU54" s="193">
        <v>0</v>
      </c>
      <c r="FV54" s="193">
        <v>1.2</v>
      </c>
      <c r="FW54" s="382">
        <v>1</v>
      </c>
      <c r="FX54" s="193">
        <v>0</v>
      </c>
      <c r="FY54" s="193">
        <v>0.8</v>
      </c>
      <c r="FZ54" s="193">
        <v>1</v>
      </c>
      <c r="GA54" s="193">
        <v>1.2</v>
      </c>
      <c r="GB54" s="382">
        <v>1</v>
      </c>
      <c r="GC54" s="193">
        <v>0</v>
      </c>
      <c r="GD54" s="193">
        <v>0.8</v>
      </c>
      <c r="GE54" s="193">
        <v>1</v>
      </c>
      <c r="GF54" s="193">
        <v>1.2</v>
      </c>
      <c r="GG54" s="382">
        <v>1</v>
      </c>
      <c r="GH54" s="193">
        <v>0</v>
      </c>
      <c r="GI54" s="193">
        <v>0</v>
      </c>
      <c r="GJ54" s="193">
        <v>0</v>
      </c>
      <c r="GK54" s="193">
        <v>1.2</v>
      </c>
      <c r="GL54" s="382">
        <v>1</v>
      </c>
      <c r="GM54" s="193">
        <v>0</v>
      </c>
      <c r="GN54" s="193">
        <v>0.8</v>
      </c>
      <c r="GO54" s="193">
        <v>1</v>
      </c>
      <c r="GP54" s="187">
        <v>1.2</v>
      </c>
      <c r="GQ54" s="382">
        <v>1</v>
      </c>
    </row>
    <row r="55" spans="1:199">
      <c r="A55" s="195"/>
      <c r="B55" s="200"/>
      <c r="C55" s="200"/>
      <c r="D55" s="382" t="s">
        <v>359</v>
      </c>
      <c r="E55" s="386">
        <v>0</v>
      </c>
      <c r="F55" s="201">
        <v>0.8</v>
      </c>
      <c r="G55" s="203">
        <v>1</v>
      </c>
      <c r="H55" s="201">
        <v>1.2</v>
      </c>
      <c r="I55" s="383">
        <v>1</v>
      </c>
      <c r="J55" s="383">
        <v>0</v>
      </c>
      <c r="K55" s="201">
        <v>0</v>
      </c>
      <c r="L55" s="201">
        <v>0</v>
      </c>
      <c r="M55" s="201">
        <v>1.2</v>
      </c>
      <c r="N55" s="383">
        <v>1</v>
      </c>
      <c r="O55" s="383">
        <v>0</v>
      </c>
      <c r="P55" s="201">
        <v>0.8</v>
      </c>
      <c r="Q55" s="201">
        <v>1</v>
      </c>
      <c r="R55" s="202">
        <v>1.2</v>
      </c>
      <c r="S55" s="382">
        <v>1</v>
      </c>
      <c r="T55" s="386">
        <v>0</v>
      </c>
      <c r="U55" s="201">
        <v>0.8</v>
      </c>
      <c r="V55" s="203">
        <v>1</v>
      </c>
      <c r="W55" s="201">
        <v>1.2</v>
      </c>
      <c r="X55" s="382">
        <v>1</v>
      </c>
      <c r="Y55" s="200">
        <v>0</v>
      </c>
      <c r="Z55" s="201">
        <v>0</v>
      </c>
      <c r="AA55" s="201">
        <v>0</v>
      </c>
      <c r="AB55" s="201">
        <v>1.2</v>
      </c>
      <c r="AC55" s="382">
        <v>1</v>
      </c>
      <c r="AD55" s="200">
        <v>0</v>
      </c>
      <c r="AE55" s="201">
        <v>0.8</v>
      </c>
      <c r="AF55" s="201">
        <v>1</v>
      </c>
      <c r="AG55" s="383">
        <v>1.2</v>
      </c>
      <c r="AH55" s="383">
        <v>1</v>
      </c>
      <c r="AI55" s="383">
        <v>0</v>
      </c>
      <c r="AJ55" s="383">
        <v>0.8</v>
      </c>
      <c r="AK55" s="201">
        <v>1</v>
      </c>
      <c r="AL55" s="201">
        <v>1.2</v>
      </c>
      <c r="AM55" s="383">
        <v>1</v>
      </c>
      <c r="AN55" s="383">
        <v>0</v>
      </c>
      <c r="AO55" s="201">
        <v>0</v>
      </c>
      <c r="AP55" s="201">
        <v>0</v>
      </c>
      <c r="AQ55" s="201">
        <v>1.2</v>
      </c>
      <c r="AR55" s="382">
        <v>1</v>
      </c>
      <c r="AS55" s="200">
        <v>0</v>
      </c>
      <c r="AT55" s="201">
        <v>0.8</v>
      </c>
      <c r="AU55" s="201">
        <v>1</v>
      </c>
      <c r="AV55" s="201">
        <v>1.2</v>
      </c>
      <c r="AW55" s="382">
        <v>1</v>
      </c>
      <c r="AX55" s="201">
        <v>0</v>
      </c>
      <c r="AY55" s="201">
        <v>0.8</v>
      </c>
      <c r="AZ55" s="201">
        <v>1</v>
      </c>
      <c r="BA55" s="201">
        <v>1.2</v>
      </c>
      <c r="BB55" s="382">
        <v>1</v>
      </c>
      <c r="BC55" s="201">
        <v>0</v>
      </c>
      <c r="BD55" s="201">
        <v>0</v>
      </c>
      <c r="BE55" s="201">
        <v>0</v>
      </c>
      <c r="BF55" s="201">
        <v>1.2</v>
      </c>
      <c r="BG55" s="382">
        <v>1</v>
      </c>
      <c r="BH55" s="201">
        <v>0</v>
      </c>
      <c r="BI55" s="201">
        <v>0.8</v>
      </c>
      <c r="BJ55" s="201">
        <v>1</v>
      </c>
      <c r="BK55" s="201">
        <v>1.2</v>
      </c>
      <c r="BL55" s="382">
        <v>1</v>
      </c>
      <c r="BM55" s="201">
        <v>0</v>
      </c>
      <c r="BN55" s="201">
        <v>0.8</v>
      </c>
      <c r="BO55" s="201">
        <v>1</v>
      </c>
      <c r="BP55" s="201">
        <v>1.2</v>
      </c>
      <c r="BQ55" s="382">
        <v>1</v>
      </c>
      <c r="BR55" s="201">
        <v>0</v>
      </c>
      <c r="BS55" s="201">
        <v>0</v>
      </c>
      <c r="BT55" s="201">
        <v>0</v>
      </c>
      <c r="BU55" s="201">
        <v>1.2</v>
      </c>
      <c r="BV55" s="382">
        <v>1</v>
      </c>
      <c r="BW55" s="201">
        <v>0</v>
      </c>
      <c r="BX55" s="201">
        <v>0.8</v>
      </c>
      <c r="BY55" s="201">
        <v>1</v>
      </c>
      <c r="BZ55" s="201">
        <v>1.2</v>
      </c>
      <c r="CA55" s="382">
        <v>1</v>
      </c>
      <c r="CB55" s="201">
        <v>0</v>
      </c>
      <c r="CC55" s="201">
        <v>0.8</v>
      </c>
      <c r="CD55" s="201">
        <v>1</v>
      </c>
      <c r="CE55" s="201">
        <v>1.2</v>
      </c>
      <c r="CF55" s="382">
        <v>1</v>
      </c>
      <c r="CG55" s="201">
        <v>0</v>
      </c>
      <c r="CH55" s="201">
        <v>0</v>
      </c>
      <c r="CI55" s="201">
        <v>0</v>
      </c>
      <c r="CJ55" s="201">
        <v>1.2</v>
      </c>
      <c r="CK55" s="382">
        <v>1</v>
      </c>
      <c r="CL55" s="201">
        <v>0</v>
      </c>
      <c r="CM55" s="201">
        <v>0.8</v>
      </c>
      <c r="CN55" s="201">
        <v>1</v>
      </c>
      <c r="CO55" s="201">
        <v>1.2</v>
      </c>
      <c r="CP55" s="382">
        <v>1</v>
      </c>
      <c r="CQ55" s="201">
        <v>0</v>
      </c>
      <c r="CR55" s="201">
        <v>0.8</v>
      </c>
      <c r="CS55" s="201">
        <v>1</v>
      </c>
      <c r="CT55" s="201">
        <v>1.2</v>
      </c>
      <c r="CU55" s="382">
        <v>1</v>
      </c>
      <c r="CV55" s="201">
        <v>0</v>
      </c>
      <c r="CW55" s="201">
        <v>0</v>
      </c>
      <c r="CX55" s="201">
        <v>0</v>
      </c>
      <c r="CY55" s="201">
        <v>1.2</v>
      </c>
      <c r="CZ55" s="382">
        <v>1</v>
      </c>
      <c r="DA55" s="201">
        <v>0</v>
      </c>
      <c r="DB55" s="201">
        <v>0.8</v>
      </c>
      <c r="DC55" s="201">
        <v>1</v>
      </c>
      <c r="DD55" s="201">
        <v>1.2</v>
      </c>
      <c r="DE55" s="382">
        <v>1</v>
      </c>
      <c r="DF55" s="201">
        <v>0</v>
      </c>
      <c r="DG55" s="201">
        <v>0.8</v>
      </c>
      <c r="DH55" s="201">
        <v>1</v>
      </c>
      <c r="DI55" s="201">
        <v>1.2</v>
      </c>
      <c r="DJ55" s="382">
        <v>1</v>
      </c>
      <c r="DK55" s="201">
        <v>0</v>
      </c>
      <c r="DL55" s="201">
        <v>0</v>
      </c>
      <c r="DM55" s="201">
        <v>0</v>
      </c>
      <c r="DN55" s="201">
        <v>1.2</v>
      </c>
      <c r="DO55" s="382">
        <v>1</v>
      </c>
      <c r="DP55" s="201">
        <v>0</v>
      </c>
      <c r="DQ55" s="201">
        <v>0.8</v>
      </c>
      <c r="DR55" s="201">
        <v>1</v>
      </c>
      <c r="DS55" s="201">
        <v>1.2</v>
      </c>
      <c r="DT55" s="382">
        <v>1</v>
      </c>
      <c r="DU55" s="201">
        <v>0</v>
      </c>
      <c r="DV55" s="201">
        <v>0.8</v>
      </c>
      <c r="DW55" s="201">
        <v>1</v>
      </c>
      <c r="DX55" s="201">
        <v>1.2</v>
      </c>
      <c r="DY55" s="382">
        <v>1</v>
      </c>
      <c r="DZ55" s="201">
        <v>0</v>
      </c>
      <c r="EA55" s="201">
        <v>0</v>
      </c>
      <c r="EB55" s="201">
        <v>0</v>
      </c>
      <c r="EC55" s="201">
        <v>1.2</v>
      </c>
      <c r="ED55" s="382">
        <v>1</v>
      </c>
      <c r="EE55" s="201">
        <v>0</v>
      </c>
      <c r="EF55" s="201">
        <v>0.8</v>
      </c>
      <c r="EG55" s="201">
        <v>1</v>
      </c>
      <c r="EH55" s="201">
        <v>1.2</v>
      </c>
      <c r="EI55" s="382">
        <v>1</v>
      </c>
      <c r="EJ55" s="201">
        <v>0</v>
      </c>
      <c r="EK55" s="201">
        <v>0.8</v>
      </c>
      <c r="EL55" s="201">
        <v>1</v>
      </c>
      <c r="EM55" s="201">
        <v>1.2</v>
      </c>
      <c r="EN55" s="382">
        <v>1</v>
      </c>
      <c r="EO55" s="201">
        <v>0</v>
      </c>
      <c r="EP55" s="201">
        <v>0</v>
      </c>
      <c r="EQ55" s="201">
        <v>0</v>
      </c>
      <c r="ER55" s="201">
        <v>1.2</v>
      </c>
      <c r="ES55" s="382">
        <v>1</v>
      </c>
      <c r="ET55" s="201">
        <v>0</v>
      </c>
      <c r="EU55" s="201">
        <v>0.8</v>
      </c>
      <c r="EV55" s="201">
        <v>1</v>
      </c>
      <c r="EW55" s="201">
        <v>1.2</v>
      </c>
      <c r="EX55" s="382">
        <v>1</v>
      </c>
      <c r="EY55" s="201">
        <v>0</v>
      </c>
      <c r="EZ55" s="201">
        <v>0.8</v>
      </c>
      <c r="FA55" s="201">
        <v>1</v>
      </c>
      <c r="FB55" s="201">
        <v>1.2</v>
      </c>
      <c r="FC55" s="382">
        <v>1</v>
      </c>
      <c r="FD55" s="201">
        <v>0</v>
      </c>
      <c r="FE55" s="201">
        <v>0</v>
      </c>
      <c r="FF55" s="201">
        <v>0</v>
      </c>
      <c r="FG55" s="201">
        <v>1.2</v>
      </c>
      <c r="FH55" s="382">
        <v>1</v>
      </c>
      <c r="FI55" s="201">
        <v>0</v>
      </c>
      <c r="FJ55" s="201">
        <v>0.8</v>
      </c>
      <c r="FK55" s="201">
        <v>1</v>
      </c>
      <c r="FL55" s="201">
        <v>1.2</v>
      </c>
      <c r="FM55" s="382">
        <v>1</v>
      </c>
      <c r="FN55" s="201">
        <v>0</v>
      </c>
      <c r="FO55" s="201">
        <v>0.8</v>
      </c>
      <c r="FP55" s="201">
        <v>1</v>
      </c>
      <c r="FQ55" s="201">
        <v>1.2</v>
      </c>
      <c r="FR55" s="382">
        <v>1</v>
      </c>
      <c r="FS55" s="201">
        <v>0</v>
      </c>
      <c r="FT55" s="201">
        <v>0</v>
      </c>
      <c r="FU55" s="201">
        <v>0</v>
      </c>
      <c r="FV55" s="201">
        <v>1.2</v>
      </c>
      <c r="FW55" s="382">
        <v>1</v>
      </c>
      <c r="FX55" s="201">
        <v>0</v>
      </c>
      <c r="FY55" s="201">
        <v>0.8</v>
      </c>
      <c r="FZ55" s="201">
        <v>1</v>
      </c>
      <c r="GA55" s="201">
        <v>1.2</v>
      </c>
      <c r="GB55" s="382">
        <v>1</v>
      </c>
      <c r="GC55" s="201">
        <v>0</v>
      </c>
      <c r="GD55" s="201">
        <v>0.8</v>
      </c>
      <c r="GE55" s="201">
        <v>1</v>
      </c>
      <c r="GF55" s="201">
        <v>1.2</v>
      </c>
      <c r="GG55" s="382">
        <v>1</v>
      </c>
      <c r="GH55" s="201">
        <v>0</v>
      </c>
      <c r="GI55" s="201">
        <v>0</v>
      </c>
      <c r="GJ55" s="201">
        <v>0</v>
      </c>
      <c r="GK55" s="201">
        <v>1.2</v>
      </c>
      <c r="GL55" s="382">
        <v>1</v>
      </c>
      <c r="GM55" s="201">
        <v>0</v>
      </c>
      <c r="GN55" s="201">
        <v>0.8</v>
      </c>
      <c r="GO55" s="201">
        <v>1</v>
      </c>
      <c r="GP55" s="202">
        <v>1.2</v>
      </c>
      <c r="GQ55" s="382">
        <v>1</v>
      </c>
    </row>
    <row r="56" spans="1:199">
      <c r="A56" s="195"/>
    </row>
    <row r="57" spans="1:199">
      <c r="A57" s="195" t="s">
        <v>1001</v>
      </c>
      <c r="B57" s="195" t="s">
        <v>143</v>
      </c>
      <c r="C57" s="207"/>
    </row>
    <row r="58" spans="1:199">
      <c r="A58" s="195"/>
      <c r="B58" s="196"/>
      <c r="C58" s="196" t="s">
        <v>987</v>
      </c>
      <c r="D58" s="196" t="s">
        <v>246</v>
      </c>
      <c r="E58" s="199">
        <v>0</v>
      </c>
      <c r="F58" s="197">
        <v>0.8</v>
      </c>
      <c r="G58" s="206">
        <v>1</v>
      </c>
      <c r="H58" s="204">
        <v>1.3</v>
      </c>
      <c r="I58" s="204">
        <v>1</v>
      </c>
      <c r="J58" s="204">
        <v>0</v>
      </c>
      <c r="K58" s="204">
        <v>0</v>
      </c>
      <c r="L58" s="204">
        <v>0</v>
      </c>
      <c r="M58" s="204">
        <v>0</v>
      </c>
      <c r="N58" s="204">
        <v>1</v>
      </c>
      <c r="O58" s="204">
        <v>0</v>
      </c>
      <c r="P58" s="204">
        <v>0.8</v>
      </c>
      <c r="Q58" s="204">
        <v>1</v>
      </c>
      <c r="R58" s="205">
        <v>1.3</v>
      </c>
      <c r="S58" s="186">
        <v>1</v>
      </c>
      <c r="T58" s="199">
        <v>0</v>
      </c>
      <c r="U58" s="197">
        <v>0.8</v>
      </c>
      <c r="V58" s="206">
        <v>1</v>
      </c>
      <c r="W58" s="204">
        <v>1.3</v>
      </c>
      <c r="X58" s="186">
        <v>1</v>
      </c>
      <c r="Y58" s="186">
        <v>0</v>
      </c>
      <c r="Z58" s="204">
        <v>0</v>
      </c>
      <c r="AA58" s="204">
        <v>0</v>
      </c>
      <c r="AB58" s="204">
        <v>1.3</v>
      </c>
      <c r="AC58" s="186">
        <v>1</v>
      </c>
      <c r="AD58" s="186">
        <v>0</v>
      </c>
      <c r="AE58" s="204">
        <v>0.8</v>
      </c>
      <c r="AF58" s="204">
        <v>1</v>
      </c>
      <c r="AG58" s="204">
        <v>1.3</v>
      </c>
      <c r="AH58" s="204">
        <v>1</v>
      </c>
      <c r="AI58" s="204">
        <v>0</v>
      </c>
      <c r="AJ58" s="204">
        <v>0.8</v>
      </c>
      <c r="AK58" s="204">
        <v>1</v>
      </c>
      <c r="AL58" s="204">
        <v>1.3</v>
      </c>
      <c r="AM58" s="204">
        <v>1</v>
      </c>
      <c r="AN58" s="204">
        <v>0</v>
      </c>
      <c r="AO58" s="204">
        <v>0</v>
      </c>
      <c r="AP58" s="204">
        <v>0</v>
      </c>
      <c r="AQ58" s="204">
        <v>1.3</v>
      </c>
      <c r="AR58" s="186">
        <v>1</v>
      </c>
      <c r="AS58" s="186">
        <v>0</v>
      </c>
      <c r="AT58" s="204">
        <v>0.8</v>
      </c>
      <c r="AU58" s="204">
        <v>1</v>
      </c>
      <c r="AV58" s="197">
        <v>1.3</v>
      </c>
      <c r="AW58" s="186">
        <v>1</v>
      </c>
      <c r="AX58" s="197">
        <v>0</v>
      </c>
      <c r="AY58" s="197">
        <v>0.8</v>
      </c>
      <c r="AZ58" s="197">
        <v>1</v>
      </c>
      <c r="BA58" s="197">
        <v>1.3</v>
      </c>
      <c r="BB58" s="186">
        <v>1</v>
      </c>
      <c r="BC58" s="197">
        <v>0</v>
      </c>
      <c r="BD58" s="197">
        <v>0</v>
      </c>
      <c r="BE58" s="197">
        <v>0</v>
      </c>
      <c r="BF58" s="197">
        <v>1.3</v>
      </c>
      <c r="BG58" s="186">
        <v>1</v>
      </c>
      <c r="BH58" s="197">
        <v>0</v>
      </c>
      <c r="BI58" s="197">
        <v>0.8</v>
      </c>
      <c r="BJ58" s="197">
        <v>1</v>
      </c>
      <c r="BK58" s="197">
        <v>1.3</v>
      </c>
      <c r="BL58" s="186">
        <v>1</v>
      </c>
      <c r="BM58" s="197">
        <v>0</v>
      </c>
      <c r="BN58" s="197">
        <v>0.8</v>
      </c>
      <c r="BO58" s="197">
        <v>1</v>
      </c>
      <c r="BP58" s="197">
        <v>1.3</v>
      </c>
      <c r="BQ58" s="186">
        <v>1</v>
      </c>
      <c r="BR58" s="197">
        <v>0</v>
      </c>
      <c r="BS58" s="197">
        <v>0</v>
      </c>
      <c r="BT58" s="197">
        <v>0</v>
      </c>
      <c r="BU58" s="197">
        <v>1.3</v>
      </c>
      <c r="BV58" s="186">
        <v>1</v>
      </c>
      <c r="BW58" s="197">
        <v>0</v>
      </c>
      <c r="BX58" s="197">
        <v>0.8</v>
      </c>
      <c r="BY58" s="197">
        <v>1</v>
      </c>
      <c r="BZ58" s="197">
        <v>1.3</v>
      </c>
      <c r="CA58" s="186">
        <v>1</v>
      </c>
      <c r="CB58" s="197">
        <v>0</v>
      </c>
      <c r="CC58" s="197">
        <v>0.8</v>
      </c>
      <c r="CD58" s="197">
        <v>1</v>
      </c>
      <c r="CE58" s="197">
        <v>1.3</v>
      </c>
      <c r="CF58" s="186">
        <v>1</v>
      </c>
      <c r="CG58" s="197">
        <v>0</v>
      </c>
      <c r="CH58" s="197">
        <v>0</v>
      </c>
      <c r="CI58" s="197">
        <v>0</v>
      </c>
      <c r="CJ58" s="197">
        <v>1.3</v>
      </c>
      <c r="CK58" s="186">
        <v>1</v>
      </c>
      <c r="CL58" s="197">
        <v>0</v>
      </c>
      <c r="CM58" s="197">
        <v>0.8</v>
      </c>
      <c r="CN58" s="197">
        <v>1</v>
      </c>
      <c r="CO58" s="197">
        <v>1.3</v>
      </c>
      <c r="CP58" s="186">
        <v>1</v>
      </c>
      <c r="CQ58" s="197">
        <v>0</v>
      </c>
      <c r="CR58" s="197">
        <v>0.8</v>
      </c>
      <c r="CS58" s="197">
        <v>1</v>
      </c>
      <c r="CT58" s="197">
        <v>1.3</v>
      </c>
      <c r="CU58" s="186">
        <v>1</v>
      </c>
      <c r="CV58" s="197">
        <v>0</v>
      </c>
      <c r="CW58" s="197">
        <v>0</v>
      </c>
      <c r="CX58" s="197">
        <v>0</v>
      </c>
      <c r="CY58" s="197">
        <v>1.3</v>
      </c>
      <c r="CZ58" s="186">
        <v>1</v>
      </c>
      <c r="DA58" s="197">
        <v>0</v>
      </c>
      <c r="DB58" s="197">
        <v>0.8</v>
      </c>
      <c r="DC58" s="197">
        <v>1</v>
      </c>
      <c r="DD58" s="197">
        <v>1.3</v>
      </c>
      <c r="DE58" s="186">
        <v>1</v>
      </c>
      <c r="DF58" s="197">
        <v>0</v>
      </c>
      <c r="DG58" s="197">
        <v>0.8</v>
      </c>
      <c r="DH58" s="197">
        <v>1</v>
      </c>
      <c r="DI58" s="197">
        <v>1.3</v>
      </c>
      <c r="DJ58" s="186">
        <v>1</v>
      </c>
      <c r="DK58" s="197">
        <v>0</v>
      </c>
      <c r="DL58" s="197">
        <v>0</v>
      </c>
      <c r="DM58" s="197">
        <v>0</v>
      </c>
      <c r="DN58" s="197">
        <v>1.3</v>
      </c>
      <c r="DO58" s="186">
        <v>1</v>
      </c>
      <c r="DP58" s="197">
        <v>0</v>
      </c>
      <c r="DQ58" s="197">
        <v>0.8</v>
      </c>
      <c r="DR58" s="197">
        <v>1</v>
      </c>
      <c r="DS58" s="197">
        <v>1.3</v>
      </c>
      <c r="DT58" s="186">
        <v>1</v>
      </c>
      <c r="DU58" s="197">
        <v>0</v>
      </c>
      <c r="DV58" s="197">
        <v>0.8</v>
      </c>
      <c r="DW58" s="197">
        <v>1</v>
      </c>
      <c r="DX58" s="197">
        <v>1.3</v>
      </c>
      <c r="DY58" s="186">
        <v>1</v>
      </c>
      <c r="DZ58" s="197">
        <v>0</v>
      </c>
      <c r="EA58" s="197">
        <v>0</v>
      </c>
      <c r="EB58" s="197">
        <v>0</v>
      </c>
      <c r="EC58" s="197">
        <v>1.3</v>
      </c>
      <c r="ED58" s="186">
        <v>1</v>
      </c>
      <c r="EE58" s="197">
        <v>0</v>
      </c>
      <c r="EF58" s="197">
        <v>0.8</v>
      </c>
      <c r="EG58" s="197">
        <v>1</v>
      </c>
      <c r="EH58" s="197">
        <v>1.3</v>
      </c>
      <c r="EI58" s="186">
        <v>1</v>
      </c>
      <c r="EJ58" s="197">
        <v>0</v>
      </c>
      <c r="EK58" s="197">
        <v>0.8</v>
      </c>
      <c r="EL58" s="197">
        <v>1</v>
      </c>
      <c r="EM58" s="197">
        <v>1.3</v>
      </c>
      <c r="EN58" s="186">
        <v>1</v>
      </c>
      <c r="EO58" s="197">
        <v>0</v>
      </c>
      <c r="EP58" s="197">
        <v>0</v>
      </c>
      <c r="EQ58" s="197">
        <v>0</v>
      </c>
      <c r="ER58" s="197">
        <v>1.3</v>
      </c>
      <c r="ES58" s="186">
        <v>1</v>
      </c>
      <c r="ET58" s="197">
        <v>0</v>
      </c>
      <c r="EU58" s="197">
        <v>0.8</v>
      </c>
      <c r="EV58" s="197">
        <v>1</v>
      </c>
      <c r="EW58" s="197">
        <v>1.3</v>
      </c>
      <c r="EX58" s="186">
        <v>1</v>
      </c>
      <c r="EY58" s="197">
        <v>0</v>
      </c>
      <c r="EZ58" s="197">
        <v>0.8</v>
      </c>
      <c r="FA58" s="197">
        <v>1</v>
      </c>
      <c r="FB58" s="197">
        <v>1.3</v>
      </c>
      <c r="FC58" s="186">
        <v>1</v>
      </c>
      <c r="FD58" s="197">
        <v>0</v>
      </c>
      <c r="FE58" s="197">
        <v>0</v>
      </c>
      <c r="FF58" s="197">
        <v>0</v>
      </c>
      <c r="FG58" s="197">
        <v>1.3</v>
      </c>
      <c r="FH58" s="186">
        <v>1</v>
      </c>
      <c r="FI58" s="197">
        <v>0</v>
      </c>
      <c r="FJ58" s="197">
        <v>0.8</v>
      </c>
      <c r="FK58" s="197">
        <v>1</v>
      </c>
      <c r="FL58" s="197">
        <v>1.3</v>
      </c>
      <c r="FM58" s="186">
        <v>1</v>
      </c>
      <c r="FN58" s="197">
        <v>0</v>
      </c>
      <c r="FO58" s="197">
        <v>0.8</v>
      </c>
      <c r="FP58" s="197">
        <v>1</v>
      </c>
      <c r="FQ58" s="197">
        <v>1.3</v>
      </c>
      <c r="FR58" s="186">
        <v>1</v>
      </c>
      <c r="FS58" s="197">
        <v>0</v>
      </c>
      <c r="FT58" s="197">
        <v>0</v>
      </c>
      <c r="FU58" s="197">
        <v>0</v>
      </c>
      <c r="FV58" s="197">
        <v>1.3</v>
      </c>
      <c r="FW58" s="186">
        <v>1</v>
      </c>
      <c r="FX58" s="197">
        <v>0</v>
      </c>
      <c r="FY58" s="197">
        <v>0.8</v>
      </c>
      <c r="FZ58" s="197">
        <v>1</v>
      </c>
      <c r="GA58" s="197">
        <v>1.3</v>
      </c>
      <c r="GB58" s="186">
        <v>1</v>
      </c>
      <c r="GC58" s="197">
        <v>0</v>
      </c>
      <c r="GD58" s="197">
        <v>0.8</v>
      </c>
      <c r="GE58" s="197">
        <v>1</v>
      </c>
      <c r="GF58" s="197">
        <v>1.3</v>
      </c>
      <c r="GG58" s="186">
        <v>1</v>
      </c>
      <c r="GH58" s="197">
        <v>0</v>
      </c>
      <c r="GI58" s="197">
        <v>0</v>
      </c>
      <c r="GJ58" s="197">
        <v>0</v>
      </c>
      <c r="GK58" s="197">
        <v>1.3</v>
      </c>
      <c r="GL58" s="186">
        <v>1</v>
      </c>
      <c r="GM58" s="197">
        <v>0</v>
      </c>
      <c r="GN58" s="197">
        <v>0.8</v>
      </c>
      <c r="GO58" s="197">
        <v>1</v>
      </c>
      <c r="GP58" s="198">
        <v>1.3</v>
      </c>
      <c r="GQ58" s="186">
        <v>1</v>
      </c>
    </row>
    <row r="59" spans="1:199">
      <c r="A59" s="195"/>
      <c r="B59" s="188"/>
      <c r="C59" s="188" t="s">
        <v>303</v>
      </c>
      <c r="D59" s="188" t="s">
        <v>235</v>
      </c>
      <c r="E59" s="190">
        <v>0</v>
      </c>
      <c r="F59" s="193">
        <v>0.8</v>
      </c>
      <c r="G59" s="203">
        <v>1</v>
      </c>
      <c r="H59" s="201">
        <v>1.2</v>
      </c>
      <c r="I59" s="383">
        <v>1</v>
      </c>
      <c r="J59" s="383">
        <v>0</v>
      </c>
      <c r="K59" s="201">
        <v>0.8</v>
      </c>
      <c r="L59" s="201">
        <v>1</v>
      </c>
      <c r="M59" s="201">
        <v>1.2</v>
      </c>
      <c r="N59" s="383">
        <v>1</v>
      </c>
      <c r="O59" s="383">
        <v>0</v>
      </c>
      <c r="P59" s="201">
        <v>0.8</v>
      </c>
      <c r="Q59" s="201">
        <v>1</v>
      </c>
      <c r="R59" s="202">
        <v>1.2</v>
      </c>
      <c r="S59" s="382">
        <v>1</v>
      </c>
      <c r="T59" s="190">
        <v>0</v>
      </c>
      <c r="U59" s="193">
        <v>0.8</v>
      </c>
      <c r="V59" s="203">
        <v>1</v>
      </c>
      <c r="W59" s="201">
        <v>1.2</v>
      </c>
      <c r="X59" s="382">
        <v>1</v>
      </c>
      <c r="Y59" s="200">
        <v>0</v>
      </c>
      <c r="Z59" s="201">
        <v>0.8</v>
      </c>
      <c r="AA59" s="201">
        <v>1</v>
      </c>
      <c r="AB59" s="201">
        <v>1.2</v>
      </c>
      <c r="AC59" s="382">
        <v>1</v>
      </c>
      <c r="AD59" s="200">
        <v>0</v>
      </c>
      <c r="AE59" s="201">
        <v>0.8</v>
      </c>
      <c r="AF59" s="201">
        <v>1</v>
      </c>
      <c r="AG59" s="383">
        <v>1.2</v>
      </c>
      <c r="AH59" s="383">
        <v>1</v>
      </c>
      <c r="AI59" s="383">
        <v>0</v>
      </c>
      <c r="AJ59" s="383">
        <v>0.8</v>
      </c>
      <c r="AK59" s="201">
        <v>1</v>
      </c>
      <c r="AL59" s="201">
        <v>1.2</v>
      </c>
      <c r="AM59" s="383">
        <v>1</v>
      </c>
      <c r="AN59" s="383">
        <v>0</v>
      </c>
      <c r="AO59" s="201">
        <v>0.8</v>
      </c>
      <c r="AP59" s="201">
        <v>1</v>
      </c>
      <c r="AQ59" s="201">
        <v>1.2</v>
      </c>
      <c r="AR59" s="382">
        <v>1</v>
      </c>
      <c r="AS59" s="200">
        <v>0</v>
      </c>
      <c r="AT59" s="201">
        <v>0.8</v>
      </c>
      <c r="AU59" s="201">
        <v>1</v>
      </c>
      <c r="AV59" s="193">
        <v>1.2</v>
      </c>
      <c r="AW59" s="382">
        <v>1</v>
      </c>
      <c r="AX59" s="193">
        <v>0</v>
      </c>
      <c r="AY59" s="193">
        <v>0.8</v>
      </c>
      <c r="AZ59" s="193">
        <v>1</v>
      </c>
      <c r="BA59" s="193">
        <v>1.2</v>
      </c>
      <c r="BB59" s="382">
        <v>1</v>
      </c>
      <c r="BC59" s="193">
        <v>0</v>
      </c>
      <c r="BD59" s="193">
        <v>0.8</v>
      </c>
      <c r="BE59" s="193">
        <v>1</v>
      </c>
      <c r="BF59" s="193">
        <v>1.2</v>
      </c>
      <c r="BG59" s="382">
        <v>1</v>
      </c>
      <c r="BH59" s="193">
        <v>0</v>
      </c>
      <c r="BI59" s="193">
        <v>0.8</v>
      </c>
      <c r="BJ59" s="193">
        <v>1</v>
      </c>
      <c r="BK59" s="193">
        <v>1.2</v>
      </c>
      <c r="BL59" s="382">
        <v>1</v>
      </c>
      <c r="BM59" s="193">
        <v>0</v>
      </c>
      <c r="BN59" s="193">
        <v>0.8</v>
      </c>
      <c r="BO59" s="193">
        <v>1</v>
      </c>
      <c r="BP59" s="193">
        <v>1.2</v>
      </c>
      <c r="BQ59" s="382">
        <v>1</v>
      </c>
      <c r="BR59" s="193">
        <v>0</v>
      </c>
      <c r="BS59" s="193">
        <v>0.8</v>
      </c>
      <c r="BT59" s="193">
        <v>1</v>
      </c>
      <c r="BU59" s="193">
        <v>1.2</v>
      </c>
      <c r="BV59" s="382">
        <v>1</v>
      </c>
      <c r="BW59" s="193">
        <v>0</v>
      </c>
      <c r="BX59" s="193">
        <v>0.8</v>
      </c>
      <c r="BY59" s="193">
        <v>1</v>
      </c>
      <c r="BZ59" s="193">
        <v>1.2</v>
      </c>
      <c r="CA59" s="382">
        <v>1</v>
      </c>
      <c r="CB59" s="193">
        <v>0</v>
      </c>
      <c r="CC59" s="193">
        <v>0.8</v>
      </c>
      <c r="CD59" s="193">
        <v>1</v>
      </c>
      <c r="CE59" s="193">
        <v>1.2</v>
      </c>
      <c r="CF59" s="382">
        <v>1</v>
      </c>
      <c r="CG59" s="193">
        <v>0</v>
      </c>
      <c r="CH59" s="193">
        <v>0.8</v>
      </c>
      <c r="CI59" s="193">
        <v>1</v>
      </c>
      <c r="CJ59" s="193">
        <v>1.2</v>
      </c>
      <c r="CK59" s="382">
        <v>1</v>
      </c>
      <c r="CL59" s="193">
        <v>0</v>
      </c>
      <c r="CM59" s="193">
        <v>0.8</v>
      </c>
      <c r="CN59" s="193">
        <v>1</v>
      </c>
      <c r="CO59" s="193">
        <v>1.2</v>
      </c>
      <c r="CP59" s="382">
        <v>1</v>
      </c>
      <c r="CQ59" s="193">
        <v>0</v>
      </c>
      <c r="CR59" s="193">
        <v>0.8</v>
      </c>
      <c r="CS59" s="193">
        <v>1</v>
      </c>
      <c r="CT59" s="193">
        <v>1.2</v>
      </c>
      <c r="CU59" s="382">
        <v>1</v>
      </c>
      <c r="CV59" s="193">
        <v>0</v>
      </c>
      <c r="CW59" s="193">
        <v>0.8</v>
      </c>
      <c r="CX59" s="193">
        <v>1</v>
      </c>
      <c r="CY59" s="193">
        <v>1.2</v>
      </c>
      <c r="CZ59" s="382">
        <v>1</v>
      </c>
      <c r="DA59" s="193">
        <v>0</v>
      </c>
      <c r="DB59" s="193">
        <v>0.8</v>
      </c>
      <c r="DC59" s="193">
        <v>1</v>
      </c>
      <c r="DD59" s="193">
        <v>1.2</v>
      </c>
      <c r="DE59" s="382">
        <v>1</v>
      </c>
      <c r="DF59" s="193">
        <v>0</v>
      </c>
      <c r="DG59" s="193">
        <v>0.8</v>
      </c>
      <c r="DH59" s="193">
        <v>1</v>
      </c>
      <c r="DI59" s="193">
        <v>1.2</v>
      </c>
      <c r="DJ59" s="382">
        <v>1</v>
      </c>
      <c r="DK59" s="193">
        <v>0</v>
      </c>
      <c r="DL59" s="193">
        <v>0.8</v>
      </c>
      <c r="DM59" s="193">
        <v>1</v>
      </c>
      <c r="DN59" s="193">
        <v>1.2</v>
      </c>
      <c r="DO59" s="382">
        <v>1</v>
      </c>
      <c r="DP59" s="193">
        <v>0</v>
      </c>
      <c r="DQ59" s="193">
        <v>0.8</v>
      </c>
      <c r="DR59" s="193">
        <v>1</v>
      </c>
      <c r="DS59" s="193">
        <v>1.2</v>
      </c>
      <c r="DT59" s="382">
        <v>1</v>
      </c>
      <c r="DU59" s="193">
        <v>0</v>
      </c>
      <c r="DV59" s="193">
        <v>0.8</v>
      </c>
      <c r="DW59" s="193">
        <v>1</v>
      </c>
      <c r="DX59" s="193">
        <v>1.2</v>
      </c>
      <c r="DY59" s="382">
        <v>1</v>
      </c>
      <c r="DZ59" s="193">
        <v>0</v>
      </c>
      <c r="EA59" s="193">
        <v>0.8</v>
      </c>
      <c r="EB59" s="193">
        <v>1</v>
      </c>
      <c r="EC59" s="193">
        <v>1.2</v>
      </c>
      <c r="ED59" s="382">
        <v>1</v>
      </c>
      <c r="EE59" s="193">
        <v>0</v>
      </c>
      <c r="EF59" s="193">
        <v>0.8</v>
      </c>
      <c r="EG59" s="193">
        <v>1</v>
      </c>
      <c r="EH59" s="193">
        <v>1.2</v>
      </c>
      <c r="EI59" s="382">
        <v>1</v>
      </c>
      <c r="EJ59" s="193">
        <v>0</v>
      </c>
      <c r="EK59" s="193">
        <v>0.8</v>
      </c>
      <c r="EL59" s="193">
        <v>1</v>
      </c>
      <c r="EM59" s="193">
        <v>1.2</v>
      </c>
      <c r="EN59" s="382">
        <v>1</v>
      </c>
      <c r="EO59" s="193">
        <v>0</v>
      </c>
      <c r="EP59" s="193">
        <v>0.8</v>
      </c>
      <c r="EQ59" s="193">
        <v>1</v>
      </c>
      <c r="ER59" s="193">
        <v>1.2</v>
      </c>
      <c r="ES59" s="382">
        <v>1</v>
      </c>
      <c r="ET59" s="193">
        <v>0</v>
      </c>
      <c r="EU59" s="193">
        <v>0.8</v>
      </c>
      <c r="EV59" s="193">
        <v>1</v>
      </c>
      <c r="EW59" s="193">
        <v>1.2</v>
      </c>
      <c r="EX59" s="382">
        <v>1</v>
      </c>
      <c r="EY59" s="193">
        <v>0</v>
      </c>
      <c r="EZ59" s="193">
        <v>0.8</v>
      </c>
      <c r="FA59" s="193">
        <v>1</v>
      </c>
      <c r="FB59" s="193">
        <v>1.2</v>
      </c>
      <c r="FC59" s="382">
        <v>1</v>
      </c>
      <c r="FD59" s="193">
        <v>0</v>
      </c>
      <c r="FE59" s="193">
        <v>0.8</v>
      </c>
      <c r="FF59" s="193">
        <v>1</v>
      </c>
      <c r="FG59" s="193">
        <v>1.2</v>
      </c>
      <c r="FH59" s="382">
        <v>1</v>
      </c>
      <c r="FI59" s="193">
        <v>0</v>
      </c>
      <c r="FJ59" s="193">
        <v>0.8</v>
      </c>
      <c r="FK59" s="193">
        <v>1</v>
      </c>
      <c r="FL59" s="193">
        <v>1.2</v>
      </c>
      <c r="FM59" s="382">
        <v>1</v>
      </c>
      <c r="FN59" s="193">
        <v>0</v>
      </c>
      <c r="FO59" s="193">
        <v>0.8</v>
      </c>
      <c r="FP59" s="193">
        <v>1</v>
      </c>
      <c r="FQ59" s="193">
        <v>1.2</v>
      </c>
      <c r="FR59" s="382">
        <v>1</v>
      </c>
      <c r="FS59" s="193">
        <v>0</v>
      </c>
      <c r="FT59" s="193">
        <v>0.8</v>
      </c>
      <c r="FU59" s="193">
        <v>1</v>
      </c>
      <c r="FV59" s="193">
        <v>1.2</v>
      </c>
      <c r="FW59" s="382">
        <v>1</v>
      </c>
      <c r="FX59" s="193">
        <v>0</v>
      </c>
      <c r="FY59" s="193">
        <v>0.8</v>
      </c>
      <c r="FZ59" s="193">
        <v>1</v>
      </c>
      <c r="GA59" s="193">
        <v>1.2</v>
      </c>
      <c r="GB59" s="382">
        <v>1</v>
      </c>
      <c r="GC59" s="193">
        <v>0</v>
      </c>
      <c r="GD59" s="193">
        <v>0.8</v>
      </c>
      <c r="GE59" s="193">
        <v>1</v>
      </c>
      <c r="GF59" s="193">
        <v>1.2</v>
      </c>
      <c r="GG59" s="382">
        <v>1</v>
      </c>
      <c r="GH59" s="193">
        <v>0</v>
      </c>
      <c r="GI59" s="193">
        <v>0.8</v>
      </c>
      <c r="GJ59" s="193">
        <v>1</v>
      </c>
      <c r="GK59" s="193">
        <v>1.2</v>
      </c>
      <c r="GL59" s="382">
        <v>1</v>
      </c>
      <c r="GM59" s="193">
        <v>0</v>
      </c>
      <c r="GN59" s="193">
        <v>0.8</v>
      </c>
      <c r="GO59" s="193">
        <v>1</v>
      </c>
      <c r="GP59" s="187">
        <v>1.2</v>
      </c>
      <c r="GQ59" s="382">
        <v>1</v>
      </c>
    </row>
    <row r="60" spans="1:199">
      <c r="A60" s="195"/>
      <c r="B60" s="188"/>
      <c r="C60" s="188"/>
      <c r="D60" s="188" t="s">
        <v>965</v>
      </c>
      <c r="E60" s="190">
        <v>0</v>
      </c>
      <c r="F60" s="193">
        <v>0.9</v>
      </c>
      <c r="G60" s="203">
        <v>1</v>
      </c>
      <c r="H60" s="201">
        <v>1.1000000000000001</v>
      </c>
      <c r="I60" s="383">
        <v>1</v>
      </c>
      <c r="J60" s="383">
        <v>0</v>
      </c>
      <c r="K60" s="201">
        <v>0.9</v>
      </c>
      <c r="L60" s="201">
        <v>1</v>
      </c>
      <c r="M60" s="201">
        <v>1.1000000000000001</v>
      </c>
      <c r="N60" s="383">
        <v>1</v>
      </c>
      <c r="O60" s="383">
        <v>0</v>
      </c>
      <c r="P60" s="201">
        <v>0.9</v>
      </c>
      <c r="Q60" s="201">
        <v>1</v>
      </c>
      <c r="R60" s="202">
        <v>1.1000000000000001</v>
      </c>
      <c r="S60" s="382">
        <v>1</v>
      </c>
      <c r="T60" s="190">
        <v>0</v>
      </c>
      <c r="U60" s="193">
        <v>0.9</v>
      </c>
      <c r="V60" s="203">
        <v>1</v>
      </c>
      <c r="W60" s="201">
        <v>1.1000000000000001</v>
      </c>
      <c r="X60" s="382">
        <v>1</v>
      </c>
      <c r="Y60" s="200">
        <v>0</v>
      </c>
      <c r="Z60" s="201">
        <v>0.9</v>
      </c>
      <c r="AA60" s="201">
        <v>1</v>
      </c>
      <c r="AB60" s="201">
        <v>1.1000000000000001</v>
      </c>
      <c r="AC60" s="382">
        <v>1</v>
      </c>
      <c r="AD60" s="200">
        <v>0</v>
      </c>
      <c r="AE60" s="201">
        <v>0.9</v>
      </c>
      <c r="AF60" s="201">
        <v>1</v>
      </c>
      <c r="AG60" s="383">
        <v>1.1000000000000001</v>
      </c>
      <c r="AH60" s="383">
        <v>1</v>
      </c>
      <c r="AI60" s="383">
        <v>0</v>
      </c>
      <c r="AJ60" s="383">
        <v>0.9</v>
      </c>
      <c r="AK60" s="201">
        <v>1</v>
      </c>
      <c r="AL60" s="201">
        <v>1.1000000000000001</v>
      </c>
      <c r="AM60" s="383">
        <v>1</v>
      </c>
      <c r="AN60" s="383">
        <v>0</v>
      </c>
      <c r="AO60" s="201">
        <v>0.9</v>
      </c>
      <c r="AP60" s="201">
        <v>1</v>
      </c>
      <c r="AQ60" s="201">
        <v>1.1000000000000001</v>
      </c>
      <c r="AR60" s="382">
        <v>1</v>
      </c>
      <c r="AS60" s="200">
        <v>0</v>
      </c>
      <c r="AT60" s="201">
        <v>0.9</v>
      </c>
      <c r="AU60" s="201">
        <v>1</v>
      </c>
      <c r="AV60" s="193">
        <v>1.1000000000000001</v>
      </c>
      <c r="AW60" s="382">
        <v>1</v>
      </c>
      <c r="AX60" s="193">
        <v>0</v>
      </c>
      <c r="AY60" s="193">
        <v>0.9</v>
      </c>
      <c r="AZ60" s="193">
        <v>1</v>
      </c>
      <c r="BA60" s="193">
        <v>1.1000000000000001</v>
      </c>
      <c r="BB60" s="382">
        <v>1</v>
      </c>
      <c r="BC60" s="193">
        <v>0</v>
      </c>
      <c r="BD60" s="193">
        <v>0.9</v>
      </c>
      <c r="BE60" s="193">
        <v>1</v>
      </c>
      <c r="BF60" s="193">
        <v>1.1000000000000001</v>
      </c>
      <c r="BG60" s="382">
        <v>1</v>
      </c>
      <c r="BH60" s="193">
        <v>0</v>
      </c>
      <c r="BI60" s="193">
        <v>0.9</v>
      </c>
      <c r="BJ60" s="193">
        <v>1</v>
      </c>
      <c r="BK60" s="193">
        <v>1.1000000000000001</v>
      </c>
      <c r="BL60" s="382">
        <v>1</v>
      </c>
      <c r="BM60" s="193">
        <v>0</v>
      </c>
      <c r="BN60" s="193">
        <v>0.9</v>
      </c>
      <c r="BO60" s="193">
        <v>1</v>
      </c>
      <c r="BP60" s="193">
        <v>1.1000000000000001</v>
      </c>
      <c r="BQ60" s="382">
        <v>1</v>
      </c>
      <c r="BR60" s="193">
        <v>0</v>
      </c>
      <c r="BS60" s="193">
        <v>0.9</v>
      </c>
      <c r="BT60" s="193">
        <v>1</v>
      </c>
      <c r="BU60" s="193">
        <v>1.1000000000000001</v>
      </c>
      <c r="BV60" s="382">
        <v>1</v>
      </c>
      <c r="BW60" s="193">
        <v>0</v>
      </c>
      <c r="BX60" s="193">
        <v>0.9</v>
      </c>
      <c r="BY60" s="193">
        <v>1</v>
      </c>
      <c r="BZ60" s="193">
        <v>1.1000000000000001</v>
      </c>
      <c r="CA60" s="382">
        <v>1</v>
      </c>
      <c r="CB60" s="193">
        <v>0</v>
      </c>
      <c r="CC60" s="193">
        <v>0.9</v>
      </c>
      <c r="CD60" s="193">
        <v>1</v>
      </c>
      <c r="CE60" s="193">
        <v>1.1000000000000001</v>
      </c>
      <c r="CF60" s="382">
        <v>1</v>
      </c>
      <c r="CG60" s="193">
        <v>0</v>
      </c>
      <c r="CH60" s="193">
        <v>0.9</v>
      </c>
      <c r="CI60" s="193">
        <v>1</v>
      </c>
      <c r="CJ60" s="193">
        <v>1.1000000000000001</v>
      </c>
      <c r="CK60" s="382">
        <v>1</v>
      </c>
      <c r="CL60" s="193">
        <v>0</v>
      </c>
      <c r="CM60" s="193">
        <v>0.9</v>
      </c>
      <c r="CN60" s="193">
        <v>1</v>
      </c>
      <c r="CO60" s="193">
        <v>1.1000000000000001</v>
      </c>
      <c r="CP60" s="382">
        <v>1</v>
      </c>
      <c r="CQ60" s="193">
        <v>0</v>
      </c>
      <c r="CR60" s="193">
        <v>0.9</v>
      </c>
      <c r="CS60" s="193">
        <v>1</v>
      </c>
      <c r="CT60" s="193">
        <v>1.1000000000000001</v>
      </c>
      <c r="CU60" s="382">
        <v>1</v>
      </c>
      <c r="CV60" s="193">
        <v>0</v>
      </c>
      <c r="CW60" s="193">
        <v>0.9</v>
      </c>
      <c r="CX60" s="193">
        <v>1</v>
      </c>
      <c r="CY60" s="193">
        <v>1.1000000000000001</v>
      </c>
      <c r="CZ60" s="382">
        <v>1</v>
      </c>
      <c r="DA60" s="193">
        <v>0</v>
      </c>
      <c r="DB60" s="193">
        <v>0.9</v>
      </c>
      <c r="DC60" s="193">
        <v>1</v>
      </c>
      <c r="DD60" s="193">
        <v>1.1000000000000001</v>
      </c>
      <c r="DE60" s="382">
        <v>1</v>
      </c>
      <c r="DF60" s="193">
        <v>0</v>
      </c>
      <c r="DG60" s="193">
        <v>0.9</v>
      </c>
      <c r="DH60" s="193">
        <v>1</v>
      </c>
      <c r="DI60" s="193">
        <v>1.1000000000000001</v>
      </c>
      <c r="DJ60" s="382">
        <v>1</v>
      </c>
      <c r="DK60" s="193">
        <v>0</v>
      </c>
      <c r="DL60" s="193">
        <v>0.9</v>
      </c>
      <c r="DM60" s="193">
        <v>1</v>
      </c>
      <c r="DN60" s="193">
        <v>1.1000000000000001</v>
      </c>
      <c r="DO60" s="382">
        <v>1</v>
      </c>
      <c r="DP60" s="193">
        <v>0</v>
      </c>
      <c r="DQ60" s="193">
        <v>0.9</v>
      </c>
      <c r="DR60" s="193">
        <v>1</v>
      </c>
      <c r="DS60" s="193">
        <v>1.1000000000000001</v>
      </c>
      <c r="DT60" s="382">
        <v>1</v>
      </c>
      <c r="DU60" s="193">
        <v>0</v>
      </c>
      <c r="DV60" s="193">
        <v>0.9</v>
      </c>
      <c r="DW60" s="193">
        <v>1</v>
      </c>
      <c r="DX60" s="193">
        <v>1.1000000000000001</v>
      </c>
      <c r="DY60" s="382">
        <v>1</v>
      </c>
      <c r="DZ60" s="193">
        <v>0</v>
      </c>
      <c r="EA60" s="193">
        <v>0.9</v>
      </c>
      <c r="EB60" s="193">
        <v>1</v>
      </c>
      <c r="EC60" s="193">
        <v>1.1000000000000001</v>
      </c>
      <c r="ED60" s="382">
        <v>1</v>
      </c>
      <c r="EE60" s="193">
        <v>0</v>
      </c>
      <c r="EF60" s="193">
        <v>0.9</v>
      </c>
      <c r="EG60" s="193">
        <v>1</v>
      </c>
      <c r="EH60" s="193">
        <v>1.1000000000000001</v>
      </c>
      <c r="EI60" s="382">
        <v>1</v>
      </c>
      <c r="EJ60" s="193">
        <v>0</v>
      </c>
      <c r="EK60" s="193">
        <v>0.9</v>
      </c>
      <c r="EL60" s="193">
        <v>1</v>
      </c>
      <c r="EM60" s="193">
        <v>1.1000000000000001</v>
      </c>
      <c r="EN60" s="382">
        <v>1</v>
      </c>
      <c r="EO60" s="193">
        <v>0</v>
      </c>
      <c r="EP60" s="193">
        <v>0.9</v>
      </c>
      <c r="EQ60" s="193">
        <v>1</v>
      </c>
      <c r="ER60" s="193">
        <v>1.1000000000000001</v>
      </c>
      <c r="ES60" s="382">
        <v>1</v>
      </c>
      <c r="ET60" s="193">
        <v>0</v>
      </c>
      <c r="EU60" s="193">
        <v>0.9</v>
      </c>
      <c r="EV60" s="193">
        <v>1</v>
      </c>
      <c r="EW60" s="193">
        <v>1.1000000000000001</v>
      </c>
      <c r="EX60" s="382">
        <v>1</v>
      </c>
      <c r="EY60" s="193">
        <v>0</v>
      </c>
      <c r="EZ60" s="193">
        <v>0.9</v>
      </c>
      <c r="FA60" s="193">
        <v>1</v>
      </c>
      <c r="FB60" s="193">
        <v>1.1000000000000001</v>
      </c>
      <c r="FC60" s="382">
        <v>1</v>
      </c>
      <c r="FD60" s="193">
        <v>0</v>
      </c>
      <c r="FE60" s="193">
        <v>0.9</v>
      </c>
      <c r="FF60" s="193">
        <v>1</v>
      </c>
      <c r="FG60" s="193">
        <v>1.1000000000000001</v>
      </c>
      <c r="FH60" s="382">
        <v>1</v>
      </c>
      <c r="FI60" s="193">
        <v>0</v>
      </c>
      <c r="FJ60" s="193">
        <v>0.9</v>
      </c>
      <c r="FK60" s="193">
        <v>1</v>
      </c>
      <c r="FL60" s="193">
        <v>1.1000000000000001</v>
      </c>
      <c r="FM60" s="382">
        <v>1</v>
      </c>
      <c r="FN60" s="193">
        <v>0</v>
      </c>
      <c r="FO60" s="193">
        <v>0.9</v>
      </c>
      <c r="FP60" s="193">
        <v>1</v>
      </c>
      <c r="FQ60" s="193">
        <v>1.1000000000000001</v>
      </c>
      <c r="FR60" s="382">
        <v>1</v>
      </c>
      <c r="FS60" s="193">
        <v>0</v>
      </c>
      <c r="FT60" s="193">
        <v>0.9</v>
      </c>
      <c r="FU60" s="193">
        <v>1</v>
      </c>
      <c r="FV60" s="193">
        <v>1.1000000000000001</v>
      </c>
      <c r="FW60" s="382">
        <v>1</v>
      </c>
      <c r="FX60" s="193">
        <v>0</v>
      </c>
      <c r="FY60" s="193">
        <v>0.9</v>
      </c>
      <c r="FZ60" s="193">
        <v>1</v>
      </c>
      <c r="GA60" s="193">
        <v>1.1000000000000001</v>
      </c>
      <c r="GB60" s="382">
        <v>1</v>
      </c>
      <c r="GC60" s="193">
        <v>0</v>
      </c>
      <c r="GD60" s="193">
        <v>0.9</v>
      </c>
      <c r="GE60" s="193">
        <v>1</v>
      </c>
      <c r="GF60" s="193">
        <v>1.1000000000000001</v>
      </c>
      <c r="GG60" s="382">
        <v>1</v>
      </c>
      <c r="GH60" s="193">
        <v>0</v>
      </c>
      <c r="GI60" s="193">
        <v>0.9</v>
      </c>
      <c r="GJ60" s="193">
        <v>1</v>
      </c>
      <c r="GK60" s="193">
        <v>1.1000000000000001</v>
      </c>
      <c r="GL60" s="382">
        <v>1</v>
      </c>
      <c r="GM60" s="193">
        <v>0</v>
      </c>
      <c r="GN60" s="193">
        <v>0.9</v>
      </c>
      <c r="GO60" s="193">
        <v>1</v>
      </c>
      <c r="GP60" s="187">
        <v>1.1000000000000001</v>
      </c>
      <c r="GQ60" s="382">
        <v>1</v>
      </c>
    </row>
    <row r="61" spans="1:199">
      <c r="A61" s="195"/>
      <c r="B61" s="188"/>
      <c r="C61" s="188"/>
      <c r="D61" s="188" t="s">
        <v>231</v>
      </c>
      <c r="E61" s="190">
        <v>0</v>
      </c>
      <c r="F61" s="193">
        <v>0.9</v>
      </c>
      <c r="G61" s="203">
        <v>1</v>
      </c>
      <c r="H61" s="201">
        <v>1.1000000000000001</v>
      </c>
      <c r="I61" s="383">
        <v>1</v>
      </c>
      <c r="J61" s="383">
        <v>0</v>
      </c>
      <c r="K61" s="201">
        <v>0</v>
      </c>
      <c r="L61" s="201">
        <v>1</v>
      </c>
      <c r="M61" s="201">
        <v>1.1000000000000001</v>
      </c>
      <c r="N61" s="383">
        <v>1</v>
      </c>
      <c r="O61" s="383">
        <v>0</v>
      </c>
      <c r="P61" s="201">
        <v>0.9</v>
      </c>
      <c r="Q61" s="201">
        <v>1</v>
      </c>
      <c r="R61" s="202">
        <v>1.1000000000000001</v>
      </c>
      <c r="S61" s="382">
        <v>1</v>
      </c>
      <c r="T61" s="190">
        <v>0</v>
      </c>
      <c r="U61" s="193">
        <v>0.9</v>
      </c>
      <c r="V61" s="203">
        <v>1</v>
      </c>
      <c r="W61" s="201">
        <v>1.1000000000000001</v>
      </c>
      <c r="X61" s="382">
        <v>1</v>
      </c>
      <c r="Y61" s="200">
        <v>0</v>
      </c>
      <c r="Z61" s="201">
        <v>0</v>
      </c>
      <c r="AA61" s="201">
        <v>1</v>
      </c>
      <c r="AB61" s="201">
        <v>1.1000000000000001</v>
      </c>
      <c r="AC61" s="382">
        <v>1</v>
      </c>
      <c r="AD61" s="200">
        <v>0</v>
      </c>
      <c r="AE61" s="201">
        <v>0.9</v>
      </c>
      <c r="AF61" s="201">
        <v>1</v>
      </c>
      <c r="AG61" s="383">
        <v>1.1000000000000001</v>
      </c>
      <c r="AH61" s="383">
        <v>1</v>
      </c>
      <c r="AI61" s="383">
        <v>0</v>
      </c>
      <c r="AJ61" s="383">
        <v>0.9</v>
      </c>
      <c r="AK61" s="201">
        <v>1</v>
      </c>
      <c r="AL61" s="201">
        <v>1.1000000000000001</v>
      </c>
      <c r="AM61" s="383">
        <v>1</v>
      </c>
      <c r="AN61" s="383">
        <v>0</v>
      </c>
      <c r="AO61" s="201">
        <v>0</v>
      </c>
      <c r="AP61" s="201">
        <v>1</v>
      </c>
      <c r="AQ61" s="201">
        <v>1.1000000000000001</v>
      </c>
      <c r="AR61" s="382">
        <v>1</v>
      </c>
      <c r="AS61" s="200">
        <v>0</v>
      </c>
      <c r="AT61" s="201">
        <v>0.9</v>
      </c>
      <c r="AU61" s="201">
        <v>1</v>
      </c>
      <c r="AV61" s="193">
        <v>1.1000000000000001</v>
      </c>
      <c r="AW61" s="382">
        <v>1</v>
      </c>
      <c r="AX61" s="193">
        <v>0</v>
      </c>
      <c r="AY61" s="193">
        <v>0.9</v>
      </c>
      <c r="AZ61" s="193">
        <v>1</v>
      </c>
      <c r="BA61" s="193">
        <v>1.1000000000000001</v>
      </c>
      <c r="BB61" s="382">
        <v>1</v>
      </c>
      <c r="BC61" s="193">
        <v>0</v>
      </c>
      <c r="BD61" s="193">
        <v>0</v>
      </c>
      <c r="BE61" s="193">
        <v>1</v>
      </c>
      <c r="BF61" s="193">
        <v>1.1000000000000001</v>
      </c>
      <c r="BG61" s="382">
        <v>1</v>
      </c>
      <c r="BH61" s="193">
        <v>0</v>
      </c>
      <c r="BI61" s="193">
        <v>0.9</v>
      </c>
      <c r="BJ61" s="193">
        <v>1</v>
      </c>
      <c r="BK61" s="193">
        <v>1.1000000000000001</v>
      </c>
      <c r="BL61" s="382">
        <v>1</v>
      </c>
      <c r="BM61" s="193">
        <v>0</v>
      </c>
      <c r="BN61" s="193">
        <v>0.9</v>
      </c>
      <c r="BO61" s="193">
        <v>1</v>
      </c>
      <c r="BP61" s="193">
        <v>1.1000000000000001</v>
      </c>
      <c r="BQ61" s="382">
        <v>1</v>
      </c>
      <c r="BR61" s="193">
        <v>0</v>
      </c>
      <c r="BS61" s="193">
        <v>0</v>
      </c>
      <c r="BT61" s="193">
        <v>1</v>
      </c>
      <c r="BU61" s="193">
        <v>1.1000000000000001</v>
      </c>
      <c r="BV61" s="382">
        <v>1</v>
      </c>
      <c r="BW61" s="193">
        <v>0</v>
      </c>
      <c r="BX61" s="193">
        <v>0.9</v>
      </c>
      <c r="BY61" s="193">
        <v>1</v>
      </c>
      <c r="BZ61" s="193">
        <v>1.1000000000000001</v>
      </c>
      <c r="CA61" s="382">
        <v>1</v>
      </c>
      <c r="CB61" s="193">
        <v>0</v>
      </c>
      <c r="CC61" s="193">
        <v>0.9</v>
      </c>
      <c r="CD61" s="193">
        <v>1</v>
      </c>
      <c r="CE61" s="193">
        <v>1.1000000000000001</v>
      </c>
      <c r="CF61" s="382">
        <v>1</v>
      </c>
      <c r="CG61" s="193">
        <v>0</v>
      </c>
      <c r="CH61" s="193">
        <v>0</v>
      </c>
      <c r="CI61" s="193">
        <v>1</v>
      </c>
      <c r="CJ61" s="193">
        <v>1.1000000000000001</v>
      </c>
      <c r="CK61" s="382">
        <v>1</v>
      </c>
      <c r="CL61" s="193">
        <v>0</v>
      </c>
      <c r="CM61" s="193">
        <v>0.9</v>
      </c>
      <c r="CN61" s="193">
        <v>1</v>
      </c>
      <c r="CO61" s="193">
        <v>1.1000000000000001</v>
      </c>
      <c r="CP61" s="382">
        <v>1</v>
      </c>
      <c r="CQ61" s="193">
        <v>0</v>
      </c>
      <c r="CR61" s="193">
        <v>0.9</v>
      </c>
      <c r="CS61" s="193">
        <v>1</v>
      </c>
      <c r="CT61" s="193">
        <v>1.1000000000000001</v>
      </c>
      <c r="CU61" s="382">
        <v>1</v>
      </c>
      <c r="CV61" s="193">
        <v>0</v>
      </c>
      <c r="CW61" s="193">
        <v>0</v>
      </c>
      <c r="CX61" s="193">
        <v>1</v>
      </c>
      <c r="CY61" s="193">
        <v>1.1000000000000001</v>
      </c>
      <c r="CZ61" s="382">
        <v>1</v>
      </c>
      <c r="DA61" s="193">
        <v>0</v>
      </c>
      <c r="DB61" s="193">
        <v>0.9</v>
      </c>
      <c r="DC61" s="193">
        <v>1</v>
      </c>
      <c r="DD61" s="193">
        <v>1.1000000000000001</v>
      </c>
      <c r="DE61" s="382">
        <v>1</v>
      </c>
      <c r="DF61" s="193">
        <v>0</v>
      </c>
      <c r="DG61" s="193">
        <v>0.9</v>
      </c>
      <c r="DH61" s="193">
        <v>1</v>
      </c>
      <c r="DI61" s="193">
        <v>1.1000000000000001</v>
      </c>
      <c r="DJ61" s="382">
        <v>1</v>
      </c>
      <c r="DK61" s="193">
        <v>0</v>
      </c>
      <c r="DL61" s="193">
        <v>0</v>
      </c>
      <c r="DM61" s="193">
        <v>1</v>
      </c>
      <c r="DN61" s="193">
        <v>1.1000000000000001</v>
      </c>
      <c r="DO61" s="382">
        <v>1</v>
      </c>
      <c r="DP61" s="193">
        <v>0</v>
      </c>
      <c r="DQ61" s="193">
        <v>0.9</v>
      </c>
      <c r="DR61" s="193">
        <v>1</v>
      </c>
      <c r="DS61" s="193">
        <v>1.1000000000000001</v>
      </c>
      <c r="DT61" s="382">
        <v>1</v>
      </c>
      <c r="DU61" s="193">
        <v>0</v>
      </c>
      <c r="DV61" s="193">
        <v>0.9</v>
      </c>
      <c r="DW61" s="193">
        <v>1</v>
      </c>
      <c r="DX61" s="193">
        <v>1.1000000000000001</v>
      </c>
      <c r="DY61" s="382">
        <v>1</v>
      </c>
      <c r="DZ61" s="193">
        <v>0</v>
      </c>
      <c r="EA61" s="193">
        <v>0</v>
      </c>
      <c r="EB61" s="193">
        <v>1</v>
      </c>
      <c r="EC61" s="193">
        <v>1.1000000000000001</v>
      </c>
      <c r="ED61" s="382">
        <v>1</v>
      </c>
      <c r="EE61" s="193">
        <v>0</v>
      </c>
      <c r="EF61" s="193">
        <v>0.9</v>
      </c>
      <c r="EG61" s="193">
        <v>1</v>
      </c>
      <c r="EH61" s="193">
        <v>1.1000000000000001</v>
      </c>
      <c r="EI61" s="382">
        <v>1</v>
      </c>
      <c r="EJ61" s="193">
        <v>0</v>
      </c>
      <c r="EK61" s="193">
        <v>0.9</v>
      </c>
      <c r="EL61" s="193">
        <v>1</v>
      </c>
      <c r="EM61" s="193">
        <v>1.1000000000000001</v>
      </c>
      <c r="EN61" s="382">
        <v>1</v>
      </c>
      <c r="EO61" s="193">
        <v>0</v>
      </c>
      <c r="EP61" s="193">
        <v>0</v>
      </c>
      <c r="EQ61" s="193">
        <v>1</v>
      </c>
      <c r="ER61" s="193">
        <v>1.1000000000000001</v>
      </c>
      <c r="ES61" s="382">
        <v>1</v>
      </c>
      <c r="ET61" s="193">
        <v>0</v>
      </c>
      <c r="EU61" s="193">
        <v>0.9</v>
      </c>
      <c r="EV61" s="193">
        <v>1</v>
      </c>
      <c r="EW61" s="193">
        <v>1.1000000000000001</v>
      </c>
      <c r="EX61" s="382">
        <v>1</v>
      </c>
      <c r="EY61" s="193">
        <v>0</v>
      </c>
      <c r="EZ61" s="193">
        <v>0.9</v>
      </c>
      <c r="FA61" s="193">
        <v>1</v>
      </c>
      <c r="FB61" s="193">
        <v>1.1000000000000001</v>
      </c>
      <c r="FC61" s="382">
        <v>1</v>
      </c>
      <c r="FD61" s="193">
        <v>0</v>
      </c>
      <c r="FE61" s="193">
        <v>0</v>
      </c>
      <c r="FF61" s="193">
        <v>1</v>
      </c>
      <c r="FG61" s="193">
        <v>1.1000000000000001</v>
      </c>
      <c r="FH61" s="382">
        <v>1</v>
      </c>
      <c r="FI61" s="193">
        <v>0</v>
      </c>
      <c r="FJ61" s="193">
        <v>0.9</v>
      </c>
      <c r="FK61" s="193">
        <v>1</v>
      </c>
      <c r="FL61" s="193">
        <v>1.1000000000000001</v>
      </c>
      <c r="FM61" s="382">
        <v>1</v>
      </c>
      <c r="FN61" s="193">
        <v>0</v>
      </c>
      <c r="FO61" s="193">
        <v>0.9</v>
      </c>
      <c r="FP61" s="193">
        <v>1</v>
      </c>
      <c r="FQ61" s="193">
        <v>1.1000000000000001</v>
      </c>
      <c r="FR61" s="382">
        <v>1</v>
      </c>
      <c r="FS61" s="193">
        <v>0</v>
      </c>
      <c r="FT61" s="193">
        <v>0</v>
      </c>
      <c r="FU61" s="193">
        <v>1</v>
      </c>
      <c r="FV61" s="193">
        <v>1.1000000000000001</v>
      </c>
      <c r="FW61" s="382">
        <v>1</v>
      </c>
      <c r="FX61" s="193">
        <v>0</v>
      </c>
      <c r="FY61" s="193">
        <v>0.9</v>
      </c>
      <c r="FZ61" s="193">
        <v>1</v>
      </c>
      <c r="GA61" s="193">
        <v>1.1000000000000001</v>
      </c>
      <c r="GB61" s="382">
        <v>1</v>
      </c>
      <c r="GC61" s="193">
        <v>0</v>
      </c>
      <c r="GD61" s="193">
        <v>0.9</v>
      </c>
      <c r="GE61" s="193">
        <v>1</v>
      </c>
      <c r="GF61" s="193">
        <v>1.1000000000000001</v>
      </c>
      <c r="GG61" s="382">
        <v>1</v>
      </c>
      <c r="GH61" s="193">
        <v>0</v>
      </c>
      <c r="GI61" s="193">
        <v>0</v>
      </c>
      <c r="GJ61" s="193">
        <v>1</v>
      </c>
      <c r="GK61" s="193">
        <v>1.1000000000000001</v>
      </c>
      <c r="GL61" s="382">
        <v>1</v>
      </c>
      <c r="GM61" s="193">
        <v>0</v>
      </c>
      <c r="GN61" s="193">
        <v>0.9</v>
      </c>
      <c r="GO61" s="193">
        <v>1</v>
      </c>
      <c r="GP61" s="187">
        <v>1.1000000000000001</v>
      </c>
      <c r="GQ61" s="382">
        <v>1</v>
      </c>
    </row>
    <row r="62" spans="1:199">
      <c r="A62" s="195"/>
      <c r="B62" s="188"/>
      <c r="C62" s="188"/>
      <c r="D62" s="188" t="s">
        <v>966</v>
      </c>
      <c r="E62" s="190">
        <v>0</v>
      </c>
      <c r="F62" s="193">
        <v>0.8</v>
      </c>
      <c r="G62" s="203">
        <v>1</v>
      </c>
      <c r="H62" s="201">
        <v>1.2</v>
      </c>
      <c r="I62" s="383">
        <v>1</v>
      </c>
      <c r="J62" s="383">
        <v>0</v>
      </c>
      <c r="K62" s="201">
        <v>0.8</v>
      </c>
      <c r="L62" s="201">
        <v>1</v>
      </c>
      <c r="M62" s="201">
        <v>1.2</v>
      </c>
      <c r="N62" s="383">
        <v>1</v>
      </c>
      <c r="O62" s="383">
        <v>0</v>
      </c>
      <c r="P62" s="201">
        <v>0.8</v>
      </c>
      <c r="Q62" s="201">
        <v>1</v>
      </c>
      <c r="R62" s="202">
        <v>1.2</v>
      </c>
      <c r="S62" s="382">
        <v>1</v>
      </c>
      <c r="T62" s="190">
        <v>0</v>
      </c>
      <c r="U62" s="193">
        <v>0.8</v>
      </c>
      <c r="V62" s="203">
        <v>1</v>
      </c>
      <c r="W62" s="201">
        <v>1.2</v>
      </c>
      <c r="X62" s="382">
        <v>1</v>
      </c>
      <c r="Y62" s="200">
        <v>0</v>
      </c>
      <c r="Z62" s="201">
        <v>0.8</v>
      </c>
      <c r="AA62" s="201">
        <v>1</v>
      </c>
      <c r="AB62" s="201">
        <v>1.2</v>
      </c>
      <c r="AC62" s="382">
        <v>1</v>
      </c>
      <c r="AD62" s="200">
        <v>0</v>
      </c>
      <c r="AE62" s="201">
        <v>0.8</v>
      </c>
      <c r="AF62" s="201">
        <v>1</v>
      </c>
      <c r="AG62" s="383">
        <v>1.2</v>
      </c>
      <c r="AH62" s="383">
        <v>1</v>
      </c>
      <c r="AI62" s="383">
        <v>0</v>
      </c>
      <c r="AJ62" s="383">
        <v>0.8</v>
      </c>
      <c r="AK62" s="201">
        <v>1</v>
      </c>
      <c r="AL62" s="201">
        <v>1.2</v>
      </c>
      <c r="AM62" s="383">
        <v>1</v>
      </c>
      <c r="AN62" s="383">
        <v>0</v>
      </c>
      <c r="AO62" s="201">
        <v>0.8</v>
      </c>
      <c r="AP62" s="201">
        <v>1</v>
      </c>
      <c r="AQ62" s="201">
        <v>1.2</v>
      </c>
      <c r="AR62" s="382">
        <v>1</v>
      </c>
      <c r="AS62" s="200">
        <v>0</v>
      </c>
      <c r="AT62" s="201">
        <v>0.8</v>
      </c>
      <c r="AU62" s="201">
        <v>1</v>
      </c>
      <c r="AV62" s="193">
        <v>1.2</v>
      </c>
      <c r="AW62" s="382">
        <v>1</v>
      </c>
      <c r="AX62" s="193">
        <v>0</v>
      </c>
      <c r="AY62" s="193">
        <v>0.8</v>
      </c>
      <c r="AZ62" s="193">
        <v>1</v>
      </c>
      <c r="BA62" s="193">
        <v>1.2</v>
      </c>
      <c r="BB62" s="382">
        <v>1</v>
      </c>
      <c r="BC62" s="193">
        <v>0</v>
      </c>
      <c r="BD62" s="193">
        <v>0.8</v>
      </c>
      <c r="BE62" s="193">
        <v>1</v>
      </c>
      <c r="BF62" s="193">
        <v>1.2</v>
      </c>
      <c r="BG62" s="382">
        <v>1</v>
      </c>
      <c r="BH62" s="193">
        <v>0</v>
      </c>
      <c r="BI62" s="193">
        <v>0.8</v>
      </c>
      <c r="BJ62" s="193">
        <v>1</v>
      </c>
      <c r="BK62" s="193">
        <v>1.2</v>
      </c>
      <c r="BL62" s="382">
        <v>1</v>
      </c>
      <c r="BM62" s="193">
        <v>0</v>
      </c>
      <c r="BN62" s="193">
        <v>0.8</v>
      </c>
      <c r="BO62" s="193">
        <v>1</v>
      </c>
      <c r="BP62" s="193">
        <v>1.2</v>
      </c>
      <c r="BQ62" s="382">
        <v>1</v>
      </c>
      <c r="BR62" s="193">
        <v>0</v>
      </c>
      <c r="BS62" s="193">
        <v>0.8</v>
      </c>
      <c r="BT62" s="193">
        <v>1</v>
      </c>
      <c r="BU62" s="193">
        <v>1.2</v>
      </c>
      <c r="BV62" s="382">
        <v>1</v>
      </c>
      <c r="BW62" s="193">
        <v>0</v>
      </c>
      <c r="BX62" s="193">
        <v>0.8</v>
      </c>
      <c r="BY62" s="193">
        <v>1</v>
      </c>
      <c r="BZ62" s="193">
        <v>1.2</v>
      </c>
      <c r="CA62" s="382">
        <v>1</v>
      </c>
      <c r="CB62" s="193">
        <v>0</v>
      </c>
      <c r="CC62" s="193">
        <v>0.8</v>
      </c>
      <c r="CD62" s="193">
        <v>1</v>
      </c>
      <c r="CE62" s="193">
        <v>1.2</v>
      </c>
      <c r="CF62" s="382">
        <v>1</v>
      </c>
      <c r="CG62" s="193">
        <v>0</v>
      </c>
      <c r="CH62" s="193">
        <v>0.8</v>
      </c>
      <c r="CI62" s="193">
        <v>1</v>
      </c>
      <c r="CJ62" s="193">
        <v>1.2</v>
      </c>
      <c r="CK62" s="382">
        <v>1</v>
      </c>
      <c r="CL62" s="193">
        <v>0</v>
      </c>
      <c r="CM62" s="193">
        <v>0.8</v>
      </c>
      <c r="CN62" s="193">
        <v>1</v>
      </c>
      <c r="CO62" s="193">
        <v>1.2</v>
      </c>
      <c r="CP62" s="382">
        <v>1</v>
      </c>
      <c r="CQ62" s="193">
        <v>0</v>
      </c>
      <c r="CR62" s="193">
        <v>0.8</v>
      </c>
      <c r="CS62" s="193">
        <v>1</v>
      </c>
      <c r="CT62" s="193">
        <v>1.2</v>
      </c>
      <c r="CU62" s="382">
        <v>1</v>
      </c>
      <c r="CV62" s="193">
        <v>0</v>
      </c>
      <c r="CW62" s="193">
        <v>0.8</v>
      </c>
      <c r="CX62" s="193">
        <v>1</v>
      </c>
      <c r="CY62" s="193">
        <v>1.2</v>
      </c>
      <c r="CZ62" s="382">
        <v>1</v>
      </c>
      <c r="DA62" s="193">
        <v>0</v>
      </c>
      <c r="DB62" s="193">
        <v>0.8</v>
      </c>
      <c r="DC62" s="193">
        <v>1</v>
      </c>
      <c r="DD62" s="193">
        <v>1.2</v>
      </c>
      <c r="DE62" s="382">
        <v>1</v>
      </c>
      <c r="DF62" s="193">
        <v>0</v>
      </c>
      <c r="DG62" s="193">
        <v>0.8</v>
      </c>
      <c r="DH62" s="193">
        <v>1</v>
      </c>
      <c r="DI62" s="193">
        <v>1.2</v>
      </c>
      <c r="DJ62" s="382">
        <v>1</v>
      </c>
      <c r="DK62" s="193">
        <v>0</v>
      </c>
      <c r="DL62" s="193">
        <v>0.8</v>
      </c>
      <c r="DM62" s="193">
        <v>1</v>
      </c>
      <c r="DN62" s="193">
        <v>1.2</v>
      </c>
      <c r="DO62" s="382">
        <v>1</v>
      </c>
      <c r="DP62" s="193">
        <v>0</v>
      </c>
      <c r="DQ62" s="193">
        <v>0.8</v>
      </c>
      <c r="DR62" s="193">
        <v>1</v>
      </c>
      <c r="DS62" s="193">
        <v>1.2</v>
      </c>
      <c r="DT62" s="382">
        <v>1</v>
      </c>
      <c r="DU62" s="193">
        <v>0</v>
      </c>
      <c r="DV62" s="193">
        <v>0.8</v>
      </c>
      <c r="DW62" s="193">
        <v>1</v>
      </c>
      <c r="DX62" s="193">
        <v>1.2</v>
      </c>
      <c r="DY62" s="382">
        <v>1</v>
      </c>
      <c r="DZ62" s="193">
        <v>0</v>
      </c>
      <c r="EA62" s="193">
        <v>0.8</v>
      </c>
      <c r="EB62" s="193">
        <v>1</v>
      </c>
      <c r="EC62" s="193">
        <v>1.2</v>
      </c>
      <c r="ED62" s="382">
        <v>1</v>
      </c>
      <c r="EE62" s="193">
        <v>0</v>
      </c>
      <c r="EF62" s="193">
        <v>0.8</v>
      </c>
      <c r="EG62" s="193">
        <v>1</v>
      </c>
      <c r="EH62" s="193">
        <v>1.2</v>
      </c>
      <c r="EI62" s="382">
        <v>1</v>
      </c>
      <c r="EJ62" s="193">
        <v>0</v>
      </c>
      <c r="EK62" s="193">
        <v>0.8</v>
      </c>
      <c r="EL62" s="193">
        <v>1</v>
      </c>
      <c r="EM62" s="193">
        <v>1.2</v>
      </c>
      <c r="EN62" s="382">
        <v>1</v>
      </c>
      <c r="EO62" s="193">
        <v>0</v>
      </c>
      <c r="EP62" s="193">
        <v>0.8</v>
      </c>
      <c r="EQ62" s="193">
        <v>1</v>
      </c>
      <c r="ER62" s="193">
        <v>1.2</v>
      </c>
      <c r="ES62" s="382">
        <v>1</v>
      </c>
      <c r="ET62" s="193">
        <v>0</v>
      </c>
      <c r="EU62" s="193">
        <v>0.8</v>
      </c>
      <c r="EV62" s="193">
        <v>1</v>
      </c>
      <c r="EW62" s="193">
        <v>1.2</v>
      </c>
      <c r="EX62" s="382">
        <v>1</v>
      </c>
      <c r="EY62" s="193">
        <v>0</v>
      </c>
      <c r="EZ62" s="193">
        <v>0.8</v>
      </c>
      <c r="FA62" s="193">
        <v>1</v>
      </c>
      <c r="FB62" s="193">
        <v>1.2</v>
      </c>
      <c r="FC62" s="382">
        <v>1</v>
      </c>
      <c r="FD62" s="193">
        <v>0</v>
      </c>
      <c r="FE62" s="193">
        <v>0.8</v>
      </c>
      <c r="FF62" s="193">
        <v>1</v>
      </c>
      <c r="FG62" s="193">
        <v>1.2</v>
      </c>
      <c r="FH62" s="382">
        <v>1</v>
      </c>
      <c r="FI62" s="193">
        <v>0</v>
      </c>
      <c r="FJ62" s="193">
        <v>0.8</v>
      </c>
      <c r="FK62" s="193">
        <v>1</v>
      </c>
      <c r="FL62" s="193">
        <v>1.2</v>
      </c>
      <c r="FM62" s="382">
        <v>1</v>
      </c>
      <c r="FN62" s="193">
        <v>0</v>
      </c>
      <c r="FO62" s="193">
        <v>0.8</v>
      </c>
      <c r="FP62" s="193">
        <v>1</v>
      </c>
      <c r="FQ62" s="193">
        <v>1.2</v>
      </c>
      <c r="FR62" s="382">
        <v>1</v>
      </c>
      <c r="FS62" s="193">
        <v>0</v>
      </c>
      <c r="FT62" s="193">
        <v>0.8</v>
      </c>
      <c r="FU62" s="193">
        <v>1</v>
      </c>
      <c r="FV62" s="193">
        <v>1.2</v>
      </c>
      <c r="FW62" s="382">
        <v>1</v>
      </c>
      <c r="FX62" s="193">
        <v>0</v>
      </c>
      <c r="FY62" s="193">
        <v>0.8</v>
      </c>
      <c r="FZ62" s="193">
        <v>1</v>
      </c>
      <c r="GA62" s="193">
        <v>1.2</v>
      </c>
      <c r="GB62" s="382">
        <v>1</v>
      </c>
      <c r="GC62" s="193">
        <v>0</v>
      </c>
      <c r="GD62" s="193">
        <v>0.8</v>
      </c>
      <c r="GE62" s="193">
        <v>1</v>
      </c>
      <c r="GF62" s="193">
        <v>1.2</v>
      </c>
      <c r="GG62" s="382">
        <v>1</v>
      </c>
      <c r="GH62" s="193">
        <v>0</v>
      </c>
      <c r="GI62" s="193">
        <v>0.8</v>
      </c>
      <c r="GJ62" s="193">
        <v>1</v>
      </c>
      <c r="GK62" s="193">
        <v>1.2</v>
      </c>
      <c r="GL62" s="382">
        <v>1</v>
      </c>
      <c r="GM62" s="193">
        <v>0</v>
      </c>
      <c r="GN62" s="193">
        <v>0.8</v>
      </c>
      <c r="GO62" s="193">
        <v>1</v>
      </c>
      <c r="GP62" s="187">
        <v>1.2</v>
      </c>
      <c r="GQ62" s="382">
        <v>1</v>
      </c>
    </row>
    <row r="63" spans="1:199">
      <c r="A63" s="195"/>
      <c r="B63" s="188"/>
      <c r="C63" s="188" t="s">
        <v>997</v>
      </c>
      <c r="D63" s="188" t="s">
        <v>206</v>
      </c>
      <c r="E63" s="190">
        <v>0</v>
      </c>
      <c r="F63" s="193">
        <v>0</v>
      </c>
      <c r="G63" s="203">
        <v>0</v>
      </c>
      <c r="H63" s="201">
        <v>0</v>
      </c>
      <c r="I63" s="383">
        <v>1</v>
      </c>
      <c r="J63" s="383">
        <v>0</v>
      </c>
      <c r="K63" s="201">
        <v>0</v>
      </c>
      <c r="L63" s="201">
        <v>0</v>
      </c>
      <c r="M63" s="201">
        <v>0</v>
      </c>
      <c r="N63" s="383">
        <v>1</v>
      </c>
      <c r="O63" s="383">
        <v>0</v>
      </c>
      <c r="P63" s="201">
        <v>0</v>
      </c>
      <c r="Q63" s="201">
        <v>0</v>
      </c>
      <c r="R63" s="202">
        <v>0</v>
      </c>
      <c r="S63" s="382">
        <v>1</v>
      </c>
      <c r="T63" s="190">
        <v>0</v>
      </c>
      <c r="U63" s="193">
        <v>0</v>
      </c>
      <c r="V63" s="203">
        <v>0</v>
      </c>
      <c r="W63" s="201">
        <v>0</v>
      </c>
      <c r="X63" s="382">
        <v>1</v>
      </c>
      <c r="Y63" s="200">
        <v>0</v>
      </c>
      <c r="Z63" s="201">
        <v>0</v>
      </c>
      <c r="AA63" s="201">
        <v>0</v>
      </c>
      <c r="AB63" s="201">
        <v>0</v>
      </c>
      <c r="AC63" s="382">
        <v>1</v>
      </c>
      <c r="AD63" s="200">
        <v>0</v>
      </c>
      <c r="AE63" s="201">
        <v>0</v>
      </c>
      <c r="AF63" s="201">
        <v>0</v>
      </c>
      <c r="AG63" s="383">
        <v>0</v>
      </c>
      <c r="AH63" s="383">
        <v>1</v>
      </c>
      <c r="AI63" s="383">
        <v>0</v>
      </c>
      <c r="AJ63" s="383">
        <v>0</v>
      </c>
      <c r="AK63" s="201">
        <v>0</v>
      </c>
      <c r="AL63" s="201">
        <v>0</v>
      </c>
      <c r="AM63" s="383">
        <v>1</v>
      </c>
      <c r="AN63" s="383">
        <v>0</v>
      </c>
      <c r="AO63" s="201">
        <v>0</v>
      </c>
      <c r="AP63" s="201">
        <v>0</v>
      </c>
      <c r="AQ63" s="201">
        <v>0</v>
      </c>
      <c r="AR63" s="382">
        <v>1</v>
      </c>
      <c r="AS63" s="200">
        <v>0</v>
      </c>
      <c r="AT63" s="201">
        <v>0</v>
      </c>
      <c r="AU63" s="201">
        <v>0</v>
      </c>
      <c r="AV63" s="193">
        <v>0</v>
      </c>
      <c r="AW63" s="382">
        <v>1</v>
      </c>
      <c r="AX63" s="193">
        <v>0</v>
      </c>
      <c r="AY63" s="193">
        <v>0</v>
      </c>
      <c r="AZ63" s="193">
        <v>0</v>
      </c>
      <c r="BA63" s="193">
        <v>0</v>
      </c>
      <c r="BB63" s="382">
        <v>1</v>
      </c>
      <c r="BC63" s="193">
        <v>0</v>
      </c>
      <c r="BD63" s="193">
        <v>0</v>
      </c>
      <c r="BE63" s="193">
        <v>0</v>
      </c>
      <c r="BF63" s="193">
        <v>0</v>
      </c>
      <c r="BG63" s="382">
        <v>1</v>
      </c>
      <c r="BH63" s="193">
        <v>0</v>
      </c>
      <c r="BI63" s="193">
        <v>0</v>
      </c>
      <c r="BJ63" s="193">
        <v>0</v>
      </c>
      <c r="BK63" s="193">
        <v>0</v>
      </c>
      <c r="BL63" s="382">
        <v>1</v>
      </c>
      <c r="BM63" s="193">
        <v>0</v>
      </c>
      <c r="BN63" s="193">
        <v>0</v>
      </c>
      <c r="BO63" s="193">
        <v>1</v>
      </c>
      <c r="BP63" s="193">
        <v>1.2</v>
      </c>
      <c r="BQ63" s="382">
        <v>1</v>
      </c>
      <c r="BR63" s="193">
        <v>0</v>
      </c>
      <c r="BS63" s="193">
        <v>0</v>
      </c>
      <c r="BT63" s="193">
        <v>0</v>
      </c>
      <c r="BU63" s="193">
        <v>1.2</v>
      </c>
      <c r="BV63" s="382">
        <v>1</v>
      </c>
      <c r="BW63" s="193">
        <v>0</v>
      </c>
      <c r="BX63" s="193">
        <v>0</v>
      </c>
      <c r="BY63" s="193">
        <v>1</v>
      </c>
      <c r="BZ63" s="193">
        <v>1.2</v>
      </c>
      <c r="CA63" s="382">
        <v>1</v>
      </c>
      <c r="CB63" s="193">
        <v>0</v>
      </c>
      <c r="CC63" s="193">
        <v>0</v>
      </c>
      <c r="CD63" s="193">
        <v>1</v>
      </c>
      <c r="CE63" s="193">
        <v>1.2</v>
      </c>
      <c r="CF63" s="382">
        <v>1</v>
      </c>
      <c r="CG63" s="193">
        <v>0</v>
      </c>
      <c r="CH63" s="193">
        <v>0</v>
      </c>
      <c r="CI63" s="193">
        <v>0</v>
      </c>
      <c r="CJ63" s="193">
        <v>1.2</v>
      </c>
      <c r="CK63" s="382">
        <v>1</v>
      </c>
      <c r="CL63" s="193">
        <v>0</v>
      </c>
      <c r="CM63" s="193">
        <v>0</v>
      </c>
      <c r="CN63" s="193">
        <v>1</v>
      </c>
      <c r="CO63" s="193">
        <v>1.2</v>
      </c>
      <c r="CP63" s="382">
        <v>1</v>
      </c>
      <c r="CQ63" s="193">
        <v>0</v>
      </c>
      <c r="CR63" s="193">
        <v>0.8</v>
      </c>
      <c r="CS63" s="193">
        <v>1</v>
      </c>
      <c r="CT63" s="193">
        <v>1.2</v>
      </c>
      <c r="CU63" s="382">
        <v>1</v>
      </c>
      <c r="CV63" s="193">
        <v>0</v>
      </c>
      <c r="CW63" s="193">
        <v>0</v>
      </c>
      <c r="CX63" s="193">
        <v>0</v>
      </c>
      <c r="CY63" s="193">
        <v>1.2</v>
      </c>
      <c r="CZ63" s="382">
        <v>1</v>
      </c>
      <c r="DA63" s="193">
        <v>0</v>
      </c>
      <c r="DB63" s="193">
        <v>0.8</v>
      </c>
      <c r="DC63" s="193">
        <v>1</v>
      </c>
      <c r="DD63" s="193">
        <v>1.2</v>
      </c>
      <c r="DE63" s="382">
        <v>1</v>
      </c>
      <c r="DF63" s="193">
        <v>0</v>
      </c>
      <c r="DG63" s="193">
        <v>0.8</v>
      </c>
      <c r="DH63" s="193">
        <v>1</v>
      </c>
      <c r="DI63" s="193">
        <v>1.2</v>
      </c>
      <c r="DJ63" s="382">
        <v>1</v>
      </c>
      <c r="DK63" s="193">
        <v>0</v>
      </c>
      <c r="DL63" s="193">
        <v>0</v>
      </c>
      <c r="DM63" s="193">
        <v>0</v>
      </c>
      <c r="DN63" s="193">
        <v>1.2</v>
      </c>
      <c r="DO63" s="382">
        <v>1</v>
      </c>
      <c r="DP63" s="193">
        <v>0</v>
      </c>
      <c r="DQ63" s="193">
        <v>0.8</v>
      </c>
      <c r="DR63" s="193">
        <v>1</v>
      </c>
      <c r="DS63" s="193">
        <v>1.2</v>
      </c>
      <c r="DT63" s="382">
        <v>1</v>
      </c>
      <c r="DU63" s="193">
        <v>0</v>
      </c>
      <c r="DV63" s="193">
        <v>0.8</v>
      </c>
      <c r="DW63" s="193">
        <v>1</v>
      </c>
      <c r="DX63" s="193">
        <v>1.2</v>
      </c>
      <c r="DY63" s="382">
        <v>1</v>
      </c>
      <c r="DZ63" s="193">
        <v>0</v>
      </c>
      <c r="EA63" s="193">
        <v>0</v>
      </c>
      <c r="EB63" s="193">
        <v>0</v>
      </c>
      <c r="EC63" s="193">
        <v>1.2</v>
      </c>
      <c r="ED63" s="382">
        <v>1</v>
      </c>
      <c r="EE63" s="193">
        <v>0</v>
      </c>
      <c r="EF63" s="193">
        <v>0.8</v>
      </c>
      <c r="EG63" s="193">
        <v>1</v>
      </c>
      <c r="EH63" s="193">
        <v>1.2</v>
      </c>
      <c r="EI63" s="382">
        <v>1</v>
      </c>
      <c r="EJ63" s="193">
        <v>0</v>
      </c>
      <c r="EK63" s="193">
        <v>0.8</v>
      </c>
      <c r="EL63" s="193">
        <v>1</v>
      </c>
      <c r="EM63" s="193">
        <v>1.2</v>
      </c>
      <c r="EN63" s="382">
        <v>1</v>
      </c>
      <c r="EO63" s="193">
        <v>0</v>
      </c>
      <c r="EP63" s="193">
        <v>0</v>
      </c>
      <c r="EQ63" s="193">
        <v>0</v>
      </c>
      <c r="ER63" s="193">
        <v>1.2</v>
      </c>
      <c r="ES63" s="382">
        <v>1</v>
      </c>
      <c r="ET63" s="193">
        <v>0</v>
      </c>
      <c r="EU63" s="193">
        <v>0.8</v>
      </c>
      <c r="EV63" s="193">
        <v>1</v>
      </c>
      <c r="EW63" s="193">
        <v>1.2</v>
      </c>
      <c r="EX63" s="382">
        <v>1</v>
      </c>
      <c r="EY63" s="193">
        <v>0</v>
      </c>
      <c r="EZ63" s="193">
        <v>0.8</v>
      </c>
      <c r="FA63" s="193">
        <v>1</v>
      </c>
      <c r="FB63" s="193">
        <v>1.2</v>
      </c>
      <c r="FC63" s="382">
        <v>1</v>
      </c>
      <c r="FD63" s="193">
        <v>0</v>
      </c>
      <c r="FE63" s="193">
        <v>0</v>
      </c>
      <c r="FF63" s="193">
        <v>0</v>
      </c>
      <c r="FG63" s="193">
        <v>1.2</v>
      </c>
      <c r="FH63" s="382">
        <v>1</v>
      </c>
      <c r="FI63" s="193">
        <v>0</v>
      </c>
      <c r="FJ63" s="193">
        <v>0.8</v>
      </c>
      <c r="FK63" s="193">
        <v>1</v>
      </c>
      <c r="FL63" s="193">
        <v>1.2</v>
      </c>
      <c r="FM63" s="382">
        <v>1</v>
      </c>
      <c r="FN63" s="193">
        <v>0</v>
      </c>
      <c r="FO63" s="193">
        <v>0.8</v>
      </c>
      <c r="FP63" s="193">
        <v>1</v>
      </c>
      <c r="FQ63" s="193">
        <v>1.2</v>
      </c>
      <c r="FR63" s="382">
        <v>1</v>
      </c>
      <c r="FS63" s="193">
        <v>0</v>
      </c>
      <c r="FT63" s="193">
        <v>0</v>
      </c>
      <c r="FU63" s="193">
        <v>0</v>
      </c>
      <c r="FV63" s="193">
        <v>1.2</v>
      </c>
      <c r="FW63" s="382">
        <v>1</v>
      </c>
      <c r="FX63" s="193">
        <v>0</v>
      </c>
      <c r="FY63" s="193">
        <v>0.8</v>
      </c>
      <c r="FZ63" s="193">
        <v>1</v>
      </c>
      <c r="GA63" s="193">
        <v>1.2</v>
      </c>
      <c r="GB63" s="382">
        <v>1</v>
      </c>
      <c r="GC63" s="193">
        <v>0</v>
      </c>
      <c r="GD63" s="193">
        <v>0.8</v>
      </c>
      <c r="GE63" s="193">
        <v>1</v>
      </c>
      <c r="GF63" s="193">
        <v>1.2</v>
      </c>
      <c r="GG63" s="382">
        <v>1</v>
      </c>
      <c r="GH63" s="193">
        <v>0</v>
      </c>
      <c r="GI63" s="193">
        <v>0</v>
      </c>
      <c r="GJ63" s="193">
        <v>0</v>
      </c>
      <c r="GK63" s="193">
        <v>1.2</v>
      </c>
      <c r="GL63" s="382">
        <v>1</v>
      </c>
      <c r="GM63" s="193">
        <v>0</v>
      </c>
      <c r="GN63" s="193">
        <v>0.8</v>
      </c>
      <c r="GO63" s="193">
        <v>1</v>
      </c>
      <c r="GP63" s="187">
        <v>1.2</v>
      </c>
      <c r="GQ63" s="382">
        <v>1</v>
      </c>
    </row>
    <row r="64" spans="1:199">
      <c r="A64" s="195"/>
      <c r="B64" s="188"/>
      <c r="C64" s="188"/>
      <c r="D64" s="188" t="s">
        <v>967</v>
      </c>
      <c r="E64" s="190">
        <v>0</v>
      </c>
      <c r="F64" s="193">
        <v>0</v>
      </c>
      <c r="G64" s="203">
        <v>0</v>
      </c>
      <c r="H64" s="201">
        <v>0</v>
      </c>
      <c r="I64" s="383">
        <v>1</v>
      </c>
      <c r="J64" s="383">
        <v>0</v>
      </c>
      <c r="K64" s="201">
        <v>0</v>
      </c>
      <c r="L64" s="201">
        <v>0</v>
      </c>
      <c r="M64" s="201">
        <v>0</v>
      </c>
      <c r="N64" s="383">
        <v>1</v>
      </c>
      <c r="O64" s="383">
        <v>0</v>
      </c>
      <c r="P64" s="201">
        <v>0</v>
      </c>
      <c r="Q64" s="201">
        <v>0</v>
      </c>
      <c r="R64" s="202">
        <v>0</v>
      </c>
      <c r="S64" s="382">
        <v>1</v>
      </c>
      <c r="T64" s="190">
        <v>0</v>
      </c>
      <c r="U64" s="193">
        <v>0</v>
      </c>
      <c r="V64" s="203">
        <v>0</v>
      </c>
      <c r="W64" s="201">
        <v>0</v>
      </c>
      <c r="X64" s="382">
        <v>1</v>
      </c>
      <c r="Y64" s="200">
        <v>0</v>
      </c>
      <c r="Z64" s="201">
        <v>0</v>
      </c>
      <c r="AA64" s="201">
        <v>0</v>
      </c>
      <c r="AB64" s="201">
        <v>0</v>
      </c>
      <c r="AC64" s="382">
        <v>1</v>
      </c>
      <c r="AD64" s="200">
        <v>0</v>
      </c>
      <c r="AE64" s="201">
        <v>0</v>
      </c>
      <c r="AF64" s="201">
        <v>0</v>
      </c>
      <c r="AG64" s="383">
        <v>0</v>
      </c>
      <c r="AH64" s="383">
        <v>1</v>
      </c>
      <c r="AI64" s="383">
        <v>0</v>
      </c>
      <c r="AJ64" s="383">
        <v>0</v>
      </c>
      <c r="AK64" s="201">
        <v>0</v>
      </c>
      <c r="AL64" s="201">
        <v>0</v>
      </c>
      <c r="AM64" s="383">
        <v>1</v>
      </c>
      <c r="AN64" s="383">
        <v>0</v>
      </c>
      <c r="AO64" s="201">
        <v>0</v>
      </c>
      <c r="AP64" s="201">
        <v>0</v>
      </c>
      <c r="AQ64" s="201">
        <v>0</v>
      </c>
      <c r="AR64" s="382">
        <v>1</v>
      </c>
      <c r="AS64" s="200">
        <v>0</v>
      </c>
      <c r="AT64" s="201">
        <v>0</v>
      </c>
      <c r="AU64" s="201">
        <v>0</v>
      </c>
      <c r="AV64" s="193">
        <v>0</v>
      </c>
      <c r="AW64" s="382">
        <v>1</v>
      </c>
      <c r="AX64" s="193">
        <v>0</v>
      </c>
      <c r="AY64" s="193">
        <v>0</v>
      </c>
      <c r="AZ64" s="193">
        <v>0</v>
      </c>
      <c r="BA64" s="193">
        <v>0</v>
      </c>
      <c r="BB64" s="382">
        <v>1</v>
      </c>
      <c r="BC64" s="193">
        <v>0</v>
      </c>
      <c r="BD64" s="193">
        <v>0</v>
      </c>
      <c r="BE64" s="193">
        <v>0</v>
      </c>
      <c r="BF64" s="193">
        <v>0</v>
      </c>
      <c r="BG64" s="382">
        <v>1</v>
      </c>
      <c r="BH64" s="193">
        <v>0</v>
      </c>
      <c r="BI64" s="193">
        <v>0</v>
      </c>
      <c r="BJ64" s="193">
        <v>0</v>
      </c>
      <c r="BK64" s="193">
        <v>0</v>
      </c>
      <c r="BL64" s="382">
        <v>1</v>
      </c>
      <c r="BM64" s="193">
        <v>0</v>
      </c>
      <c r="BN64" s="193">
        <v>0</v>
      </c>
      <c r="BO64" s="193">
        <v>1</v>
      </c>
      <c r="BP64" s="193">
        <v>1.2</v>
      </c>
      <c r="BQ64" s="382">
        <v>1</v>
      </c>
      <c r="BR64" s="193">
        <v>0</v>
      </c>
      <c r="BS64" s="193">
        <v>0</v>
      </c>
      <c r="BT64" s="193">
        <v>0</v>
      </c>
      <c r="BU64" s="193">
        <v>1.2</v>
      </c>
      <c r="BV64" s="382">
        <v>1</v>
      </c>
      <c r="BW64" s="193">
        <v>0</v>
      </c>
      <c r="BX64" s="193">
        <v>0</v>
      </c>
      <c r="BY64" s="193">
        <v>1</v>
      </c>
      <c r="BZ64" s="193">
        <v>1.2</v>
      </c>
      <c r="CA64" s="382">
        <v>1</v>
      </c>
      <c r="CB64" s="193">
        <v>0</v>
      </c>
      <c r="CC64" s="193">
        <v>0</v>
      </c>
      <c r="CD64" s="193">
        <v>1</v>
      </c>
      <c r="CE64" s="193">
        <v>1.2</v>
      </c>
      <c r="CF64" s="382">
        <v>1</v>
      </c>
      <c r="CG64" s="193">
        <v>0</v>
      </c>
      <c r="CH64" s="193">
        <v>0</v>
      </c>
      <c r="CI64" s="193">
        <v>0</v>
      </c>
      <c r="CJ64" s="193">
        <v>1.2</v>
      </c>
      <c r="CK64" s="382">
        <v>1</v>
      </c>
      <c r="CL64" s="193">
        <v>0</v>
      </c>
      <c r="CM64" s="193">
        <v>0</v>
      </c>
      <c r="CN64" s="193">
        <v>1</v>
      </c>
      <c r="CO64" s="193">
        <v>1.2</v>
      </c>
      <c r="CP64" s="382">
        <v>1</v>
      </c>
      <c r="CQ64" s="193">
        <v>0</v>
      </c>
      <c r="CR64" s="193">
        <v>0.8</v>
      </c>
      <c r="CS64" s="193">
        <v>1</v>
      </c>
      <c r="CT64" s="193">
        <v>1.2</v>
      </c>
      <c r="CU64" s="382">
        <v>1</v>
      </c>
      <c r="CV64" s="193">
        <v>0</v>
      </c>
      <c r="CW64" s="193">
        <v>0</v>
      </c>
      <c r="CX64" s="193">
        <v>0</v>
      </c>
      <c r="CY64" s="193">
        <v>1.2</v>
      </c>
      <c r="CZ64" s="382">
        <v>1</v>
      </c>
      <c r="DA64" s="193">
        <v>0</v>
      </c>
      <c r="DB64" s="193">
        <v>0.8</v>
      </c>
      <c r="DC64" s="193">
        <v>1</v>
      </c>
      <c r="DD64" s="193">
        <v>1.2</v>
      </c>
      <c r="DE64" s="382">
        <v>1</v>
      </c>
      <c r="DF64" s="193">
        <v>0</v>
      </c>
      <c r="DG64" s="193">
        <v>0.8</v>
      </c>
      <c r="DH64" s="193">
        <v>1</v>
      </c>
      <c r="DI64" s="193">
        <v>1.2</v>
      </c>
      <c r="DJ64" s="382">
        <v>1</v>
      </c>
      <c r="DK64" s="193">
        <v>0</v>
      </c>
      <c r="DL64" s="193">
        <v>0</v>
      </c>
      <c r="DM64" s="193">
        <v>0</v>
      </c>
      <c r="DN64" s="193">
        <v>1.2</v>
      </c>
      <c r="DO64" s="382">
        <v>1</v>
      </c>
      <c r="DP64" s="193">
        <v>0</v>
      </c>
      <c r="DQ64" s="193">
        <v>0.8</v>
      </c>
      <c r="DR64" s="193">
        <v>1</v>
      </c>
      <c r="DS64" s="193">
        <v>1.2</v>
      </c>
      <c r="DT64" s="382">
        <v>1</v>
      </c>
      <c r="DU64" s="193">
        <v>0</v>
      </c>
      <c r="DV64" s="193">
        <v>0.8</v>
      </c>
      <c r="DW64" s="193">
        <v>1</v>
      </c>
      <c r="DX64" s="193">
        <v>1.2</v>
      </c>
      <c r="DY64" s="382">
        <v>1</v>
      </c>
      <c r="DZ64" s="193">
        <v>0</v>
      </c>
      <c r="EA64" s="193">
        <v>0</v>
      </c>
      <c r="EB64" s="193">
        <v>0</v>
      </c>
      <c r="EC64" s="193">
        <v>1.2</v>
      </c>
      <c r="ED64" s="382">
        <v>1</v>
      </c>
      <c r="EE64" s="193">
        <v>0</v>
      </c>
      <c r="EF64" s="193">
        <v>0.8</v>
      </c>
      <c r="EG64" s="193">
        <v>1</v>
      </c>
      <c r="EH64" s="193">
        <v>1.2</v>
      </c>
      <c r="EI64" s="382">
        <v>1</v>
      </c>
      <c r="EJ64" s="193">
        <v>0</v>
      </c>
      <c r="EK64" s="193">
        <v>0.8</v>
      </c>
      <c r="EL64" s="193">
        <v>1</v>
      </c>
      <c r="EM64" s="193">
        <v>1.2</v>
      </c>
      <c r="EN64" s="382">
        <v>1</v>
      </c>
      <c r="EO64" s="193">
        <v>0</v>
      </c>
      <c r="EP64" s="193">
        <v>0</v>
      </c>
      <c r="EQ64" s="193">
        <v>0</v>
      </c>
      <c r="ER64" s="193">
        <v>1.2</v>
      </c>
      <c r="ES64" s="382">
        <v>1</v>
      </c>
      <c r="ET64" s="193">
        <v>0</v>
      </c>
      <c r="EU64" s="193">
        <v>0.8</v>
      </c>
      <c r="EV64" s="193">
        <v>1</v>
      </c>
      <c r="EW64" s="193">
        <v>1.2</v>
      </c>
      <c r="EX64" s="382">
        <v>1</v>
      </c>
      <c r="EY64" s="193">
        <v>0</v>
      </c>
      <c r="EZ64" s="193">
        <v>0.8</v>
      </c>
      <c r="FA64" s="193">
        <v>1</v>
      </c>
      <c r="FB64" s="193">
        <v>1.2</v>
      </c>
      <c r="FC64" s="382">
        <v>1</v>
      </c>
      <c r="FD64" s="193">
        <v>0</v>
      </c>
      <c r="FE64" s="193">
        <v>0</v>
      </c>
      <c r="FF64" s="193">
        <v>0</v>
      </c>
      <c r="FG64" s="193">
        <v>1.2</v>
      </c>
      <c r="FH64" s="382">
        <v>1</v>
      </c>
      <c r="FI64" s="193">
        <v>0</v>
      </c>
      <c r="FJ64" s="193">
        <v>0.8</v>
      </c>
      <c r="FK64" s="193">
        <v>1</v>
      </c>
      <c r="FL64" s="193">
        <v>1.2</v>
      </c>
      <c r="FM64" s="382">
        <v>1</v>
      </c>
      <c r="FN64" s="193">
        <v>0</v>
      </c>
      <c r="FO64" s="193">
        <v>0.8</v>
      </c>
      <c r="FP64" s="193">
        <v>1</v>
      </c>
      <c r="FQ64" s="193">
        <v>1.2</v>
      </c>
      <c r="FR64" s="382">
        <v>1</v>
      </c>
      <c r="FS64" s="193">
        <v>0</v>
      </c>
      <c r="FT64" s="193">
        <v>0</v>
      </c>
      <c r="FU64" s="193">
        <v>0</v>
      </c>
      <c r="FV64" s="193">
        <v>1.2</v>
      </c>
      <c r="FW64" s="382">
        <v>1</v>
      </c>
      <c r="FX64" s="193">
        <v>0</v>
      </c>
      <c r="FY64" s="193">
        <v>0.8</v>
      </c>
      <c r="FZ64" s="193">
        <v>1</v>
      </c>
      <c r="GA64" s="193">
        <v>1.2</v>
      </c>
      <c r="GB64" s="382">
        <v>1</v>
      </c>
      <c r="GC64" s="193">
        <v>0</v>
      </c>
      <c r="GD64" s="193">
        <v>0.8</v>
      </c>
      <c r="GE64" s="193">
        <v>1</v>
      </c>
      <c r="GF64" s="193">
        <v>1.2</v>
      </c>
      <c r="GG64" s="382">
        <v>1</v>
      </c>
      <c r="GH64" s="193">
        <v>0</v>
      </c>
      <c r="GI64" s="193">
        <v>0</v>
      </c>
      <c r="GJ64" s="193">
        <v>0</v>
      </c>
      <c r="GK64" s="193">
        <v>1.2</v>
      </c>
      <c r="GL64" s="382">
        <v>1</v>
      </c>
      <c r="GM64" s="193">
        <v>0</v>
      </c>
      <c r="GN64" s="193">
        <v>0.8</v>
      </c>
      <c r="GO64" s="193">
        <v>1</v>
      </c>
      <c r="GP64" s="187">
        <v>1.2</v>
      </c>
      <c r="GQ64" s="382">
        <v>1</v>
      </c>
    </row>
    <row r="65" spans="1:199">
      <c r="A65" s="195"/>
      <c r="B65" s="200"/>
      <c r="C65" s="200"/>
      <c r="D65" s="382" t="s">
        <v>359</v>
      </c>
      <c r="E65" s="386">
        <v>0</v>
      </c>
      <c r="F65" s="201">
        <v>0.8</v>
      </c>
      <c r="G65" s="203">
        <v>1</v>
      </c>
      <c r="H65" s="201">
        <v>1.2</v>
      </c>
      <c r="I65" s="383">
        <v>1</v>
      </c>
      <c r="J65" s="383">
        <v>0</v>
      </c>
      <c r="K65" s="201">
        <v>0</v>
      </c>
      <c r="L65" s="201">
        <v>0</v>
      </c>
      <c r="M65" s="201">
        <v>1.2</v>
      </c>
      <c r="N65" s="383">
        <v>1</v>
      </c>
      <c r="O65" s="383">
        <v>0</v>
      </c>
      <c r="P65" s="201">
        <v>0.8</v>
      </c>
      <c r="Q65" s="201">
        <v>1</v>
      </c>
      <c r="R65" s="202">
        <v>1.2</v>
      </c>
      <c r="S65" s="382">
        <v>1</v>
      </c>
      <c r="T65" s="386">
        <v>0</v>
      </c>
      <c r="U65" s="201">
        <v>0.8</v>
      </c>
      <c r="V65" s="203">
        <v>1</v>
      </c>
      <c r="W65" s="201">
        <v>1.2</v>
      </c>
      <c r="X65" s="382">
        <v>1</v>
      </c>
      <c r="Y65" s="200">
        <v>0</v>
      </c>
      <c r="Z65" s="201">
        <v>0</v>
      </c>
      <c r="AA65" s="201">
        <v>0</v>
      </c>
      <c r="AB65" s="201">
        <v>1.2</v>
      </c>
      <c r="AC65" s="382">
        <v>1</v>
      </c>
      <c r="AD65" s="200">
        <v>0</v>
      </c>
      <c r="AE65" s="201">
        <v>0.8</v>
      </c>
      <c r="AF65" s="201">
        <v>1</v>
      </c>
      <c r="AG65" s="383">
        <v>1.2</v>
      </c>
      <c r="AH65" s="383">
        <v>1</v>
      </c>
      <c r="AI65" s="383">
        <v>0</v>
      </c>
      <c r="AJ65" s="383">
        <v>0.8</v>
      </c>
      <c r="AK65" s="201">
        <v>1</v>
      </c>
      <c r="AL65" s="201">
        <v>1.2</v>
      </c>
      <c r="AM65" s="383">
        <v>1</v>
      </c>
      <c r="AN65" s="383">
        <v>0</v>
      </c>
      <c r="AO65" s="201">
        <v>0</v>
      </c>
      <c r="AP65" s="201">
        <v>0</v>
      </c>
      <c r="AQ65" s="201">
        <v>1.2</v>
      </c>
      <c r="AR65" s="382">
        <v>1</v>
      </c>
      <c r="AS65" s="200">
        <v>0</v>
      </c>
      <c r="AT65" s="201">
        <v>0.8</v>
      </c>
      <c r="AU65" s="201">
        <v>1</v>
      </c>
      <c r="AV65" s="201">
        <v>1.2</v>
      </c>
      <c r="AW65" s="382">
        <v>1</v>
      </c>
      <c r="AX65" s="201">
        <v>0</v>
      </c>
      <c r="AY65" s="201">
        <v>0.8</v>
      </c>
      <c r="AZ65" s="201">
        <v>1</v>
      </c>
      <c r="BA65" s="201">
        <v>1.2</v>
      </c>
      <c r="BB65" s="382">
        <v>1</v>
      </c>
      <c r="BC65" s="201">
        <v>0</v>
      </c>
      <c r="BD65" s="201">
        <v>0</v>
      </c>
      <c r="BE65" s="201">
        <v>0</v>
      </c>
      <c r="BF65" s="201">
        <v>1.2</v>
      </c>
      <c r="BG65" s="382">
        <v>1</v>
      </c>
      <c r="BH65" s="201">
        <v>0</v>
      </c>
      <c r="BI65" s="201">
        <v>0.8</v>
      </c>
      <c r="BJ65" s="201">
        <v>1</v>
      </c>
      <c r="BK65" s="201">
        <v>1.2</v>
      </c>
      <c r="BL65" s="382">
        <v>1</v>
      </c>
      <c r="BM65" s="201">
        <v>0</v>
      </c>
      <c r="BN65" s="201">
        <v>0.8</v>
      </c>
      <c r="BO65" s="201">
        <v>1</v>
      </c>
      <c r="BP65" s="201">
        <v>1.2</v>
      </c>
      <c r="BQ65" s="382">
        <v>1</v>
      </c>
      <c r="BR65" s="201">
        <v>0</v>
      </c>
      <c r="BS65" s="201">
        <v>0</v>
      </c>
      <c r="BT65" s="201">
        <v>0</v>
      </c>
      <c r="BU65" s="201">
        <v>1.2</v>
      </c>
      <c r="BV65" s="382">
        <v>1</v>
      </c>
      <c r="BW65" s="201">
        <v>0</v>
      </c>
      <c r="BX65" s="201">
        <v>0.8</v>
      </c>
      <c r="BY65" s="201">
        <v>1</v>
      </c>
      <c r="BZ65" s="201">
        <v>1.2</v>
      </c>
      <c r="CA65" s="382">
        <v>1</v>
      </c>
      <c r="CB65" s="201">
        <v>0</v>
      </c>
      <c r="CC65" s="201">
        <v>0.8</v>
      </c>
      <c r="CD65" s="201">
        <v>1</v>
      </c>
      <c r="CE65" s="201">
        <v>1.2</v>
      </c>
      <c r="CF65" s="382">
        <v>1</v>
      </c>
      <c r="CG65" s="201">
        <v>0</v>
      </c>
      <c r="CH65" s="201">
        <v>0</v>
      </c>
      <c r="CI65" s="201">
        <v>0</v>
      </c>
      <c r="CJ65" s="201">
        <v>1.2</v>
      </c>
      <c r="CK65" s="382">
        <v>1</v>
      </c>
      <c r="CL65" s="201">
        <v>0</v>
      </c>
      <c r="CM65" s="201">
        <v>0.8</v>
      </c>
      <c r="CN65" s="201">
        <v>1</v>
      </c>
      <c r="CO65" s="201">
        <v>1.2</v>
      </c>
      <c r="CP65" s="382">
        <v>1</v>
      </c>
      <c r="CQ65" s="201">
        <v>0</v>
      </c>
      <c r="CR65" s="201">
        <v>0.8</v>
      </c>
      <c r="CS65" s="201">
        <v>1</v>
      </c>
      <c r="CT65" s="201">
        <v>1.2</v>
      </c>
      <c r="CU65" s="382">
        <v>1</v>
      </c>
      <c r="CV65" s="201">
        <v>0</v>
      </c>
      <c r="CW65" s="201">
        <v>0</v>
      </c>
      <c r="CX65" s="201">
        <v>0</v>
      </c>
      <c r="CY65" s="201">
        <v>1.2</v>
      </c>
      <c r="CZ65" s="382">
        <v>1</v>
      </c>
      <c r="DA65" s="201">
        <v>0</v>
      </c>
      <c r="DB65" s="201">
        <v>0.8</v>
      </c>
      <c r="DC65" s="201">
        <v>1</v>
      </c>
      <c r="DD65" s="201">
        <v>1.2</v>
      </c>
      <c r="DE65" s="382">
        <v>1</v>
      </c>
      <c r="DF65" s="201">
        <v>0</v>
      </c>
      <c r="DG65" s="201">
        <v>0.8</v>
      </c>
      <c r="DH65" s="201">
        <v>1</v>
      </c>
      <c r="DI65" s="201">
        <v>1.2</v>
      </c>
      <c r="DJ65" s="382">
        <v>1</v>
      </c>
      <c r="DK65" s="201">
        <v>0</v>
      </c>
      <c r="DL65" s="201">
        <v>0</v>
      </c>
      <c r="DM65" s="201">
        <v>0</v>
      </c>
      <c r="DN65" s="201">
        <v>1.2</v>
      </c>
      <c r="DO65" s="382">
        <v>1</v>
      </c>
      <c r="DP65" s="201">
        <v>0</v>
      </c>
      <c r="DQ65" s="201">
        <v>0.8</v>
      </c>
      <c r="DR65" s="201">
        <v>1</v>
      </c>
      <c r="DS65" s="201">
        <v>1.2</v>
      </c>
      <c r="DT65" s="382">
        <v>1</v>
      </c>
      <c r="DU65" s="201">
        <v>0</v>
      </c>
      <c r="DV65" s="201">
        <v>0.8</v>
      </c>
      <c r="DW65" s="201">
        <v>1</v>
      </c>
      <c r="DX65" s="201">
        <v>1.2</v>
      </c>
      <c r="DY65" s="382">
        <v>1</v>
      </c>
      <c r="DZ65" s="201">
        <v>0</v>
      </c>
      <c r="EA65" s="201">
        <v>0</v>
      </c>
      <c r="EB65" s="201">
        <v>0</v>
      </c>
      <c r="EC65" s="201">
        <v>1.2</v>
      </c>
      <c r="ED65" s="382">
        <v>1</v>
      </c>
      <c r="EE65" s="201">
        <v>0</v>
      </c>
      <c r="EF65" s="201">
        <v>0.8</v>
      </c>
      <c r="EG65" s="201">
        <v>1</v>
      </c>
      <c r="EH65" s="201">
        <v>1.2</v>
      </c>
      <c r="EI65" s="382">
        <v>1</v>
      </c>
      <c r="EJ65" s="201">
        <v>0</v>
      </c>
      <c r="EK65" s="201">
        <v>0.8</v>
      </c>
      <c r="EL65" s="201">
        <v>1</v>
      </c>
      <c r="EM65" s="201">
        <v>1.2</v>
      </c>
      <c r="EN65" s="382">
        <v>1</v>
      </c>
      <c r="EO65" s="201">
        <v>0</v>
      </c>
      <c r="EP65" s="201">
        <v>0</v>
      </c>
      <c r="EQ65" s="201">
        <v>0</v>
      </c>
      <c r="ER65" s="201">
        <v>1.2</v>
      </c>
      <c r="ES65" s="382">
        <v>1</v>
      </c>
      <c r="ET65" s="201">
        <v>0</v>
      </c>
      <c r="EU65" s="201">
        <v>0.8</v>
      </c>
      <c r="EV65" s="201">
        <v>1</v>
      </c>
      <c r="EW65" s="201">
        <v>1.2</v>
      </c>
      <c r="EX65" s="382">
        <v>1</v>
      </c>
      <c r="EY65" s="201">
        <v>0</v>
      </c>
      <c r="EZ65" s="201">
        <v>0.8</v>
      </c>
      <c r="FA65" s="201">
        <v>1</v>
      </c>
      <c r="FB65" s="201">
        <v>1.2</v>
      </c>
      <c r="FC65" s="382">
        <v>1</v>
      </c>
      <c r="FD65" s="201">
        <v>0</v>
      </c>
      <c r="FE65" s="201">
        <v>0</v>
      </c>
      <c r="FF65" s="201">
        <v>0</v>
      </c>
      <c r="FG65" s="201">
        <v>1.2</v>
      </c>
      <c r="FH65" s="382">
        <v>1</v>
      </c>
      <c r="FI65" s="201">
        <v>0</v>
      </c>
      <c r="FJ65" s="201">
        <v>0.8</v>
      </c>
      <c r="FK65" s="201">
        <v>1</v>
      </c>
      <c r="FL65" s="201">
        <v>1.2</v>
      </c>
      <c r="FM65" s="382">
        <v>1</v>
      </c>
      <c r="FN65" s="201">
        <v>0</v>
      </c>
      <c r="FO65" s="201">
        <v>0.8</v>
      </c>
      <c r="FP65" s="201">
        <v>1</v>
      </c>
      <c r="FQ65" s="201">
        <v>1.2</v>
      </c>
      <c r="FR65" s="382">
        <v>1</v>
      </c>
      <c r="FS65" s="201">
        <v>0</v>
      </c>
      <c r="FT65" s="201">
        <v>0</v>
      </c>
      <c r="FU65" s="201">
        <v>0</v>
      </c>
      <c r="FV65" s="201">
        <v>1.2</v>
      </c>
      <c r="FW65" s="382">
        <v>1</v>
      </c>
      <c r="FX65" s="201">
        <v>0</v>
      </c>
      <c r="FY65" s="201">
        <v>0.8</v>
      </c>
      <c r="FZ65" s="201">
        <v>1</v>
      </c>
      <c r="GA65" s="201">
        <v>1.2</v>
      </c>
      <c r="GB65" s="382">
        <v>1</v>
      </c>
      <c r="GC65" s="201">
        <v>0</v>
      </c>
      <c r="GD65" s="201">
        <v>0.8</v>
      </c>
      <c r="GE65" s="201">
        <v>1</v>
      </c>
      <c r="GF65" s="201">
        <v>1.2</v>
      </c>
      <c r="GG65" s="382">
        <v>1</v>
      </c>
      <c r="GH65" s="201">
        <v>0</v>
      </c>
      <c r="GI65" s="201">
        <v>0</v>
      </c>
      <c r="GJ65" s="201">
        <v>0</v>
      </c>
      <c r="GK65" s="201">
        <v>1.2</v>
      </c>
      <c r="GL65" s="382">
        <v>1</v>
      </c>
      <c r="GM65" s="201">
        <v>0</v>
      </c>
      <c r="GN65" s="201">
        <v>0.8</v>
      </c>
      <c r="GO65" s="201">
        <v>1</v>
      </c>
      <c r="GP65" s="202">
        <v>1.2</v>
      </c>
      <c r="GQ65" s="382">
        <v>1</v>
      </c>
    </row>
    <row r="66" spans="1:199">
      <c r="A66" s="195"/>
    </row>
    <row r="67" spans="1:199">
      <c r="A67" s="195" t="s">
        <v>1002</v>
      </c>
      <c r="B67" s="195" t="s">
        <v>1810</v>
      </c>
      <c r="C67" s="207"/>
    </row>
    <row r="68" spans="1:199">
      <c r="A68" s="195"/>
      <c r="B68" s="196"/>
      <c r="C68" s="196" t="s">
        <v>987</v>
      </c>
      <c r="D68" s="196" t="s">
        <v>246</v>
      </c>
      <c r="E68" s="199">
        <v>0</v>
      </c>
      <c r="F68" s="197">
        <v>0.8</v>
      </c>
      <c r="G68" s="206">
        <v>1</v>
      </c>
      <c r="H68" s="204">
        <v>1.3</v>
      </c>
      <c r="I68" s="204">
        <v>1</v>
      </c>
      <c r="J68" s="204">
        <v>0</v>
      </c>
      <c r="K68" s="204">
        <v>0</v>
      </c>
      <c r="L68" s="204">
        <v>0</v>
      </c>
      <c r="M68" s="204">
        <v>0</v>
      </c>
      <c r="N68" s="204">
        <v>1</v>
      </c>
      <c r="O68" s="204">
        <v>0</v>
      </c>
      <c r="P68" s="204">
        <v>0.8</v>
      </c>
      <c r="Q68" s="204">
        <v>1</v>
      </c>
      <c r="R68" s="205">
        <v>1.3</v>
      </c>
      <c r="S68" s="186">
        <v>1</v>
      </c>
      <c r="T68" s="199">
        <v>0</v>
      </c>
      <c r="U68" s="197">
        <v>0.8</v>
      </c>
      <c r="V68" s="206">
        <v>1</v>
      </c>
      <c r="W68" s="204">
        <v>1.3</v>
      </c>
      <c r="X68" s="186">
        <v>1</v>
      </c>
      <c r="Y68" s="186">
        <v>0</v>
      </c>
      <c r="Z68" s="204">
        <v>0</v>
      </c>
      <c r="AA68" s="204">
        <v>0</v>
      </c>
      <c r="AB68" s="204">
        <v>1.3</v>
      </c>
      <c r="AC68" s="186">
        <v>1</v>
      </c>
      <c r="AD68" s="186">
        <v>0</v>
      </c>
      <c r="AE68" s="204">
        <v>0.8</v>
      </c>
      <c r="AF68" s="204">
        <v>1</v>
      </c>
      <c r="AG68" s="204">
        <v>1.3</v>
      </c>
      <c r="AH68" s="204">
        <v>1</v>
      </c>
      <c r="AI68" s="204">
        <v>0</v>
      </c>
      <c r="AJ68" s="204">
        <v>0.8</v>
      </c>
      <c r="AK68" s="204">
        <v>1</v>
      </c>
      <c r="AL68" s="204">
        <v>1.3</v>
      </c>
      <c r="AM68" s="204">
        <v>1</v>
      </c>
      <c r="AN68" s="204">
        <v>0</v>
      </c>
      <c r="AO68" s="204">
        <v>0</v>
      </c>
      <c r="AP68" s="204">
        <v>0</v>
      </c>
      <c r="AQ68" s="204">
        <v>1.3</v>
      </c>
      <c r="AR68" s="186">
        <v>1</v>
      </c>
      <c r="AS68" s="186">
        <v>0</v>
      </c>
      <c r="AT68" s="204">
        <v>0.8</v>
      </c>
      <c r="AU68" s="204">
        <v>1</v>
      </c>
      <c r="AV68" s="197">
        <v>1.3</v>
      </c>
      <c r="AW68" s="186">
        <v>1</v>
      </c>
      <c r="AX68" s="197">
        <v>0</v>
      </c>
      <c r="AY68" s="197">
        <v>0.8</v>
      </c>
      <c r="AZ68" s="197">
        <v>1</v>
      </c>
      <c r="BA68" s="197">
        <v>1.3</v>
      </c>
      <c r="BB68" s="186">
        <v>1</v>
      </c>
      <c r="BC68" s="197">
        <v>0</v>
      </c>
      <c r="BD68" s="197">
        <v>0</v>
      </c>
      <c r="BE68" s="197">
        <v>0</v>
      </c>
      <c r="BF68" s="197">
        <v>1.3</v>
      </c>
      <c r="BG68" s="186">
        <v>1</v>
      </c>
      <c r="BH68" s="197">
        <v>0</v>
      </c>
      <c r="BI68" s="197">
        <v>0.8</v>
      </c>
      <c r="BJ68" s="197">
        <v>1</v>
      </c>
      <c r="BK68" s="197">
        <v>1.3</v>
      </c>
      <c r="BL68" s="186">
        <v>1</v>
      </c>
      <c r="BM68" s="197">
        <v>0</v>
      </c>
      <c r="BN68" s="197">
        <v>0.8</v>
      </c>
      <c r="BO68" s="197">
        <v>1</v>
      </c>
      <c r="BP68" s="197">
        <v>1.3</v>
      </c>
      <c r="BQ68" s="186">
        <v>1</v>
      </c>
      <c r="BR68" s="197">
        <v>0</v>
      </c>
      <c r="BS68" s="197">
        <v>0</v>
      </c>
      <c r="BT68" s="197">
        <v>0</v>
      </c>
      <c r="BU68" s="197">
        <v>1.3</v>
      </c>
      <c r="BV68" s="186">
        <v>1</v>
      </c>
      <c r="BW68" s="197">
        <v>0</v>
      </c>
      <c r="BX68" s="197">
        <v>0.8</v>
      </c>
      <c r="BY68" s="197">
        <v>1</v>
      </c>
      <c r="BZ68" s="197">
        <v>1.3</v>
      </c>
      <c r="CA68" s="186">
        <v>1</v>
      </c>
      <c r="CB68" s="197">
        <v>0</v>
      </c>
      <c r="CC68" s="197">
        <v>0.8</v>
      </c>
      <c r="CD68" s="197">
        <v>1</v>
      </c>
      <c r="CE68" s="197">
        <v>1.3</v>
      </c>
      <c r="CF68" s="186">
        <v>1</v>
      </c>
      <c r="CG68" s="197">
        <v>0</v>
      </c>
      <c r="CH68" s="197">
        <v>0</v>
      </c>
      <c r="CI68" s="197">
        <v>0</v>
      </c>
      <c r="CJ68" s="197">
        <v>1.3</v>
      </c>
      <c r="CK68" s="186">
        <v>1</v>
      </c>
      <c r="CL68" s="197">
        <v>0</v>
      </c>
      <c r="CM68" s="197">
        <v>0.8</v>
      </c>
      <c r="CN68" s="197">
        <v>1</v>
      </c>
      <c r="CO68" s="197">
        <v>1.3</v>
      </c>
      <c r="CP68" s="186">
        <v>1</v>
      </c>
      <c r="CQ68" s="197">
        <v>0</v>
      </c>
      <c r="CR68" s="197">
        <v>0.8</v>
      </c>
      <c r="CS68" s="197">
        <v>1</v>
      </c>
      <c r="CT68" s="197">
        <v>1.3</v>
      </c>
      <c r="CU68" s="186">
        <v>1</v>
      </c>
      <c r="CV68" s="197">
        <v>0</v>
      </c>
      <c r="CW68" s="197">
        <v>0</v>
      </c>
      <c r="CX68" s="197">
        <v>0</v>
      </c>
      <c r="CY68" s="197">
        <v>1.3</v>
      </c>
      <c r="CZ68" s="186">
        <v>1</v>
      </c>
      <c r="DA68" s="197">
        <v>0</v>
      </c>
      <c r="DB68" s="197">
        <v>0.8</v>
      </c>
      <c r="DC68" s="197">
        <v>1</v>
      </c>
      <c r="DD68" s="197">
        <v>1.3</v>
      </c>
      <c r="DE68" s="186">
        <v>1</v>
      </c>
      <c r="DF68" s="197">
        <v>0</v>
      </c>
      <c r="DG68" s="197">
        <v>0.8</v>
      </c>
      <c r="DH68" s="197">
        <v>1</v>
      </c>
      <c r="DI68" s="197">
        <v>1.3</v>
      </c>
      <c r="DJ68" s="186">
        <v>1</v>
      </c>
      <c r="DK68" s="197">
        <v>0</v>
      </c>
      <c r="DL68" s="197">
        <v>0</v>
      </c>
      <c r="DM68" s="197">
        <v>0</v>
      </c>
      <c r="DN68" s="197">
        <v>1.3</v>
      </c>
      <c r="DO68" s="186">
        <v>1</v>
      </c>
      <c r="DP68" s="197">
        <v>0</v>
      </c>
      <c r="DQ68" s="197">
        <v>0.8</v>
      </c>
      <c r="DR68" s="197">
        <v>1</v>
      </c>
      <c r="DS68" s="197">
        <v>1.3</v>
      </c>
      <c r="DT68" s="186">
        <v>1</v>
      </c>
      <c r="DU68" s="197">
        <v>0</v>
      </c>
      <c r="DV68" s="197">
        <v>0.8</v>
      </c>
      <c r="DW68" s="197">
        <v>1</v>
      </c>
      <c r="DX68" s="197">
        <v>1.3</v>
      </c>
      <c r="DY68" s="186">
        <v>1</v>
      </c>
      <c r="DZ68" s="197">
        <v>0</v>
      </c>
      <c r="EA68" s="197">
        <v>0</v>
      </c>
      <c r="EB68" s="197">
        <v>0</v>
      </c>
      <c r="EC68" s="197">
        <v>1.3</v>
      </c>
      <c r="ED68" s="186">
        <v>1</v>
      </c>
      <c r="EE68" s="197">
        <v>0</v>
      </c>
      <c r="EF68" s="197">
        <v>0.8</v>
      </c>
      <c r="EG68" s="197">
        <v>1</v>
      </c>
      <c r="EH68" s="197">
        <v>1.3</v>
      </c>
      <c r="EI68" s="186">
        <v>1</v>
      </c>
      <c r="EJ68" s="197">
        <v>0</v>
      </c>
      <c r="EK68" s="197">
        <v>0.8</v>
      </c>
      <c r="EL68" s="197">
        <v>1</v>
      </c>
      <c r="EM68" s="197">
        <v>1.3</v>
      </c>
      <c r="EN68" s="186">
        <v>1</v>
      </c>
      <c r="EO68" s="197">
        <v>0</v>
      </c>
      <c r="EP68" s="197">
        <v>0</v>
      </c>
      <c r="EQ68" s="197">
        <v>0</v>
      </c>
      <c r="ER68" s="197">
        <v>1.3</v>
      </c>
      <c r="ES68" s="186">
        <v>1</v>
      </c>
      <c r="ET68" s="197">
        <v>0</v>
      </c>
      <c r="EU68" s="197">
        <v>0.8</v>
      </c>
      <c r="EV68" s="197">
        <v>1</v>
      </c>
      <c r="EW68" s="197">
        <v>1.3</v>
      </c>
      <c r="EX68" s="186">
        <v>1</v>
      </c>
      <c r="EY68" s="197">
        <v>0</v>
      </c>
      <c r="EZ68" s="197">
        <v>0.8</v>
      </c>
      <c r="FA68" s="197">
        <v>1</v>
      </c>
      <c r="FB68" s="197">
        <v>1.3</v>
      </c>
      <c r="FC68" s="186">
        <v>1</v>
      </c>
      <c r="FD68" s="197">
        <v>0</v>
      </c>
      <c r="FE68" s="197">
        <v>0</v>
      </c>
      <c r="FF68" s="197">
        <v>0</v>
      </c>
      <c r="FG68" s="197">
        <v>1.3</v>
      </c>
      <c r="FH68" s="186">
        <v>1</v>
      </c>
      <c r="FI68" s="197">
        <v>0</v>
      </c>
      <c r="FJ68" s="197">
        <v>0.8</v>
      </c>
      <c r="FK68" s="197">
        <v>1</v>
      </c>
      <c r="FL68" s="197">
        <v>1.3</v>
      </c>
      <c r="FM68" s="186">
        <v>1</v>
      </c>
      <c r="FN68" s="197">
        <v>0</v>
      </c>
      <c r="FO68" s="197">
        <v>0.8</v>
      </c>
      <c r="FP68" s="197">
        <v>1</v>
      </c>
      <c r="FQ68" s="197">
        <v>1.3</v>
      </c>
      <c r="FR68" s="186">
        <v>1</v>
      </c>
      <c r="FS68" s="197">
        <v>0</v>
      </c>
      <c r="FT68" s="197">
        <v>0</v>
      </c>
      <c r="FU68" s="197">
        <v>0</v>
      </c>
      <c r="FV68" s="197">
        <v>1.3</v>
      </c>
      <c r="FW68" s="186">
        <v>1</v>
      </c>
      <c r="FX68" s="197">
        <v>0</v>
      </c>
      <c r="FY68" s="197">
        <v>0.8</v>
      </c>
      <c r="FZ68" s="197">
        <v>1</v>
      </c>
      <c r="GA68" s="197">
        <v>1.3</v>
      </c>
      <c r="GB68" s="186">
        <v>1</v>
      </c>
      <c r="GC68" s="197">
        <v>0</v>
      </c>
      <c r="GD68" s="197">
        <v>0.8</v>
      </c>
      <c r="GE68" s="197">
        <v>1</v>
      </c>
      <c r="GF68" s="197">
        <v>1.3</v>
      </c>
      <c r="GG68" s="186">
        <v>1</v>
      </c>
      <c r="GH68" s="197">
        <v>0</v>
      </c>
      <c r="GI68" s="197">
        <v>0</v>
      </c>
      <c r="GJ68" s="197">
        <v>0</v>
      </c>
      <c r="GK68" s="197">
        <v>1.3</v>
      </c>
      <c r="GL68" s="186">
        <v>1</v>
      </c>
      <c r="GM68" s="197">
        <v>0</v>
      </c>
      <c r="GN68" s="197">
        <v>0.8</v>
      </c>
      <c r="GO68" s="197">
        <v>1</v>
      </c>
      <c r="GP68" s="198">
        <v>1.3</v>
      </c>
      <c r="GQ68" s="186">
        <v>1</v>
      </c>
    </row>
    <row r="69" spans="1:199">
      <c r="A69" s="195"/>
      <c r="B69" s="188"/>
      <c r="C69" s="188" t="s">
        <v>303</v>
      </c>
      <c r="D69" s="188" t="s">
        <v>235</v>
      </c>
      <c r="E69" s="190">
        <v>0</v>
      </c>
      <c r="F69" s="193">
        <v>0.8</v>
      </c>
      <c r="G69" s="203">
        <v>1</v>
      </c>
      <c r="H69" s="201">
        <v>1.2</v>
      </c>
      <c r="I69" s="383">
        <v>1</v>
      </c>
      <c r="J69" s="383">
        <v>0</v>
      </c>
      <c r="K69" s="201">
        <v>0.8</v>
      </c>
      <c r="L69" s="201">
        <v>1</v>
      </c>
      <c r="M69" s="201">
        <v>1.2</v>
      </c>
      <c r="N69" s="383">
        <v>1</v>
      </c>
      <c r="O69" s="383">
        <v>0</v>
      </c>
      <c r="P69" s="201">
        <v>0.8</v>
      </c>
      <c r="Q69" s="201">
        <v>1</v>
      </c>
      <c r="R69" s="202">
        <v>1.2</v>
      </c>
      <c r="S69" s="382">
        <v>1</v>
      </c>
      <c r="T69" s="190">
        <v>0</v>
      </c>
      <c r="U69" s="193">
        <v>0.8</v>
      </c>
      <c r="V69" s="203">
        <v>1</v>
      </c>
      <c r="W69" s="201">
        <v>1.2</v>
      </c>
      <c r="X69" s="382">
        <v>1</v>
      </c>
      <c r="Y69" s="200">
        <v>0</v>
      </c>
      <c r="Z69" s="201">
        <v>0.8</v>
      </c>
      <c r="AA69" s="201">
        <v>1</v>
      </c>
      <c r="AB69" s="201">
        <v>1.2</v>
      </c>
      <c r="AC69" s="382">
        <v>1</v>
      </c>
      <c r="AD69" s="200">
        <v>0</v>
      </c>
      <c r="AE69" s="201">
        <v>0.8</v>
      </c>
      <c r="AF69" s="201">
        <v>1</v>
      </c>
      <c r="AG69" s="383">
        <v>1.2</v>
      </c>
      <c r="AH69" s="383">
        <v>1</v>
      </c>
      <c r="AI69" s="383">
        <v>0</v>
      </c>
      <c r="AJ69" s="383">
        <v>0.8</v>
      </c>
      <c r="AK69" s="201">
        <v>1</v>
      </c>
      <c r="AL69" s="201">
        <v>1.2</v>
      </c>
      <c r="AM69" s="383">
        <v>1</v>
      </c>
      <c r="AN69" s="383">
        <v>0</v>
      </c>
      <c r="AO69" s="201">
        <v>0.8</v>
      </c>
      <c r="AP69" s="201">
        <v>1</v>
      </c>
      <c r="AQ69" s="201">
        <v>1.2</v>
      </c>
      <c r="AR69" s="382">
        <v>1</v>
      </c>
      <c r="AS69" s="200">
        <v>0</v>
      </c>
      <c r="AT69" s="201">
        <v>0.8</v>
      </c>
      <c r="AU69" s="201">
        <v>1</v>
      </c>
      <c r="AV69" s="193">
        <v>1.2</v>
      </c>
      <c r="AW69" s="382">
        <v>1</v>
      </c>
      <c r="AX69" s="193">
        <v>0</v>
      </c>
      <c r="AY69" s="193">
        <v>0.8</v>
      </c>
      <c r="AZ69" s="193">
        <v>1</v>
      </c>
      <c r="BA69" s="193">
        <v>1.2</v>
      </c>
      <c r="BB69" s="382">
        <v>1</v>
      </c>
      <c r="BC69" s="193">
        <v>0</v>
      </c>
      <c r="BD69" s="193">
        <v>0.8</v>
      </c>
      <c r="BE69" s="193">
        <v>1</v>
      </c>
      <c r="BF69" s="193">
        <v>1.2</v>
      </c>
      <c r="BG69" s="382">
        <v>1</v>
      </c>
      <c r="BH69" s="193">
        <v>0</v>
      </c>
      <c r="BI69" s="193">
        <v>0.8</v>
      </c>
      <c r="BJ69" s="193">
        <v>1</v>
      </c>
      <c r="BK69" s="193">
        <v>1.2</v>
      </c>
      <c r="BL69" s="382">
        <v>1</v>
      </c>
      <c r="BM69" s="193">
        <v>0</v>
      </c>
      <c r="BN69" s="193">
        <v>0.8</v>
      </c>
      <c r="BO69" s="193">
        <v>1</v>
      </c>
      <c r="BP69" s="193">
        <v>1.2</v>
      </c>
      <c r="BQ69" s="382">
        <v>1</v>
      </c>
      <c r="BR69" s="193">
        <v>0</v>
      </c>
      <c r="BS69" s="193">
        <v>0.8</v>
      </c>
      <c r="BT69" s="193">
        <v>1</v>
      </c>
      <c r="BU69" s="193">
        <v>1.2</v>
      </c>
      <c r="BV69" s="382">
        <v>1</v>
      </c>
      <c r="BW69" s="193">
        <v>0</v>
      </c>
      <c r="BX69" s="193">
        <v>0.8</v>
      </c>
      <c r="BY69" s="193">
        <v>1</v>
      </c>
      <c r="BZ69" s="193">
        <v>1.2</v>
      </c>
      <c r="CA69" s="382">
        <v>1</v>
      </c>
      <c r="CB69" s="193">
        <v>0</v>
      </c>
      <c r="CC69" s="193">
        <v>0.8</v>
      </c>
      <c r="CD69" s="193">
        <v>1</v>
      </c>
      <c r="CE69" s="193">
        <v>1.2</v>
      </c>
      <c r="CF69" s="382">
        <v>1</v>
      </c>
      <c r="CG69" s="193">
        <v>0</v>
      </c>
      <c r="CH69" s="193">
        <v>0.8</v>
      </c>
      <c r="CI69" s="193">
        <v>1</v>
      </c>
      <c r="CJ69" s="193">
        <v>1.2</v>
      </c>
      <c r="CK69" s="382">
        <v>1</v>
      </c>
      <c r="CL69" s="193">
        <v>0</v>
      </c>
      <c r="CM69" s="193">
        <v>0.8</v>
      </c>
      <c r="CN69" s="193">
        <v>1</v>
      </c>
      <c r="CO69" s="193">
        <v>1.2</v>
      </c>
      <c r="CP69" s="382">
        <v>1</v>
      </c>
      <c r="CQ69" s="193">
        <v>0</v>
      </c>
      <c r="CR69" s="193">
        <v>0.8</v>
      </c>
      <c r="CS69" s="193">
        <v>1</v>
      </c>
      <c r="CT69" s="193">
        <v>1.2</v>
      </c>
      <c r="CU69" s="382">
        <v>1</v>
      </c>
      <c r="CV69" s="193">
        <v>0</v>
      </c>
      <c r="CW69" s="193">
        <v>0.8</v>
      </c>
      <c r="CX69" s="193">
        <v>1</v>
      </c>
      <c r="CY69" s="193">
        <v>1.2</v>
      </c>
      <c r="CZ69" s="382">
        <v>1</v>
      </c>
      <c r="DA69" s="193">
        <v>0</v>
      </c>
      <c r="DB69" s="193">
        <v>0.8</v>
      </c>
      <c r="DC69" s="193">
        <v>1</v>
      </c>
      <c r="DD69" s="193">
        <v>1.2</v>
      </c>
      <c r="DE69" s="382">
        <v>1</v>
      </c>
      <c r="DF69" s="193">
        <v>0</v>
      </c>
      <c r="DG69" s="193">
        <v>0.8</v>
      </c>
      <c r="DH69" s="193">
        <v>1</v>
      </c>
      <c r="DI69" s="193">
        <v>1.2</v>
      </c>
      <c r="DJ69" s="382">
        <v>1</v>
      </c>
      <c r="DK69" s="193">
        <v>0</v>
      </c>
      <c r="DL69" s="193">
        <v>0.8</v>
      </c>
      <c r="DM69" s="193">
        <v>1</v>
      </c>
      <c r="DN69" s="193">
        <v>1.2</v>
      </c>
      <c r="DO69" s="382">
        <v>1</v>
      </c>
      <c r="DP69" s="193">
        <v>0</v>
      </c>
      <c r="DQ69" s="193">
        <v>0.8</v>
      </c>
      <c r="DR69" s="193">
        <v>1</v>
      </c>
      <c r="DS69" s="193">
        <v>1.2</v>
      </c>
      <c r="DT69" s="382">
        <v>1</v>
      </c>
      <c r="DU69" s="193">
        <v>0</v>
      </c>
      <c r="DV69" s="193">
        <v>0.8</v>
      </c>
      <c r="DW69" s="193">
        <v>1</v>
      </c>
      <c r="DX69" s="193">
        <v>1.2</v>
      </c>
      <c r="DY69" s="382">
        <v>1</v>
      </c>
      <c r="DZ69" s="193">
        <v>0</v>
      </c>
      <c r="EA69" s="193">
        <v>0.8</v>
      </c>
      <c r="EB69" s="193">
        <v>1</v>
      </c>
      <c r="EC69" s="193">
        <v>1.2</v>
      </c>
      <c r="ED69" s="382">
        <v>1</v>
      </c>
      <c r="EE69" s="193">
        <v>0</v>
      </c>
      <c r="EF69" s="193">
        <v>0.8</v>
      </c>
      <c r="EG69" s="193">
        <v>1</v>
      </c>
      <c r="EH69" s="193">
        <v>1.2</v>
      </c>
      <c r="EI69" s="382">
        <v>1</v>
      </c>
      <c r="EJ69" s="193">
        <v>0</v>
      </c>
      <c r="EK69" s="193">
        <v>0.8</v>
      </c>
      <c r="EL69" s="193">
        <v>1</v>
      </c>
      <c r="EM69" s="193">
        <v>1.2</v>
      </c>
      <c r="EN69" s="382">
        <v>1</v>
      </c>
      <c r="EO69" s="193">
        <v>0</v>
      </c>
      <c r="EP69" s="193">
        <v>0.8</v>
      </c>
      <c r="EQ69" s="193">
        <v>1</v>
      </c>
      <c r="ER69" s="193">
        <v>1.2</v>
      </c>
      <c r="ES69" s="382">
        <v>1</v>
      </c>
      <c r="ET69" s="193">
        <v>0</v>
      </c>
      <c r="EU69" s="193">
        <v>0.8</v>
      </c>
      <c r="EV69" s="193">
        <v>1</v>
      </c>
      <c r="EW69" s="193">
        <v>1.2</v>
      </c>
      <c r="EX69" s="382">
        <v>1</v>
      </c>
      <c r="EY69" s="193">
        <v>0</v>
      </c>
      <c r="EZ69" s="193">
        <v>0.8</v>
      </c>
      <c r="FA69" s="193">
        <v>1</v>
      </c>
      <c r="FB69" s="193">
        <v>1.2</v>
      </c>
      <c r="FC69" s="382">
        <v>1</v>
      </c>
      <c r="FD69" s="193">
        <v>0</v>
      </c>
      <c r="FE69" s="193">
        <v>0.8</v>
      </c>
      <c r="FF69" s="193">
        <v>1</v>
      </c>
      <c r="FG69" s="193">
        <v>1.2</v>
      </c>
      <c r="FH69" s="382">
        <v>1</v>
      </c>
      <c r="FI69" s="193">
        <v>0</v>
      </c>
      <c r="FJ69" s="193">
        <v>0.8</v>
      </c>
      <c r="FK69" s="193">
        <v>1</v>
      </c>
      <c r="FL69" s="193">
        <v>1.2</v>
      </c>
      <c r="FM69" s="382">
        <v>1</v>
      </c>
      <c r="FN69" s="193">
        <v>0</v>
      </c>
      <c r="FO69" s="193">
        <v>0.8</v>
      </c>
      <c r="FP69" s="193">
        <v>1</v>
      </c>
      <c r="FQ69" s="193">
        <v>1.2</v>
      </c>
      <c r="FR69" s="382">
        <v>1</v>
      </c>
      <c r="FS69" s="193">
        <v>0</v>
      </c>
      <c r="FT69" s="193">
        <v>0.8</v>
      </c>
      <c r="FU69" s="193">
        <v>1</v>
      </c>
      <c r="FV69" s="193">
        <v>1.2</v>
      </c>
      <c r="FW69" s="382">
        <v>1</v>
      </c>
      <c r="FX69" s="193">
        <v>0</v>
      </c>
      <c r="FY69" s="193">
        <v>0.8</v>
      </c>
      <c r="FZ69" s="193">
        <v>1</v>
      </c>
      <c r="GA69" s="193">
        <v>1.2</v>
      </c>
      <c r="GB69" s="382">
        <v>1</v>
      </c>
      <c r="GC69" s="193">
        <v>0</v>
      </c>
      <c r="GD69" s="193">
        <v>0.8</v>
      </c>
      <c r="GE69" s="193">
        <v>1</v>
      </c>
      <c r="GF69" s="193">
        <v>1.2</v>
      </c>
      <c r="GG69" s="382">
        <v>1</v>
      </c>
      <c r="GH69" s="193">
        <v>0</v>
      </c>
      <c r="GI69" s="193">
        <v>0.8</v>
      </c>
      <c r="GJ69" s="193">
        <v>1</v>
      </c>
      <c r="GK69" s="193">
        <v>1.2</v>
      </c>
      <c r="GL69" s="382">
        <v>1</v>
      </c>
      <c r="GM69" s="193">
        <v>0</v>
      </c>
      <c r="GN69" s="193">
        <v>0.8</v>
      </c>
      <c r="GO69" s="193">
        <v>1</v>
      </c>
      <c r="GP69" s="187">
        <v>1.2</v>
      </c>
      <c r="GQ69" s="382">
        <v>1</v>
      </c>
    </row>
    <row r="70" spans="1:199">
      <c r="A70" s="195"/>
      <c r="B70" s="188"/>
      <c r="C70" s="188"/>
      <c r="D70" s="188" t="s">
        <v>965</v>
      </c>
      <c r="E70" s="190">
        <v>0</v>
      </c>
      <c r="F70" s="193">
        <v>0.9</v>
      </c>
      <c r="G70" s="203">
        <v>1</v>
      </c>
      <c r="H70" s="201">
        <v>1.1000000000000001</v>
      </c>
      <c r="I70" s="383">
        <v>1</v>
      </c>
      <c r="J70" s="383">
        <v>0</v>
      </c>
      <c r="K70" s="201">
        <v>0.9</v>
      </c>
      <c r="L70" s="201">
        <v>1</v>
      </c>
      <c r="M70" s="201">
        <v>1.1000000000000001</v>
      </c>
      <c r="N70" s="383">
        <v>1</v>
      </c>
      <c r="O70" s="383">
        <v>0</v>
      </c>
      <c r="P70" s="201">
        <v>0.9</v>
      </c>
      <c r="Q70" s="201">
        <v>1</v>
      </c>
      <c r="R70" s="202">
        <v>1.1000000000000001</v>
      </c>
      <c r="S70" s="382">
        <v>1</v>
      </c>
      <c r="T70" s="190">
        <v>0</v>
      </c>
      <c r="U70" s="193">
        <v>0.9</v>
      </c>
      <c r="V70" s="203">
        <v>1</v>
      </c>
      <c r="W70" s="201">
        <v>1.1000000000000001</v>
      </c>
      <c r="X70" s="382">
        <v>1</v>
      </c>
      <c r="Y70" s="200">
        <v>0</v>
      </c>
      <c r="Z70" s="201">
        <v>0.9</v>
      </c>
      <c r="AA70" s="201">
        <v>1</v>
      </c>
      <c r="AB70" s="201">
        <v>1.1000000000000001</v>
      </c>
      <c r="AC70" s="382">
        <v>1</v>
      </c>
      <c r="AD70" s="200">
        <v>0</v>
      </c>
      <c r="AE70" s="201">
        <v>0.9</v>
      </c>
      <c r="AF70" s="201">
        <v>1</v>
      </c>
      <c r="AG70" s="383">
        <v>1.1000000000000001</v>
      </c>
      <c r="AH70" s="383">
        <v>1</v>
      </c>
      <c r="AI70" s="383">
        <v>0</v>
      </c>
      <c r="AJ70" s="383">
        <v>0.9</v>
      </c>
      <c r="AK70" s="201">
        <v>1</v>
      </c>
      <c r="AL70" s="201">
        <v>1.1000000000000001</v>
      </c>
      <c r="AM70" s="383">
        <v>1</v>
      </c>
      <c r="AN70" s="383">
        <v>0</v>
      </c>
      <c r="AO70" s="201">
        <v>0.9</v>
      </c>
      <c r="AP70" s="201">
        <v>1</v>
      </c>
      <c r="AQ70" s="201">
        <v>1.1000000000000001</v>
      </c>
      <c r="AR70" s="382">
        <v>1</v>
      </c>
      <c r="AS70" s="200">
        <v>0</v>
      </c>
      <c r="AT70" s="201">
        <v>0.9</v>
      </c>
      <c r="AU70" s="201">
        <v>1</v>
      </c>
      <c r="AV70" s="193">
        <v>1.1000000000000001</v>
      </c>
      <c r="AW70" s="382">
        <v>1</v>
      </c>
      <c r="AX70" s="193">
        <v>0</v>
      </c>
      <c r="AY70" s="193">
        <v>0.9</v>
      </c>
      <c r="AZ70" s="193">
        <v>1</v>
      </c>
      <c r="BA70" s="193">
        <v>1.1000000000000001</v>
      </c>
      <c r="BB70" s="382">
        <v>1</v>
      </c>
      <c r="BC70" s="193">
        <v>0</v>
      </c>
      <c r="BD70" s="193">
        <v>0.9</v>
      </c>
      <c r="BE70" s="193">
        <v>1</v>
      </c>
      <c r="BF70" s="193">
        <v>1.1000000000000001</v>
      </c>
      <c r="BG70" s="382">
        <v>1</v>
      </c>
      <c r="BH70" s="193">
        <v>0</v>
      </c>
      <c r="BI70" s="193">
        <v>0.9</v>
      </c>
      <c r="BJ70" s="193">
        <v>1</v>
      </c>
      <c r="BK70" s="193">
        <v>1.1000000000000001</v>
      </c>
      <c r="BL70" s="382">
        <v>1</v>
      </c>
      <c r="BM70" s="193">
        <v>0</v>
      </c>
      <c r="BN70" s="193">
        <v>0.9</v>
      </c>
      <c r="BO70" s="193">
        <v>1</v>
      </c>
      <c r="BP70" s="193">
        <v>1.1000000000000001</v>
      </c>
      <c r="BQ70" s="382">
        <v>1</v>
      </c>
      <c r="BR70" s="193">
        <v>0</v>
      </c>
      <c r="BS70" s="193">
        <v>0.9</v>
      </c>
      <c r="BT70" s="193">
        <v>1</v>
      </c>
      <c r="BU70" s="193">
        <v>1.1000000000000001</v>
      </c>
      <c r="BV70" s="382">
        <v>1</v>
      </c>
      <c r="BW70" s="193">
        <v>0</v>
      </c>
      <c r="BX70" s="193">
        <v>0.9</v>
      </c>
      <c r="BY70" s="193">
        <v>1</v>
      </c>
      <c r="BZ70" s="193">
        <v>1.1000000000000001</v>
      </c>
      <c r="CA70" s="382">
        <v>1</v>
      </c>
      <c r="CB70" s="193">
        <v>0</v>
      </c>
      <c r="CC70" s="193">
        <v>0.9</v>
      </c>
      <c r="CD70" s="193">
        <v>1</v>
      </c>
      <c r="CE70" s="193">
        <v>1.1000000000000001</v>
      </c>
      <c r="CF70" s="382">
        <v>1</v>
      </c>
      <c r="CG70" s="193">
        <v>0</v>
      </c>
      <c r="CH70" s="193">
        <v>0.9</v>
      </c>
      <c r="CI70" s="193">
        <v>1</v>
      </c>
      <c r="CJ70" s="193">
        <v>1.1000000000000001</v>
      </c>
      <c r="CK70" s="382">
        <v>1</v>
      </c>
      <c r="CL70" s="193">
        <v>0</v>
      </c>
      <c r="CM70" s="193">
        <v>0.9</v>
      </c>
      <c r="CN70" s="193">
        <v>1</v>
      </c>
      <c r="CO70" s="193">
        <v>1.1000000000000001</v>
      </c>
      <c r="CP70" s="382">
        <v>1</v>
      </c>
      <c r="CQ70" s="193">
        <v>0</v>
      </c>
      <c r="CR70" s="193">
        <v>0.9</v>
      </c>
      <c r="CS70" s="193">
        <v>1</v>
      </c>
      <c r="CT70" s="193">
        <v>1.1000000000000001</v>
      </c>
      <c r="CU70" s="382">
        <v>1</v>
      </c>
      <c r="CV70" s="193">
        <v>0</v>
      </c>
      <c r="CW70" s="193">
        <v>0.9</v>
      </c>
      <c r="CX70" s="193">
        <v>1</v>
      </c>
      <c r="CY70" s="193">
        <v>1.1000000000000001</v>
      </c>
      <c r="CZ70" s="382">
        <v>1</v>
      </c>
      <c r="DA70" s="193">
        <v>0</v>
      </c>
      <c r="DB70" s="193">
        <v>0.9</v>
      </c>
      <c r="DC70" s="193">
        <v>1</v>
      </c>
      <c r="DD70" s="193">
        <v>1.1000000000000001</v>
      </c>
      <c r="DE70" s="382">
        <v>1</v>
      </c>
      <c r="DF70" s="193">
        <v>0</v>
      </c>
      <c r="DG70" s="193">
        <v>0.9</v>
      </c>
      <c r="DH70" s="193">
        <v>1</v>
      </c>
      <c r="DI70" s="193">
        <v>1.1000000000000001</v>
      </c>
      <c r="DJ70" s="382">
        <v>1</v>
      </c>
      <c r="DK70" s="193">
        <v>0</v>
      </c>
      <c r="DL70" s="193">
        <v>0.9</v>
      </c>
      <c r="DM70" s="193">
        <v>1</v>
      </c>
      <c r="DN70" s="193">
        <v>1.1000000000000001</v>
      </c>
      <c r="DO70" s="382">
        <v>1</v>
      </c>
      <c r="DP70" s="193">
        <v>0</v>
      </c>
      <c r="DQ70" s="193">
        <v>0.9</v>
      </c>
      <c r="DR70" s="193">
        <v>1</v>
      </c>
      <c r="DS70" s="193">
        <v>1.1000000000000001</v>
      </c>
      <c r="DT70" s="382">
        <v>1</v>
      </c>
      <c r="DU70" s="193">
        <v>0</v>
      </c>
      <c r="DV70" s="193">
        <v>0.9</v>
      </c>
      <c r="DW70" s="193">
        <v>1</v>
      </c>
      <c r="DX70" s="193">
        <v>1.1000000000000001</v>
      </c>
      <c r="DY70" s="382">
        <v>1</v>
      </c>
      <c r="DZ70" s="193">
        <v>0</v>
      </c>
      <c r="EA70" s="193">
        <v>0.9</v>
      </c>
      <c r="EB70" s="193">
        <v>1</v>
      </c>
      <c r="EC70" s="193">
        <v>1.1000000000000001</v>
      </c>
      <c r="ED70" s="382">
        <v>1</v>
      </c>
      <c r="EE70" s="193">
        <v>0</v>
      </c>
      <c r="EF70" s="193">
        <v>0.9</v>
      </c>
      <c r="EG70" s="193">
        <v>1</v>
      </c>
      <c r="EH70" s="193">
        <v>1.1000000000000001</v>
      </c>
      <c r="EI70" s="382">
        <v>1</v>
      </c>
      <c r="EJ70" s="193">
        <v>0</v>
      </c>
      <c r="EK70" s="193">
        <v>0.9</v>
      </c>
      <c r="EL70" s="193">
        <v>1</v>
      </c>
      <c r="EM70" s="193">
        <v>1.1000000000000001</v>
      </c>
      <c r="EN70" s="382">
        <v>1</v>
      </c>
      <c r="EO70" s="193">
        <v>0</v>
      </c>
      <c r="EP70" s="193">
        <v>0.9</v>
      </c>
      <c r="EQ70" s="193">
        <v>1</v>
      </c>
      <c r="ER70" s="193">
        <v>1.1000000000000001</v>
      </c>
      <c r="ES70" s="382">
        <v>1</v>
      </c>
      <c r="ET70" s="193">
        <v>0</v>
      </c>
      <c r="EU70" s="193">
        <v>0.9</v>
      </c>
      <c r="EV70" s="193">
        <v>1</v>
      </c>
      <c r="EW70" s="193">
        <v>1.1000000000000001</v>
      </c>
      <c r="EX70" s="382">
        <v>1</v>
      </c>
      <c r="EY70" s="193">
        <v>0</v>
      </c>
      <c r="EZ70" s="193">
        <v>0.9</v>
      </c>
      <c r="FA70" s="193">
        <v>1</v>
      </c>
      <c r="FB70" s="193">
        <v>1.1000000000000001</v>
      </c>
      <c r="FC70" s="382">
        <v>1</v>
      </c>
      <c r="FD70" s="193">
        <v>0</v>
      </c>
      <c r="FE70" s="193">
        <v>0.9</v>
      </c>
      <c r="FF70" s="193">
        <v>1</v>
      </c>
      <c r="FG70" s="193">
        <v>1.1000000000000001</v>
      </c>
      <c r="FH70" s="382">
        <v>1</v>
      </c>
      <c r="FI70" s="193">
        <v>0</v>
      </c>
      <c r="FJ70" s="193">
        <v>0.9</v>
      </c>
      <c r="FK70" s="193">
        <v>1</v>
      </c>
      <c r="FL70" s="193">
        <v>1.1000000000000001</v>
      </c>
      <c r="FM70" s="382">
        <v>1</v>
      </c>
      <c r="FN70" s="193">
        <v>0</v>
      </c>
      <c r="FO70" s="193">
        <v>0.9</v>
      </c>
      <c r="FP70" s="193">
        <v>1</v>
      </c>
      <c r="FQ70" s="193">
        <v>1.1000000000000001</v>
      </c>
      <c r="FR70" s="382">
        <v>1</v>
      </c>
      <c r="FS70" s="193">
        <v>0</v>
      </c>
      <c r="FT70" s="193">
        <v>0.9</v>
      </c>
      <c r="FU70" s="193">
        <v>1</v>
      </c>
      <c r="FV70" s="193">
        <v>1.1000000000000001</v>
      </c>
      <c r="FW70" s="382">
        <v>1</v>
      </c>
      <c r="FX70" s="193">
        <v>0</v>
      </c>
      <c r="FY70" s="193">
        <v>0.9</v>
      </c>
      <c r="FZ70" s="193">
        <v>1</v>
      </c>
      <c r="GA70" s="193">
        <v>1.1000000000000001</v>
      </c>
      <c r="GB70" s="382">
        <v>1</v>
      </c>
      <c r="GC70" s="193">
        <v>0</v>
      </c>
      <c r="GD70" s="193">
        <v>0.9</v>
      </c>
      <c r="GE70" s="193">
        <v>1</v>
      </c>
      <c r="GF70" s="193">
        <v>1.1000000000000001</v>
      </c>
      <c r="GG70" s="382">
        <v>1</v>
      </c>
      <c r="GH70" s="193">
        <v>0</v>
      </c>
      <c r="GI70" s="193">
        <v>0.9</v>
      </c>
      <c r="GJ70" s="193">
        <v>1</v>
      </c>
      <c r="GK70" s="193">
        <v>1.1000000000000001</v>
      </c>
      <c r="GL70" s="382">
        <v>1</v>
      </c>
      <c r="GM70" s="193">
        <v>0</v>
      </c>
      <c r="GN70" s="193">
        <v>0.9</v>
      </c>
      <c r="GO70" s="193">
        <v>1</v>
      </c>
      <c r="GP70" s="187">
        <v>1.1000000000000001</v>
      </c>
      <c r="GQ70" s="382">
        <v>1</v>
      </c>
    </row>
    <row r="71" spans="1:199">
      <c r="A71" s="195"/>
      <c r="B71" s="188"/>
      <c r="C71" s="188"/>
      <c r="D71" s="188" t="s">
        <v>231</v>
      </c>
      <c r="E71" s="190">
        <v>0</v>
      </c>
      <c r="F71" s="193">
        <v>0.9</v>
      </c>
      <c r="G71" s="203">
        <v>1</v>
      </c>
      <c r="H71" s="201">
        <v>1.1000000000000001</v>
      </c>
      <c r="I71" s="383">
        <v>1</v>
      </c>
      <c r="J71" s="383">
        <v>0</v>
      </c>
      <c r="K71" s="201">
        <v>0</v>
      </c>
      <c r="L71" s="201">
        <v>1</v>
      </c>
      <c r="M71" s="201">
        <v>1.1000000000000001</v>
      </c>
      <c r="N71" s="383">
        <v>1</v>
      </c>
      <c r="O71" s="383">
        <v>0</v>
      </c>
      <c r="P71" s="201">
        <v>0.9</v>
      </c>
      <c r="Q71" s="201">
        <v>1</v>
      </c>
      <c r="R71" s="202">
        <v>1.1000000000000001</v>
      </c>
      <c r="S71" s="382">
        <v>1</v>
      </c>
      <c r="T71" s="190">
        <v>0</v>
      </c>
      <c r="U71" s="193">
        <v>0.9</v>
      </c>
      <c r="V71" s="203">
        <v>1</v>
      </c>
      <c r="W71" s="201">
        <v>1.1000000000000001</v>
      </c>
      <c r="X71" s="382">
        <v>1</v>
      </c>
      <c r="Y71" s="200">
        <v>0</v>
      </c>
      <c r="Z71" s="201">
        <v>0</v>
      </c>
      <c r="AA71" s="201">
        <v>1</v>
      </c>
      <c r="AB71" s="201">
        <v>1.1000000000000001</v>
      </c>
      <c r="AC71" s="382">
        <v>1</v>
      </c>
      <c r="AD71" s="200">
        <v>0</v>
      </c>
      <c r="AE71" s="201">
        <v>0.9</v>
      </c>
      <c r="AF71" s="201">
        <v>1</v>
      </c>
      <c r="AG71" s="383">
        <v>1.1000000000000001</v>
      </c>
      <c r="AH71" s="383">
        <v>1</v>
      </c>
      <c r="AI71" s="383">
        <v>0</v>
      </c>
      <c r="AJ71" s="383">
        <v>0.9</v>
      </c>
      <c r="AK71" s="201">
        <v>1</v>
      </c>
      <c r="AL71" s="201">
        <v>1.1000000000000001</v>
      </c>
      <c r="AM71" s="383">
        <v>1</v>
      </c>
      <c r="AN71" s="383">
        <v>0</v>
      </c>
      <c r="AO71" s="201">
        <v>0</v>
      </c>
      <c r="AP71" s="201">
        <v>1</v>
      </c>
      <c r="AQ71" s="201">
        <v>1.1000000000000001</v>
      </c>
      <c r="AR71" s="382">
        <v>1</v>
      </c>
      <c r="AS71" s="200">
        <v>0</v>
      </c>
      <c r="AT71" s="201">
        <v>0.9</v>
      </c>
      <c r="AU71" s="201">
        <v>1</v>
      </c>
      <c r="AV71" s="193">
        <v>1.1000000000000001</v>
      </c>
      <c r="AW71" s="382">
        <v>1</v>
      </c>
      <c r="AX71" s="193">
        <v>0</v>
      </c>
      <c r="AY71" s="193">
        <v>0.9</v>
      </c>
      <c r="AZ71" s="193">
        <v>1</v>
      </c>
      <c r="BA71" s="193">
        <v>1.1000000000000001</v>
      </c>
      <c r="BB71" s="382">
        <v>1</v>
      </c>
      <c r="BC71" s="193">
        <v>0</v>
      </c>
      <c r="BD71" s="193">
        <v>0</v>
      </c>
      <c r="BE71" s="193">
        <v>1</v>
      </c>
      <c r="BF71" s="193">
        <v>1.1000000000000001</v>
      </c>
      <c r="BG71" s="382">
        <v>1</v>
      </c>
      <c r="BH71" s="193">
        <v>0</v>
      </c>
      <c r="BI71" s="193">
        <v>0.9</v>
      </c>
      <c r="BJ71" s="193">
        <v>1</v>
      </c>
      <c r="BK71" s="193">
        <v>1.1000000000000001</v>
      </c>
      <c r="BL71" s="382">
        <v>1</v>
      </c>
      <c r="BM71" s="193">
        <v>0</v>
      </c>
      <c r="BN71" s="193">
        <v>0.9</v>
      </c>
      <c r="BO71" s="193">
        <v>1</v>
      </c>
      <c r="BP71" s="193">
        <v>1.1000000000000001</v>
      </c>
      <c r="BQ71" s="382">
        <v>1</v>
      </c>
      <c r="BR71" s="193">
        <v>0</v>
      </c>
      <c r="BS71" s="193">
        <v>0</v>
      </c>
      <c r="BT71" s="193">
        <v>1</v>
      </c>
      <c r="BU71" s="193">
        <v>1.1000000000000001</v>
      </c>
      <c r="BV71" s="382">
        <v>1</v>
      </c>
      <c r="BW71" s="193">
        <v>0</v>
      </c>
      <c r="BX71" s="193">
        <v>0.9</v>
      </c>
      <c r="BY71" s="193">
        <v>1</v>
      </c>
      <c r="BZ71" s="193">
        <v>1.1000000000000001</v>
      </c>
      <c r="CA71" s="382">
        <v>1</v>
      </c>
      <c r="CB71" s="193">
        <v>0</v>
      </c>
      <c r="CC71" s="193">
        <v>0.9</v>
      </c>
      <c r="CD71" s="193">
        <v>1</v>
      </c>
      <c r="CE71" s="193">
        <v>1.1000000000000001</v>
      </c>
      <c r="CF71" s="382">
        <v>1</v>
      </c>
      <c r="CG71" s="193">
        <v>0</v>
      </c>
      <c r="CH71" s="193">
        <v>0</v>
      </c>
      <c r="CI71" s="193">
        <v>1</v>
      </c>
      <c r="CJ71" s="193">
        <v>1.1000000000000001</v>
      </c>
      <c r="CK71" s="382">
        <v>1</v>
      </c>
      <c r="CL71" s="193">
        <v>0</v>
      </c>
      <c r="CM71" s="193">
        <v>0.9</v>
      </c>
      <c r="CN71" s="193">
        <v>1</v>
      </c>
      <c r="CO71" s="193">
        <v>1.1000000000000001</v>
      </c>
      <c r="CP71" s="382">
        <v>1</v>
      </c>
      <c r="CQ71" s="193">
        <v>0</v>
      </c>
      <c r="CR71" s="193">
        <v>0.9</v>
      </c>
      <c r="CS71" s="193">
        <v>1</v>
      </c>
      <c r="CT71" s="193">
        <v>1.1000000000000001</v>
      </c>
      <c r="CU71" s="382">
        <v>1</v>
      </c>
      <c r="CV71" s="193">
        <v>0</v>
      </c>
      <c r="CW71" s="193">
        <v>0</v>
      </c>
      <c r="CX71" s="193">
        <v>1</v>
      </c>
      <c r="CY71" s="193">
        <v>1.1000000000000001</v>
      </c>
      <c r="CZ71" s="382">
        <v>1</v>
      </c>
      <c r="DA71" s="193">
        <v>0</v>
      </c>
      <c r="DB71" s="193">
        <v>0.9</v>
      </c>
      <c r="DC71" s="193">
        <v>1</v>
      </c>
      <c r="DD71" s="193">
        <v>1.1000000000000001</v>
      </c>
      <c r="DE71" s="382">
        <v>1</v>
      </c>
      <c r="DF71" s="193">
        <v>0</v>
      </c>
      <c r="DG71" s="193">
        <v>0.9</v>
      </c>
      <c r="DH71" s="193">
        <v>1</v>
      </c>
      <c r="DI71" s="193">
        <v>1.1000000000000001</v>
      </c>
      <c r="DJ71" s="382">
        <v>1</v>
      </c>
      <c r="DK71" s="193">
        <v>0</v>
      </c>
      <c r="DL71" s="193">
        <v>0</v>
      </c>
      <c r="DM71" s="193">
        <v>1</v>
      </c>
      <c r="DN71" s="193">
        <v>1.1000000000000001</v>
      </c>
      <c r="DO71" s="382">
        <v>1</v>
      </c>
      <c r="DP71" s="193">
        <v>0</v>
      </c>
      <c r="DQ71" s="193">
        <v>0.9</v>
      </c>
      <c r="DR71" s="193">
        <v>1</v>
      </c>
      <c r="DS71" s="193">
        <v>1.1000000000000001</v>
      </c>
      <c r="DT71" s="382">
        <v>1</v>
      </c>
      <c r="DU71" s="193">
        <v>0</v>
      </c>
      <c r="DV71" s="193">
        <v>0.9</v>
      </c>
      <c r="DW71" s="193">
        <v>1</v>
      </c>
      <c r="DX71" s="193">
        <v>1.1000000000000001</v>
      </c>
      <c r="DY71" s="382">
        <v>1</v>
      </c>
      <c r="DZ71" s="193">
        <v>0</v>
      </c>
      <c r="EA71" s="193">
        <v>0</v>
      </c>
      <c r="EB71" s="193">
        <v>1</v>
      </c>
      <c r="EC71" s="193">
        <v>1.1000000000000001</v>
      </c>
      <c r="ED71" s="382">
        <v>1</v>
      </c>
      <c r="EE71" s="193">
        <v>0</v>
      </c>
      <c r="EF71" s="193">
        <v>0.9</v>
      </c>
      <c r="EG71" s="193">
        <v>1</v>
      </c>
      <c r="EH71" s="193">
        <v>1.1000000000000001</v>
      </c>
      <c r="EI71" s="382">
        <v>1</v>
      </c>
      <c r="EJ71" s="193">
        <v>0</v>
      </c>
      <c r="EK71" s="193">
        <v>0.9</v>
      </c>
      <c r="EL71" s="193">
        <v>1</v>
      </c>
      <c r="EM71" s="193">
        <v>1.1000000000000001</v>
      </c>
      <c r="EN71" s="382">
        <v>1</v>
      </c>
      <c r="EO71" s="193">
        <v>0</v>
      </c>
      <c r="EP71" s="193">
        <v>0</v>
      </c>
      <c r="EQ71" s="193">
        <v>1</v>
      </c>
      <c r="ER71" s="193">
        <v>1.1000000000000001</v>
      </c>
      <c r="ES71" s="382">
        <v>1</v>
      </c>
      <c r="ET71" s="193">
        <v>0</v>
      </c>
      <c r="EU71" s="193">
        <v>0.9</v>
      </c>
      <c r="EV71" s="193">
        <v>1</v>
      </c>
      <c r="EW71" s="193">
        <v>1.1000000000000001</v>
      </c>
      <c r="EX71" s="382">
        <v>1</v>
      </c>
      <c r="EY71" s="193">
        <v>0</v>
      </c>
      <c r="EZ71" s="193">
        <v>0.9</v>
      </c>
      <c r="FA71" s="193">
        <v>1</v>
      </c>
      <c r="FB71" s="193">
        <v>1.1000000000000001</v>
      </c>
      <c r="FC71" s="382">
        <v>1</v>
      </c>
      <c r="FD71" s="193">
        <v>0</v>
      </c>
      <c r="FE71" s="193">
        <v>0</v>
      </c>
      <c r="FF71" s="193">
        <v>1</v>
      </c>
      <c r="FG71" s="193">
        <v>1.1000000000000001</v>
      </c>
      <c r="FH71" s="382">
        <v>1</v>
      </c>
      <c r="FI71" s="193">
        <v>0</v>
      </c>
      <c r="FJ71" s="193">
        <v>0.9</v>
      </c>
      <c r="FK71" s="193">
        <v>1</v>
      </c>
      <c r="FL71" s="193">
        <v>1.1000000000000001</v>
      </c>
      <c r="FM71" s="382">
        <v>1</v>
      </c>
      <c r="FN71" s="193">
        <v>0</v>
      </c>
      <c r="FO71" s="193">
        <v>0.9</v>
      </c>
      <c r="FP71" s="193">
        <v>1</v>
      </c>
      <c r="FQ71" s="193">
        <v>1.1000000000000001</v>
      </c>
      <c r="FR71" s="382">
        <v>1</v>
      </c>
      <c r="FS71" s="193">
        <v>0</v>
      </c>
      <c r="FT71" s="193">
        <v>0</v>
      </c>
      <c r="FU71" s="193">
        <v>1</v>
      </c>
      <c r="FV71" s="193">
        <v>1.1000000000000001</v>
      </c>
      <c r="FW71" s="382">
        <v>1</v>
      </c>
      <c r="FX71" s="193">
        <v>0</v>
      </c>
      <c r="FY71" s="193">
        <v>0.9</v>
      </c>
      <c r="FZ71" s="193">
        <v>1</v>
      </c>
      <c r="GA71" s="193">
        <v>1.1000000000000001</v>
      </c>
      <c r="GB71" s="382">
        <v>1</v>
      </c>
      <c r="GC71" s="193">
        <v>0</v>
      </c>
      <c r="GD71" s="193">
        <v>0.9</v>
      </c>
      <c r="GE71" s="193">
        <v>1</v>
      </c>
      <c r="GF71" s="193">
        <v>1.1000000000000001</v>
      </c>
      <c r="GG71" s="382">
        <v>1</v>
      </c>
      <c r="GH71" s="193">
        <v>0</v>
      </c>
      <c r="GI71" s="193">
        <v>0</v>
      </c>
      <c r="GJ71" s="193">
        <v>1</v>
      </c>
      <c r="GK71" s="193">
        <v>1.1000000000000001</v>
      </c>
      <c r="GL71" s="382">
        <v>1</v>
      </c>
      <c r="GM71" s="193">
        <v>0</v>
      </c>
      <c r="GN71" s="193">
        <v>0.9</v>
      </c>
      <c r="GO71" s="193">
        <v>1</v>
      </c>
      <c r="GP71" s="187">
        <v>1.1000000000000001</v>
      </c>
      <c r="GQ71" s="382">
        <v>1</v>
      </c>
    </row>
    <row r="72" spans="1:199">
      <c r="A72" s="195"/>
      <c r="B72" s="188"/>
      <c r="C72" s="188"/>
      <c r="D72" s="188" t="s">
        <v>966</v>
      </c>
      <c r="E72" s="190">
        <v>0</v>
      </c>
      <c r="F72" s="193">
        <v>0.8</v>
      </c>
      <c r="G72" s="203">
        <v>1</v>
      </c>
      <c r="H72" s="201">
        <v>1.2</v>
      </c>
      <c r="I72" s="383">
        <v>1</v>
      </c>
      <c r="J72" s="383">
        <v>0</v>
      </c>
      <c r="K72" s="201">
        <v>0.8</v>
      </c>
      <c r="L72" s="201">
        <v>1</v>
      </c>
      <c r="M72" s="201">
        <v>1.2</v>
      </c>
      <c r="N72" s="383">
        <v>1</v>
      </c>
      <c r="O72" s="383">
        <v>0</v>
      </c>
      <c r="P72" s="201">
        <v>0.8</v>
      </c>
      <c r="Q72" s="201">
        <v>1</v>
      </c>
      <c r="R72" s="202">
        <v>1.2</v>
      </c>
      <c r="S72" s="382">
        <v>1</v>
      </c>
      <c r="T72" s="190">
        <v>0</v>
      </c>
      <c r="U72" s="193">
        <v>0.8</v>
      </c>
      <c r="V72" s="203">
        <v>1</v>
      </c>
      <c r="W72" s="201">
        <v>1.2</v>
      </c>
      <c r="X72" s="382">
        <v>1</v>
      </c>
      <c r="Y72" s="200">
        <v>0</v>
      </c>
      <c r="Z72" s="201">
        <v>0.8</v>
      </c>
      <c r="AA72" s="201">
        <v>1</v>
      </c>
      <c r="AB72" s="201">
        <v>1.2</v>
      </c>
      <c r="AC72" s="382">
        <v>1</v>
      </c>
      <c r="AD72" s="200">
        <v>0</v>
      </c>
      <c r="AE72" s="201">
        <v>0.8</v>
      </c>
      <c r="AF72" s="201">
        <v>1</v>
      </c>
      <c r="AG72" s="383">
        <v>1.2</v>
      </c>
      <c r="AH72" s="383">
        <v>1</v>
      </c>
      <c r="AI72" s="383">
        <v>0</v>
      </c>
      <c r="AJ72" s="383">
        <v>0.8</v>
      </c>
      <c r="AK72" s="201">
        <v>1</v>
      </c>
      <c r="AL72" s="201">
        <v>1.2</v>
      </c>
      <c r="AM72" s="383">
        <v>1</v>
      </c>
      <c r="AN72" s="383">
        <v>0</v>
      </c>
      <c r="AO72" s="201">
        <v>0.8</v>
      </c>
      <c r="AP72" s="201">
        <v>1</v>
      </c>
      <c r="AQ72" s="201">
        <v>1.2</v>
      </c>
      <c r="AR72" s="382">
        <v>1</v>
      </c>
      <c r="AS72" s="200">
        <v>0</v>
      </c>
      <c r="AT72" s="201">
        <v>0.8</v>
      </c>
      <c r="AU72" s="201">
        <v>1</v>
      </c>
      <c r="AV72" s="193">
        <v>1.2</v>
      </c>
      <c r="AW72" s="382">
        <v>1</v>
      </c>
      <c r="AX72" s="193">
        <v>0</v>
      </c>
      <c r="AY72" s="193">
        <v>0.8</v>
      </c>
      <c r="AZ72" s="193">
        <v>1</v>
      </c>
      <c r="BA72" s="193">
        <v>1.2</v>
      </c>
      <c r="BB72" s="382">
        <v>1</v>
      </c>
      <c r="BC72" s="193">
        <v>0</v>
      </c>
      <c r="BD72" s="193">
        <v>0.8</v>
      </c>
      <c r="BE72" s="193">
        <v>1</v>
      </c>
      <c r="BF72" s="193">
        <v>1.2</v>
      </c>
      <c r="BG72" s="382">
        <v>1</v>
      </c>
      <c r="BH72" s="193">
        <v>0</v>
      </c>
      <c r="BI72" s="193">
        <v>0.8</v>
      </c>
      <c r="BJ72" s="193">
        <v>1</v>
      </c>
      <c r="BK72" s="193">
        <v>1.2</v>
      </c>
      <c r="BL72" s="382">
        <v>1</v>
      </c>
      <c r="BM72" s="193">
        <v>0</v>
      </c>
      <c r="BN72" s="193">
        <v>0.8</v>
      </c>
      <c r="BO72" s="193">
        <v>1</v>
      </c>
      <c r="BP72" s="193">
        <v>1.2</v>
      </c>
      <c r="BQ72" s="382">
        <v>1</v>
      </c>
      <c r="BR72" s="193">
        <v>0</v>
      </c>
      <c r="BS72" s="193">
        <v>0.8</v>
      </c>
      <c r="BT72" s="193">
        <v>1</v>
      </c>
      <c r="BU72" s="193">
        <v>1.2</v>
      </c>
      <c r="BV72" s="382">
        <v>1</v>
      </c>
      <c r="BW72" s="193">
        <v>0</v>
      </c>
      <c r="BX72" s="193">
        <v>0.8</v>
      </c>
      <c r="BY72" s="193">
        <v>1</v>
      </c>
      <c r="BZ72" s="193">
        <v>1.2</v>
      </c>
      <c r="CA72" s="382">
        <v>1</v>
      </c>
      <c r="CB72" s="193">
        <v>0</v>
      </c>
      <c r="CC72" s="193">
        <v>0.8</v>
      </c>
      <c r="CD72" s="193">
        <v>1</v>
      </c>
      <c r="CE72" s="193">
        <v>1.2</v>
      </c>
      <c r="CF72" s="382">
        <v>1</v>
      </c>
      <c r="CG72" s="193">
        <v>0</v>
      </c>
      <c r="CH72" s="193">
        <v>0.8</v>
      </c>
      <c r="CI72" s="193">
        <v>1</v>
      </c>
      <c r="CJ72" s="193">
        <v>1.2</v>
      </c>
      <c r="CK72" s="382">
        <v>1</v>
      </c>
      <c r="CL72" s="193">
        <v>0</v>
      </c>
      <c r="CM72" s="193">
        <v>0.8</v>
      </c>
      <c r="CN72" s="193">
        <v>1</v>
      </c>
      <c r="CO72" s="193">
        <v>1.2</v>
      </c>
      <c r="CP72" s="382">
        <v>1</v>
      </c>
      <c r="CQ72" s="193">
        <v>0</v>
      </c>
      <c r="CR72" s="193">
        <v>0.8</v>
      </c>
      <c r="CS72" s="193">
        <v>1</v>
      </c>
      <c r="CT72" s="193">
        <v>1.2</v>
      </c>
      <c r="CU72" s="382">
        <v>1</v>
      </c>
      <c r="CV72" s="193">
        <v>0</v>
      </c>
      <c r="CW72" s="193">
        <v>0.8</v>
      </c>
      <c r="CX72" s="193">
        <v>1</v>
      </c>
      <c r="CY72" s="193">
        <v>1.2</v>
      </c>
      <c r="CZ72" s="382">
        <v>1</v>
      </c>
      <c r="DA72" s="193">
        <v>0</v>
      </c>
      <c r="DB72" s="193">
        <v>0.8</v>
      </c>
      <c r="DC72" s="193">
        <v>1</v>
      </c>
      <c r="DD72" s="193">
        <v>1.2</v>
      </c>
      <c r="DE72" s="382">
        <v>1</v>
      </c>
      <c r="DF72" s="193">
        <v>0</v>
      </c>
      <c r="DG72" s="193">
        <v>0.8</v>
      </c>
      <c r="DH72" s="193">
        <v>1</v>
      </c>
      <c r="DI72" s="193">
        <v>1.2</v>
      </c>
      <c r="DJ72" s="382">
        <v>1</v>
      </c>
      <c r="DK72" s="193">
        <v>0</v>
      </c>
      <c r="DL72" s="193">
        <v>0.8</v>
      </c>
      <c r="DM72" s="193">
        <v>1</v>
      </c>
      <c r="DN72" s="193">
        <v>1.2</v>
      </c>
      <c r="DO72" s="382">
        <v>1</v>
      </c>
      <c r="DP72" s="193">
        <v>0</v>
      </c>
      <c r="DQ72" s="193">
        <v>0.8</v>
      </c>
      <c r="DR72" s="193">
        <v>1</v>
      </c>
      <c r="DS72" s="193">
        <v>1.2</v>
      </c>
      <c r="DT72" s="382">
        <v>1</v>
      </c>
      <c r="DU72" s="193">
        <v>0</v>
      </c>
      <c r="DV72" s="193">
        <v>0.8</v>
      </c>
      <c r="DW72" s="193">
        <v>1</v>
      </c>
      <c r="DX72" s="193">
        <v>1.2</v>
      </c>
      <c r="DY72" s="382">
        <v>1</v>
      </c>
      <c r="DZ72" s="193">
        <v>0</v>
      </c>
      <c r="EA72" s="193">
        <v>0.8</v>
      </c>
      <c r="EB72" s="193">
        <v>1</v>
      </c>
      <c r="EC72" s="193">
        <v>1.2</v>
      </c>
      <c r="ED72" s="382">
        <v>1</v>
      </c>
      <c r="EE72" s="193">
        <v>0</v>
      </c>
      <c r="EF72" s="193">
        <v>0.8</v>
      </c>
      <c r="EG72" s="193">
        <v>1</v>
      </c>
      <c r="EH72" s="193">
        <v>1.2</v>
      </c>
      <c r="EI72" s="382">
        <v>1</v>
      </c>
      <c r="EJ72" s="193">
        <v>0</v>
      </c>
      <c r="EK72" s="193">
        <v>0.8</v>
      </c>
      <c r="EL72" s="193">
        <v>1</v>
      </c>
      <c r="EM72" s="193">
        <v>1.2</v>
      </c>
      <c r="EN72" s="382">
        <v>1</v>
      </c>
      <c r="EO72" s="193">
        <v>0</v>
      </c>
      <c r="EP72" s="193">
        <v>0.8</v>
      </c>
      <c r="EQ72" s="193">
        <v>1</v>
      </c>
      <c r="ER72" s="193">
        <v>1.2</v>
      </c>
      <c r="ES72" s="382">
        <v>1</v>
      </c>
      <c r="ET72" s="193">
        <v>0</v>
      </c>
      <c r="EU72" s="193">
        <v>0.8</v>
      </c>
      <c r="EV72" s="193">
        <v>1</v>
      </c>
      <c r="EW72" s="193">
        <v>1.2</v>
      </c>
      <c r="EX72" s="382">
        <v>1</v>
      </c>
      <c r="EY72" s="193">
        <v>0</v>
      </c>
      <c r="EZ72" s="193">
        <v>0.8</v>
      </c>
      <c r="FA72" s="193">
        <v>1</v>
      </c>
      <c r="FB72" s="193">
        <v>1.2</v>
      </c>
      <c r="FC72" s="382">
        <v>1</v>
      </c>
      <c r="FD72" s="193">
        <v>0</v>
      </c>
      <c r="FE72" s="193">
        <v>0.8</v>
      </c>
      <c r="FF72" s="193">
        <v>1</v>
      </c>
      <c r="FG72" s="193">
        <v>1.2</v>
      </c>
      <c r="FH72" s="382">
        <v>1</v>
      </c>
      <c r="FI72" s="193">
        <v>0</v>
      </c>
      <c r="FJ72" s="193">
        <v>0.8</v>
      </c>
      <c r="FK72" s="193">
        <v>1</v>
      </c>
      <c r="FL72" s="193">
        <v>1.2</v>
      </c>
      <c r="FM72" s="382">
        <v>1</v>
      </c>
      <c r="FN72" s="193">
        <v>0</v>
      </c>
      <c r="FO72" s="193">
        <v>0.8</v>
      </c>
      <c r="FP72" s="193">
        <v>1</v>
      </c>
      <c r="FQ72" s="193">
        <v>1.2</v>
      </c>
      <c r="FR72" s="382">
        <v>1</v>
      </c>
      <c r="FS72" s="193">
        <v>0</v>
      </c>
      <c r="FT72" s="193">
        <v>0.8</v>
      </c>
      <c r="FU72" s="193">
        <v>1</v>
      </c>
      <c r="FV72" s="193">
        <v>1.2</v>
      </c>
      <c r="FW72" s="382">
        <v>1</v>
      </c>
      <c r="FX72" s="193">
        <v>0</v>
      </c>
      <c r="FY72" s="193">
        <v>0.8</v>
      </c>
      <c r="FZ72" s="193">
        <v>1</v>
      </c>
      <c r="GA72" s="193">
        <v>1.2</v>
      </c>
      <c r="GB72" s="382">
        <v>1</v>
      </c>
      <c r="GC72" s="193">
        <v>0</v>
      </c>
      <c r="GD72" s="193">
        <v>0.8</v>
      </c>
      <c r="GE72" s="193">
        <v>1</v>
      </c>
      <c r="GF72" s="193">
        <v>1.2</v>
      </c>
      <c r="GG72" s="382">
        <v>1</v>
      </c>
      <c r="GH72" s="193">
        <v>0</v>
      </c>
      <c r="GI72" s="193">
        <v>0.8</v>
      </c>
      <c r="GJ72" s="193">
        <v>1</v>
      </c>
      <c r="GK72" s="193">
        <v>1.2</v>
      </c>
      <c r="GL72" s="382">
        <v>1</v>
      </c>
      <c r="GM72" s="193">
        <v>0</v>
      </c>
      <c r="GN72" s="193">
        <v>0.8</v>
      </c>
      <c r="GO72" s="193">
        <v>1</v>
      </c>
      <c r="GP72" s="187">
        <v>1.2</v>
      </c>
      <c r="GQ72" s="382">
        <v>1</v>
      </c>
    </row>
    <row r="73" spans="1:199">
      <c r="A73" s="195"/>
      <c r="B73" s="188"/>
      <c r="C73" s="188" t="s">
        <v>997</v>
      </c>
      <c r="D73" s="188" t="s">
        <v>206</v>
      </c>
      <c r="E73" s="190">
        <v>0</v>
      </c>
      <c r="F73" s="193">
        <v>0</v>
      </c>
      <c r="G73" s="203">
        <v>0</v>
      </c>
      <c r="H73" s="201">
        <v>0</v>
      </c>
      <c r="I73" s="383">
        <v>1</v>
      </c>
      <c r="J73" s="383">
        <v>0</v>
      </c>
      <c r="K73" s="201">
        <v>0</v>
      </c>
      <c r="L73" s="201">
        <v>0</v>
      </c>
      <c r="M73" s="201">
        <v>0</v>
      </c>
      <c r="N73" s="383">
        <v>1</v>
      </c>
      <c r="O73" s="383">
        <v>0</v>
      </c>
      <c r="P73" s="201">
        <v>0</v>
      </c>
      <c r="Q73" s="201">
        <v>0</v>
      </c>
      <c r="R73" s="202">
        <v>0</v>
      </c>
      <c r="S73" s="382">
        <v>1</v>
      </c>
      <c r="T73" s="190">
        <v>0</v>
      </c>
      <c r="U73" s="193">
        <v>0</v>
      </c>
      <c r="V73" s="203">
        <v>0</v>
      </c>
      <c r="W73" s="201">
        <v>0</v>
      </c>
      <c r="X73" s="382">
        <v>1</v>
      </c>
      <c r="Y73" s="200">
        <v>0</v>
      </c>
      <c r="Z73" s="201">
        <v>0</v>
      </c>
      <c r="AA73" s="201">
        <v>0</v>
      </c>
      <c r="AB73" s="201">
        <v>0</v>
      </c>
      <c r="AC73" s="382">
        <v>1</v>
      </c>
      <c r="AD73" s="200">
        <v>0</v>
      </c>
      <c r="AE73" s="201">
        <v>0</v>
      </c>
      <c r="AF73" s="201">
        <v>0</v>
      </c>
      <c r="AG73" s="383">
        <v>0</v>
      </c>
      <c r="AH73" s="383">
        <v>1</v>
      </c>
      <c r="AI73" s="383">
        <v>0</v>
      </c>
      <c r="AJ73" s="383">
        <v>0</v>
      </c>
      <c r="AK73" s="201">
        <v>0</v>
      </c>
      <c r="AL73" s="201">
        <v>0</v>
      </c>
      <c r="AM73" s="383">
        <v>1</v>
      </c>
      <c r="AN73" s="383">
        <v>0</v>
      </c>
      <c r="AO73" s="201">
        <v>0</v>
      </c>
      <c r="AP73" s="201">
        <v>0</v>
      </c>
      <c r="AQ73" s="201">
        <v>0</v>
      </c>
      <c r="AR73" s="382">
        <v>1</v>
      </c>
      <c r="AS73" s="200">
        <v>0</v>
      </c>
      <c r="AT73" s="201">
        <v>0</v>
      </c>
      <c r="AU73" s="201">
        <v>0</v>
      </c>
      <c r="AV73" s="193">
        <v>0</v>
      </c>
      <c r="AW73" s="382">
        <v>1</v>
      </c>
      <c r="AX73" s="193">
        <v>0</v>
      </c>
      <c r="AY73" s="193">
        <v>0</v>
      </c>
      <c r="AZ73" s="193">
        <v>0</v>
      </c>
      <c r="BA73" s="193">
        <v>0</v>
      </c>
      <c r="BB73" s="382">
        <v>1</v>
      </c>
      <c r="BC73" s="193">
        <v>0</v>
      </c>
      <c r="BD73" s="193">
        <v>0</v>
      </c>
      <c r="BE73" s="193">
        <v>0</v>
      </c>
      <c r="BF73" s="193">
        <v>0</v>
      </c>
      <c r="BG73" s="382">
        <v>1</v>
      </c>
      <c r="BH73" s="193">
        <v>0</v>
      </c>
      <c r="BI73" s="193">
        <v>0</v>
      </c>
      <c r="BJ73" s="193">
        <v>0</v>
      </c>
      <c r="BK73" s="193">
        <v>0</v>
      </c>
      <c r="BL73" s="382">
        <v>1</v>
      </c>
      <c r="BM73" s="193">
        <v>0</v>
      </c>
      <c r="BN73" s="193">
        <v>0</v>
      </c>
      <c r="BO73" s="193">
        <v>1</v>
      </c>
      <c r="BP73" s="193">
        <v>1.2</v>
      </c>
      <c r="BQ73" s="382">
        <v>1</v>
      </c>
      <c r="BR73" s="193">
        <v>0</v>
      </c>
      <c r="BS73" s="193">
        <v>0</v>
      </c>
      <c r="BT73" s="193">
        <v>0</v>
      </c>
      <c r="BU73" s="193">
        <v>1.2</v>
      </c>
      <c r="BV73" s="382">
        <v>1</v>
      </c>
      <c r="BW73" s="193">
        <v>0</v>
      </c>
      <c r="BX73" s="193">
        <v>0</v>
      </c>
      <c r="BY73" s="193">
        <v>1</v>
      </c>
      <c r="BZ73" s="193">
        <v>1.2</v>
      </c>
      <c r="CA73" s="382">
        <v>1</v>
      </c>
      <c r="CB73" s="193">
        <v>0</v>
      </c>
      <c r="CC73" s="193">
        <v>0</v>
      </c>
      <c r="CD73" s="193">
        <v>1</v>
      </c>
      <c r="CE73" s="193">
        <v>1.2</v>
      </c>
      <c r="CF73" s="382">
        <v>1</v>
      </c>
      <c r="CG73" s="193">
        <v>0</v>
      </c>
      <c r="CH73" s="193">
        <v>0</v>
      </c>
      <c r="CI73" s="193">
        <v>0</v>
      </c>
      <c r="CJ73" s="193">
        <v>1.2</v>
      </c>
      <c r="CK73" s="382">
        <v>1</v>
      </c>
      <c r="CL73" s="193">
        <v>0</v>
      </c>
      <c r="CM73" s="193">
        <v>0</v>
      </c>
      <c r="CN73" s="193">
        <v>1</v>
      </c>
      <c r="CO73" s="193">
        <v>1.2</v>
      </c>
      <c r="CP73" s="382">
        <v>1</v>
      </c>
      <c r="CQ73" s="193">
        <v>0</v>
      </c>
      <c r="CR73" s="193">
        <v>0.8</v>
      </c>
      <c r="CS73" s="193">
        <v>1</v>
      </c>
      <c r="CT73" s="193">
        <v>1.2</v>
      </c>
      <c r="CU73" s="382">
        <v>1</v>
      </c>
      <c r="CV73" s="193">
        <v>0</v>
      </c>
      <c r="CW73" s="193">
        <v>0</v>
      </c>
      <c r="CX73" s="193">
        <v>0</v>
      </c>
      <c r="CY73" s="193">
        <v>1.2</v>
      </c>
      <c r="CZ73" s="382">
        <v>1</v>
      </c>
      <c r="DA73" s="193">
        <v>0</v>
      </c>
      <c r="DB73" s="193">
        <v>0.8</v>
      </c>
      <c r="DC73" s="193">
        <v>1</v>
      </c>
      <c r="DD73" s="193">
        <v>1.2</v>
      </c>
      <c r="DE73" s="382">
        <v>1</v>
      </c>
      <c r="DF73" s="193">
        <v>0</v>
      </c>
      <c r="DG73" s="193">
        <v>0.8</v>
      </c>
      <c r="DH73" s="193">
        <v>1</v>
      </c>
      <c r="DI73" s="193">
        <v>1.2</v>
      </c>
      <c r="DJ73" s="382">
        <v>1</v>
      </c>
      <c r="DK73" s="193">
        <v>0</v>
      </c>
      <c r="DL73" s="193">
        <v>0</v>
      </c>
      <c r="DM73" s="193">
        <v>0</v>
      </c>
      <c r="DN73" s="193">
        <v>1.2</v>
      </c>
      <c r="DO73" s="382">
        <v>1</v>
      </c>
      <c r="DP73" s="193">
        <v>0</v>
      </c>
      <c r="DQ73" s="193">
        <v>0.8</v>
      </c>
      <c r="DR73" s="193">
        <v>1</v>
      </c>
      <c r="DS73" s="193">
        <v>1.2</v>
      </c>
      <c r="DT73" s="382">
        <v>1</v>
      </c>
      <c r="DU73" s="193">
        <v>0</v>
      </c>
      <c r="DV73" s="193">
        <v>0.8</v>
      </c>
      <c r="DW73" s="193">
        <v>1</v>
      </c>
      <c r="DX73" s="193">
        <v>1.2</v>
      </c>
      <c r="DY73" s="382">
        <v>1</v>
      </c>
      <c r="DZ73" s="193">
        <v>0</v>
      </c>
      <c r="EA73" s="193">
        <v>0</v>
      </c>
      <c r="EB73" s="193">
        <v>0</v>
      </c>
      <c r="EC73" s="193">
        <v>1.2</v>
      </c>
      <c r="ED73" s="382">
        <v>1</v>
      </c>
      <c r="EE73" s="193">
        <v>0</v>
      </c>
      <c r="EF73" s="193">
        <v>0.8</v>
      </c>
      <c r="EG73" s="193">
        <v>1</v>
      </c>
      <c r="EH73" s="193">
        <v>1.2</v>
      </c>
      <c r="EI73" s="382">
        <v>1</v>
      </c>
      <c r="EJ73" s="193">
        <v>0</v>
      </c>
      <c r="EK73" s="193">
        <v>0.8</v>
      </c>
      <c r="EL73" s="193">
        <v>1</v>
      </c>
      <c r="EM73" s="193">
        <v>1.2</v>
      </c>
      <c r="EN73" s="382">
        <v>1</v>
      </c>
      <c r="EO73" s="193">
        <v>0</v>
      </c>
      <c r="EP73" s="193">
        <v>0</v>
      </c>
      <c r="EQ73" s="193">
        <v>0</v>
      </c>
      <c r="ER73" s="193">
        <v>1.2</v>
      </c>
      <c r="ES73" s="382">
        <v>1</v>
      </c>
      <c r="ET73" s="193">
        <v>0</v>
      </c>
      <c r="EU73" s="193">
        <v>0.8</v>
      </c>
      <c r="EV73" s="193">
        <v>1</v>
      </c>
      <c r="EW73" s="193">
        <v>1.2</v>
      </c>
      <c r="EX73" s="382">
        <v>1</v>
      </c>
      <c r="EY73" s="193">
        <v>0</v>
      </c>
      <c r="EZ73" s="193">
        <v>0.8</v>
      </c>
      <c r="FA73" s="193">
        <v>1</v>
      </c>
      <c r="FB73" s="193">
        <v>1.2</v>
      </c>
      <c r="FC73" s="382">
        <v>1</v>
      </c>
      <c r="FD73" s="193">
        <v>0</v>
      </c>
      <c r="FE73" s="193">
        <v>0</v>
      </c>
      <c r="FF73" s="193">
        <v>0</v>
      </c>
      <c r="FG73" s="193">
        <v>1.2</v>
      </c>
      <c r="FH73" s="382">
        <v>1</v>
      </c>
      <c r="FI73" s="193">
        <v>0</v>
      </c>
      <c r="FJ73" s="193">
        <v>0.8</v>
      </c>
      <c r="FK73" s="193">
        <v>1</v>
      </c>
      <c r="FL73" s="193">
        <v>1.2</v>
      </c>
      <c r="FM73" s="382">
        <v>1</v>
      </c>
      <c r="FN73" s="193">
        <v>0</v>
      </c>
      <c r="FO73" s="193">
        <v>0.8</v>
      </c>
      <c r="FP73" s="193">
        <v>1</v>
      </c>
      <c r="FQ73" s="193">
        <v>1.2</v>
      </c>
      <c r="FR73" s="382">
        <v>1</v>
      </c>
      <c r="FS73" s="193">
        <v>0</v>
      </c>
      <c r="FT73" s="193">
        <v>0</v>
      </c>
      <c r="FU73" s="193">
        <v>0</v>
      </c>
      <c r="FV73" s="193">
        <v>1.2</v>
      </c>
      <c r="FW73" s="382">
        <v>1</v>
      </c>
      <c r="FX73" s="193">
        <v>0</v>
      </c>
      <c r="FY73" s="193">
        <v>0.8</v>
      </c>
      <c r="FZ73" s="193">
        <v>1</v>
      </c>
      <c r="GA73" s="193">
        <v>1.2</v>
      </c>
      <c r="GB73" s="382">
        <v>1</v>
      </c>
      <c r="GC73" s="193">
        <v>0</v>
      </c>
      <c r="GD73" s="193">
        <v>0.8</v>
      </c>
      <c r="GE73" s="193">
        <v>1</v>
      </c>
      <c r="GF73" s="193">
        <v>1.2</v>
      </c>
      <c r="GG73" s="382">
        <v>1</v>
      </c>
      <c r="GH73" s="193">
        <v>0</v>
      </c>
      <c r="GI73" s="193">
        <v>0</v>
      </c>
      <c r="GJ73" s="193">
        <v>0</v>
      </c>
      <c r="GK73" s="193">
        <v>1.2</v>
      </c>
      <c r="GL73" s="382">
        <v>1</v>
      </c>
      <c r="GM73" s="193">
        <v>0</v>
      </c>
      <c r="GN73" s="193">
        <v>0.8</v>
      </c>
      <c r="GO73" s="193">
        <v>1</v>
      </c>
      <c r="GP73" s="187">
        <v>1.2</v>
      </c>
      <c r="GQ73" s="382">
        <v>1</v>
      </c>
    </row>
    <row r="74" spans="1:199">
      <c r="A74" s="195"/>
      <c r="B74" s="188"/>
      <c r="C74" s="188"/>
      <c r="D74" s="188" t="s">
        <v>967</v>
      </c>
      <c r="E74" s="190">
        <v>0</v>
      </c>
      <c r="F74" s="193">
        <v>0</v>
      </c>
      <c r="G74" s="203">
        <v>0</v>
      </c>
      <c r="H74" s="201">
        <v>0</v>
      </c>
      <c r="I74" s="383">
        <v>1</v>
      </c>
      <c r="J74" s="383">
        <v>0</v>
      </c>
      <c r="K74" s="201">
        <v>0</v>
      </c>
      <c r="L74" s="201">
        <v>0</v>
      </c>
      <c r="M74" s="201">
        <v>0</v>
      </c>
      <c r="N74" s="383">
        <v>1</v>
      </c>
      <c r="O74" s="383">
        <v>0</v>
      </c>
      <c r="P74" s="201">
        <v>0</v>
      </c>
      <c r="Q74" s="201">
        <v>0</v>
      </c>
      <c r="R74" s="202">
        <v>0</v>
      </c>
      <c r="S74" s="382">
        <v>1</v>
      </c>
      <c r="T74" s="190">
        <v>0</v>
      </c>
      <c r="U74" s="193">
        <v>0</v>
      </c>
      <c r="V74" s="203">
        <v>0</v>
      </c>
      <c r="W74" s="201">
        <v>0</v>
      </c>
      <c r="X74" s="382">
        <v>1</v>
      </c>
      <c r="Y74" s="200">
        <v>0</v>
      </c>
      <c r="Z74" s="201">
        <v>0</v>
      </c>
      <c r="AA74" s="201">
        <v>0</v>
      </c>
      <c r="AB74" s="201">
        <v>0</v>
      </c>
      <c r="AC74" s="382">
        <v>1</v>
      </c>
      <c r="AD74" s="200">
        <v>0</v>
      </c>
      <c r="AE74" s="201">
        <v>0</v>
      </c>
      <c r="AF74" s="201">
        <v>0</v>
      </c>
      <c r="AG74" s="383">
        <v>0</v>
      </c>
      <c r="AH74" s="383">
        <v>1</v>
      </c>
      <c r="AI74" s="383">
        <v>0</v>
      </c>
      <c r="AJ74" s="383">
        <v>0</v>
      </c>
      <c r="AK74" s="201">
        <v>0</v>
      </c>
      <c r="AL74" s="201">
        <v>0</v>
      </c>
      <c r="AM74" s="383">
        <v>1</v>
      </c>
      <c r="AN74" s="383">
        <v>0</v>
      </c>
      <c r="AO74" s="201">
        <v>0</v>
      </c>
      <c r="AP74" s="201">
        <v>0</v>
      </c>
      <c r="AQ74" s="201">
        <v>0</v>
      </c>
      <c r="AR74" s="382">
        <v>1</v>
      </c>
      <c r="AS74" s="200">
        <v>0</v>
      </c>
      <c r="AT74" s="201">
        <v>0</v>
      </c>
      <c r="AU74" s="201">
        <v>0</v>
      </c>
      <c r="AV74" s="193">
        <v>0</v>
      </c>
      <c r="AW74" s="382">
        <v>1</v>
      </c>
      <c r="AX74" s="193">
        <v>0</v>
      </c>
      <c r="AY74" s="193">
        <v>0</v>
      </c>
      <c r="AZ74" s="193">
        <v>0</v>
      </c>
      <c r="BA74" s="193">
        <v>0</v>
      </c>
      <c r="BB74" s="382">
        <v>1</v>
      </c>
      <c r="BC74" s="193">
        <v>0</v>
      </c>
      <c r="BD74" s="193">
        <v>0</v>
      </c>
      <c r="BE74" s="193">
        <v>0</v>
      </c>
      <c r="BF74" s="193">
        <v>0</v>
      </c>
      <c r="BG74" s="382">
        <v>1</v>
      </c>
      <c r="BH74" s="193">
        <v>0</v>
      </c>
      <c r="BI74" s="193">
        <v>0</v>
      </c>
      <c r="BJ74" s="193">
        <v>0</v>
      </c>
      <c r="BK74" s="193">
        <v>0</v>
      </c>
      <c r="BL74" s="382">
        <v>1</v>
      </c>
      <c r="BM74" s="193">
        <v>0</v>
      </c>
      <c r="BN74" s="193">
        <v>0</v>
      </c>
      <c r="BO74" s="193">
        <v>1</v>
      </c>
      <c r="BP74" s="193">
        <v>1.2</v>
      </c>
      <c r="BQ74" s="382">
        <v>1</v>
      </c>
      <c r="BR74" s="193">
        <v>0</v>
      </c>
      <c r="BS74" s="193">
        <v>0</v>
      </c>
      <c r="BT74" s="193">
        <v>0</v>
      </c>
      <c r="BU74" s="193">
        <v>1.2</v>
      </c>
      <c r="BV74" s="382">
        <v>1</v>
      </c>
      <c r="BW74" s="193">
        <v>0</v>
      </c>
      <c r="BX74" s="193">
        <v>0</v>
      </c>
      <c r="BY74" s="193">
        <v>1</v>
      </c>
      <c r="BZ74" s="193">
        <v>1.2</v>
      </c>
      <c r="CA74" s="382">
        <v>1</v>
      </c>
      <c r="CB74" s="193">
        <v>0</v>
      </c>
      <c r="CC74" s="193">
        <v>0</v>
      </c>
      <c r="CD74" s="193">
        <v>1</v>
      </c>
      <c r="CE74" s="193">
        <v>1.2</v>
      </c>
      <c r="CF74" s="382">
        <v>1</v>
      </c>
      <c r="CG74" s="193">
        <v>0</v>
      </c>
      <c r="CH74" s="193">
        <v>0</v>
      </c>
      <c r="CI74" s="193">
        <v>0</v>
      </c>
      <c r="CJ74" s="193">
        <v>1.2</v>
      </c>
      <c r="CK74" s="382">
        <v>1</v>
      </c>
      <c r="CL74" s="193">
        <v>0</v>
      </c>
      <c r="CM74" s="193">
        <v>0</v>
      </c>
      <c r="CN74" s="193">
        <v>1</v>
      </c>
      <c r="CO74" s="193">
        <v>1.2</v>
      </c>
      <c r="CP74" s="382">
        <v>1</v>
      </c>
      <c r="CQ74" s="193">
        <v>0</v>
      </c>
      <c r="CR74" s="193">
        <v>0.8</v>
      </c>
      <c r="CS74" s="193">
        <v>1</v>
      </c>
      <c r="CT74" s="193">
        <v>1.2</v>
      </c>
      <c r="CU74" s="382">
        <v>1</v>
      </c>
      <c r="CV74" s="193">
        <v>0</v>
      </c>
      <c r="CW74" s="193">
        <v>0</v>
      </c>
      <c r="CX74" s="193">
        <v>0</v>
      </c>
      <c r="CY74" s="193">
        <v>1.2</v>
      </c>
      <c r="CZ74" s="382">
        <v>1</v>
      </c>
      <c r="DA74" s="193">
        <v>0</v>
      </c>
      <c r="DB74" s="193">
        <v>0.8</v>
      </c>
      <c r="DC74" s="193">
        <v>1</v>
      </c>
      <c r="DD74" s="193">
        <v>1.2</v>
      </c>
      <c r="DE74" s="382">
        <v>1</v>
      </c>
      <c r="DF74" s="193">
        <v>0</v>
      </c>
      <c r="DG74" s="193">
        <v>0.8</v>
      </c>
      <c r="DH74" s="193">
        <v>1</v>
      </c>
      <c r="DI74" s="193">
        <v>1.2</v>
      </c>
      <c r="DJ74" s="382">
        <v>1</v>
      </c>
      <c r="DK74" s="193">
        <v>0</v>
      </c>
      <c r="DL74" s="193">
        <v>0</v>
      </c>
      <c r="DM74" s="193">
        <v>0</v>
      </c>
      <c r="DN74" s="193">
        <v>1.2</v>
      </c>
      <c r="DO74" s="382">
        <v>1</v>
      </c>
      <c r="DP74" s="193">
        <v>0</v>
      </c>
      <c r="DQ74" s="193">
        <v>0.8</v>
      </c>
      <c r="DR74" s="193">
        <v>1</v>
      </c>
      <c r="DS74" s="193">
        <v>1.2</v>
      </c>
      <c r="DT74" s="382">
        <v>1</v>
      </c>
      <c r="DU74" s="193">
        <v>0</v>
      </c>
      <c r="DV74" s="193">
        <v>0.8</v>
      </c>
      <c r="DW74" s="193">
        <v>1</v>
      </c>
      <c r="DX74" s="193">
        <v>1.2</v>
      </c>
      <c r="DY74" s="382">
        <v>1</v>
      </c>
      <c r="DZ74" s="193">
        <v>0</v>
      </c>
      <c r="EA74" s="193">
        <v>0</v>
      </c>
      <c r="EB74" s="193">
        <v>0</v>
      </c>
      <c r="EC74" s="193">
        <v>1.2</v>
      </c>
      <c r="ED74" s="382">
        <v>1</v>
      </c>
      <c r="EE74" s="193">
        <v>0</v>
      </c>
      <c r="EF74" s="193">
        <v>0.8</v>
      </c>
      <c r="EG74" s="193">
        <v>1</v>
      </c>
      <c r="EH74" s="193">
        <v>1.2</v>
      </c>
      <c r="EI74" s="382">
        <v>1</v>
      </c>
      <c r="EJ74" s="193">
        <v>0</v>
      </c>
      <c r="EK74" s="193">
        <v>0.8</v>
      </c>
      <c r="EL74" s="193">
        <v>1</v>
      </c>
      <c r="EM74" s="193">
        <v>1.2</v>
      </c>
      <c r="EN74" s="382">
        <v>1</v>
      </c>
      <c r="EO74" s="193">
        <v>0</v>
      </c>
      <c r="EP74" s="193">
        <v>0</v>
      </c>
      <c r="EQ74" s="193">
        <v>0</v>
      </c>
      <c r="ER74" s="193">
        <v>1.2</v>
      </c>
      <c r="ES74" s="382">
        <v>1</v>
      </c>
      <c r="ET74" s="193">
        <v>0</v>
      </c>
      <c r="EU74" s="193">
        <v>0.8</v>
      </c>
      <c r="EV74" s="193">
        <v>1</v>
      </c>
      <c r="EW74" s="193">
        <v>1.2</v>
      </c>
      <c r="EX74" s="382">
        <v>1</v>
      </c>
      <c r="EY74" s="193">
        <v>0</v>
      </c>
      <c r="EZ74" s="193">
        <v>0.8</v>
      </c>
      <c r="FA74" s="193">
        <v>1</v>
      </c>
      <c r="FB74" s="193">
        <v>1.2</v>
      </c>
      <c r="FC74" s="382">
        <v>1</v>
      </c>
      <c r="FD74" s="193">
        <v>0</v>
      </c>
      <c r="FE74" s="193">
        <v>0</v>
      </c>
      <c r="FF74" s="193">
        <v>0</v>
      </c>
      <c r="FG74" s="193">
        <v>1.2</v>
      </c>
      <c r="FH74" s="382">
        <v>1</v>
      </c>
      <c r="FI74" s="193">
        <v>0</v>
      </c>
      <c r="FJ74" s="193">
        <v>0.8</v>
      </c>
      <c r="FK74" s="193">
        <v>1</v>
      </c>
      <c r="FL74" s="193">
        <v>1.2</v>
      </c>
      <c r="FM74" s="382">
        <v>1</v>
      </c>
      <c r="FN74" s="193">
        <v>0</v>
      </c>
      <c r="FO74" s="193">
        <v>0.8</v>
      </c>
      <c r="FP74" s="193">
        <v>1</v>
      </c>
      <c r="FQ74" s="193">
        <v>1.2</v>
      </c>
      <c r="FR74" s="382">
        <v>1</v>
      </c>
      <c r="FS74" s="193">
        <v>0</v>
      </c>
      <c r="FT74" s="193">
        <v>0</v>
      </c>
      <c r="FU74" s="193">
        <v>0</v>
      </c>
      <c r="FV74" s="193">
        <v>1.2</v>
      </c>
      <c r="FW74" s="382">
        <v>1</v>
      </c>
      <c r="FX74" s="193">
        <v>0</v>
      </c>
      <c r="FY74" s="193">
        <v>0.8</v>
      </c>
      <c r="FZ74" s="193">
        <v>1</v>
      </c>
      <c r="GA74" s="193">
        <v>1.2</v>
      </c>
      <c r="GB74" s="382">
        <v>1</v>
      </c>
      <c r="GC74" s="193">
        <v>0</v>
      </c>
      <c r="GD74" s="193">
        <v>0.8</v>
      </c>
      <c r="GE74" s="193">
        <v>1</v>
      </c>
      <c r="GF74" s="193">
        <v>1.2</v>
      </c>
      <c r="GG74" s="382">
        <v>1</v>
      </c>
      <c r="GH74" s="193">
        <v>0</v>
      </c>
      <c r="GI74" s="193">
        <v>0</v>
      </c>
      <c r="GJ74" s="193">
        <v>0</v>
      </c>
      <c r="GK74" s="193">
        <v>1.2</v>
      </c>
      <c r="GL74" s="382">
        <v>1</v>
      </c>
      <c r="GM74" s="193">
        <v>0</v>
      </c>
      <c r="GN74" s="193">
        <v>0.8</v>
      </c>
      <c r="GO74" s="193">
        <v>1</v>
      </c>
      <c r="GP74" s="187">
        <v>1.2</v>
      </c>
      <c r="GQ74" s="382">
        <v>1</v>
      </c>
    </row>
    <row r="75" spans="1:199">
      <c r="A75" s="195"/>
      <c r="B75" s="200"/>
      <c r="C75" s="200"/>
      <c r="D75" s="382" t="s">
        <v>359</v>
      </c>
      <c r="E75" s="386">
        <v>0</v>
      </c>
      <c r="F75" s="201">
        <v>0.8</v>
      </c>
      <c r="G75" s="203">
        <v>1</v>
      </c>
      <c r="H75" s="201">
        <v>1.2</v>
      </c>
      <c r="I75" s="383">
        <v>1</v>
      </c>
      <c r="J75" s="383">
        <v>0</v>
      </c>
      <c r="K75" s="201">
        <v>0</v>
      </c>
      <c r="L75" s="201">
        <v>0</v>
      </c>
      <c r="M75" s="201">
        <v>1.2</v>
      </c>
      <c r="N75" s="383">
        <v>1</v>
      </c>
      <c r="O75" s="383">
        <v>0</v>
      </c>
      <c r="P75" s="201">
        <v>0.8</v>
      </c>
      <c r="Q75" s="201">
        <v>1</v>
      </c>
      <c r="R75" s="202">
        <v>1.2</v>
      </c>
      <c r="S75" s="382">
        <v>1</v>
      </c>
      <c r="T75" s="386">
        <v>0</v>
      </c>
      <c r="U75" s="201">
        <v>0.8</v>
      </c>
      <c r="V75" s="203">
        <v>1</v>
      </c>
      <c r="W75" s="201">
        <v>1.2</v>
      </c>
      <c r="X75" s="382">
        <v>1</v>
      </c>
      <c r="Y75" s="200">
        <v>0</v>
      </c>
      <c r="Z75" s="201">
        <v>0</v>
      </c>
      <c r="AA75" s="201">
        <v>0</v>
      </c>
      <c r="AB75" s="201">
        <v>1.2</v>
      </c>
      <c r="AC75" s="382">
        <v>1</v>
      </c>
      <c r="AD75" s="200">
        <v>0</v>
      </c>
      <c r="AE75" s="201">
        <v>0.8</v>
      </c>
      <c r="AF75" s="201">
        <v>1</v>
      </c>
      <c r="AG75" s="383">
        <v>1.2</v>
      </c>
      <c r="AH75" s="383">
        <v>1</v>
      </c>
      <c r="AI75" s="383">
        <v>0</v>
      </c>
      <c r="AJ75" s="383">
        <v>0.8</v>
      </c>
      <c r="AK75" s="201">
        <v>1</v>
      </c>
      <c r="AL75" s="201">
        <v>1.2</v>
      </c>
      <c r="AM75" s="383">
        <v>1</v>
      </c>
      <c r="AN75" s="383">
        <v>0</v>
      </c>
      <c r="AO75" s="201">
        <v>0</v>
      </c>
      <c r="AP75" s="201">
        <v>0</v>
      </c>
      <c r="AQ75" s="201">
        <v>1.2</v>
      </c>
      <c r="AR75" s="382">
        <v>1</v>
      </c>
      <c r="AS75" s="200">
        <v>0</v>
      </c>
      <c r="AT75" s="201">
        <v>0.8</v>
      </c>
      <c r="AU75" s="201">
        <v>1</v>
      </c>
      <c r="AV75" s="201">
        <v>1.2</v>
      </c>
      <c r="AW75" s="382">
        <v>1</v>
      </c>
      <c r="AX75" s="201">
        <v>0</v>
      </c>
      <c r="AY75" s="201">
        <v>0.8</v>
      </c>
      <c r="AZ75" s="201">
        <v>1</v>
      </c>
      <c r="BA75" s="201">
        <v>1.2</v>
      </c>
      <c r="BB75" s="382">
        <v>1</v>
      </c>
      <c r="BC75" s="201">
        <v>0</v>
      </c>
      <c r="BD75" s="201">
        <v>0</v>
      </c>
      <c r="BE75" s="201">
        <v>0</v>
      </c>
      <c r="BF75" s="201">
        <v>1.2</v>
      </c>
      <c r="BG75" s="382">
        <v>1</v>
      </c>
      <c r="BH75" s="201">
        <v>0</v>
      </c>
      <c r="BI75" s="201">
        <v>0.8</v>
      </c>
      <c r="BJ75" s="201">
        <v>1</v>
      </c>
      <c r="BK75" s="201">
        <v>1.2</v>
      </c>
      <c r="BL75" s="382">
        <v>1</v>
      </c>
      <c r="BM75" s="201">
        <v>0</v>
      </c>
      <c r="BN75" s="201">
        <v>0.8</v>
      </c>
      <c r="BO75" s="201">
        <v>1</v>
      </c>
      <c r="BP75" s="201">
        <v>1.2</v>
      </c>
      <c r="BQ75" s="382">
        <v>1</v>
      </c>
      <c r="BR75" s="201">
        <v>0</v>
      </c>
      <c r="BS75" s="201">
        <v>0</v>
      </c>
      <c r="BT75" s="201">
        <v>0</v>
      </c>
      <c r="BU75" s="201">
        <v>1.2</v>
      </c>
      <c r="BV75" s="382">
        <v>1</v>
      </c>
      <c r="BW75" s="201">
        <v>0</v>
      </c>
      <c r="BX75" s="201">
        <v>0.8</v>
      </c>
      <c r="BY75" s="201">
        <v>1</v>
      </c>
      <c r="BZ75" s="201">
        <v>1.2</v>
      </c>
      <c r="CA75" s="382">
        <v>1</v>
      </c>
      <c r="CB75" s="201">
        <v>0</v>
      </c>
      <c r="CC75" s="201">
        <v>0.8</v>
      </c>
      <c r="CD75" s="201">
        <v>1</v>
      </c>
      <c r="CE75" s="201">
        <v>1.2</v>
      </c>
      <c r="CF75" s="382">
        <v>1</v>
      </c>
      <c r="CG75" s="201">
        <v>0</v>
      </c>
      <c r="CH75" s="201">
        <v>0</v>
      </c>
      <c r="CI75" s="201">
        <v>0</v>
      </c>
      <c r="CJ75" s="201">
        <v>1.2</v>
      </c>
      <c r="CK75" s="382">
        <v>1</v>
      </c>
      <c r="CL75" s="201">
        <v>0</v>
      </c>
      <c r="CM75" s="201">
        <v>0.8</v>
      </c>
      <c r="CN75" s="201">
        <v>1</v>
      </c>
      <c r="CO75" s="201">
        <v>1.2</v>
      </c>
      <c r="CP75" s="382">
        <v>1</v>
      </c>
      <c r="CQ75" s="201">
        <v>0</v>
      </c>
      <c r="CR75" s="201">
        <v>0.8</v>
      </c>
      <c r="CS75" s="201">
        <v>1</v>
      </c>
      <c r="CT75" s="201">
        <v>1.2</v>
      </c>
      <c r="CU75" s="382">
        <v>1</v>
      </c>
      <c r="CV75" s="201">
        <v>0</v>
      </c>
      <c r="CW75" s="201">
        <v>0</v>
      </c>
      <c r="CX75" s="201">
        <v>0</v>
      </c>
      <c r="CY75" s="201">
        <v>1.2</v>
      </c>
      <c r="CZ75" s="382">
        <v>1</v>
      </c>
      <c r="DA75" s="201">
        <v>0</v>
      </c>
      <c r="DB75" s="201">
        <v>0.8</v>
      </c>
      <c r="DC75" s="201">
        <v>1</v>
      </c>
      <c r="DD75" s="201">
        <v>1.2</v>
      </c>
      <c r="DE75" s="382">
        <v>1</v>
      </c>
      <c r="DF75" s="201">
        <v>0</v>
      </c>
      <c r="DG75" s="201">
        <v>0.8</v>
      </c>
      <c r="DH75" s="201">
        <v>1</v>
      </c>
      <c r="DI75" s="201">
        <v>1.2</v>
      </c>
      <c r="DJ75" s="382">
        <v>1</v>
      </c>
      <c r="DK75" s="201">
        <v>0</v>
      </c>
      <c r="DL75" s="201">
        <v>0</v>
      </c>
      <c r="DM75" s="201">
        <v>0</v>
      </c>
      <c r="DN75" s="201">
        <v>1.2</v>
      </c>
      <c r="DO75" s="382">
        <v>1</v>
      </c>
      <c r="DP75" s="201">
        <v>0</v>
      </c>
      <c r="DQ75" s="201">
        <v>0.8</v>
      </c>
      <c r="DR75" s="201">
        <v>1</v>
      </c>
      <c r="DS75" s="201">
        <v>1.2</v>
      </c>
      <c r="DT75" s="382">
        <v>1</v>
      </c>
      <c r="DU75" s="201">
        <v>0</v>
      </c>
      <c r="DV75" s="201">
        <v>0.8</v>
      </c>
      <c r="DW75" s="201">
        <v>1</v>
      </c>
      <c r="DX75" s="201">
        <v>1.2</v>
      </c>
      <c r="DY75" s="382">
        <v>1</v>
      </c>
      <c r="DZ75" s="201">
        <v>0</v>
      </c>
      <c r="EA75" s="201">
        <v>0</v>
      </c>
      <c r="EB75" s="201">
        <v>0</v>
      </c>
      <c r="EC75" s="201">
        <v>1.2</v>
      </c>
      <c r="ED75" s="382">
        <v>1</v>
      </c>
      <c r="EE75" s="201">
        <v>0</v>
      </c>
      <c r="EF75" s="201">
        <v>0.8</v>
      </c>
      <c r="EG75" s="201">
        <v>1</v>
      </c>
      <c r="EH75" s="201">
        <v>1.2</v>
      </c>
      <c r="EI75" s="382">
        <v>1</v>
      </c>
      <c r="EJ75" s="201">
        <v>0</v>
      </c>
      <c r="EK75" s="201">
        <v>0.8</v>
      </c>
      <c r="EL75" s="201">
        <v>1</v>
      </c>
      <c r="EM75" s="201">
        <v>1.2</v>
      </c>
      <c r="EN75" s="382">
        <v>1</v>
      </c>
      <c r="EO75" s="201">
        <v>0</v>
      </c>
      <c r="EP75" s="201">
        <v>0</v>
      </c>
      <c r="EQ75" s="201">
        <v>0</v>
      </c>
      <c r="ER75" s="201">
        <v>1.2</v>
      </c>
      <c r="ES75" s="382">
        <v>1</v>
      </c>
      <c r="ET75" s="201">
        <v>0</v>
      </c>
      <c r="EU75" s="201">
        <v>0.8</v>
      </c>
      <c r="EV75" s="201">
        <v>1</v>
      </c>
      <c r="EW75" s="201">
        <v>1.2</v>
      </c>
      <c r="EX75" s="382">
        <v>1</v>
      </c>
      <c r="EY75" s="201">
        <v>0</v>
      </c>
      <c r="EZ75" s="201">
        <v>0.8</v>
      </c>
      <c r="FA75" s="201">
        <v>1</v>
      </c>
      <c r="FB75" s="201">
        <v>1.2</v>
      </c>
      <c r="FC75" s="382">
        <v>1</v>
      </c>
      <c r="FD75" s="201">
        <v>0</v>
      </c>
      <c r="FE75" s="201">
        <v>0</v>
      </c>
      <c r="FF75" s="201">
        <v>0</v>
      </c>
      <c r="FG75" s="201">
        <v>1.2</v>
      </c>
      <c r="FH75" s="382">
        <v>1</v>
      </c>
      <c r="FI75" s="201">
        <v>0</v>
      </c>
      <c r="FJ75" s="201">
        <v>0.8</v>
      </c>
      <c r="FK75" s="201">
        <v>1</v>
      </c>
      <c r="FL75" s="201">
        <v>1.2</v>
      </c>
      <c r="FM75" s="382">
        <v>1</v>
      </c>
      <c r="FN75" s="201">
        <v>0</v>
      </c>
      <c r="FO75" s="201">
        <v>0.8</v>
      </c>
      <c r="FP75" s="201">
        <v>1</v>
      </c>
      <c r="FQ75" s="201">
        <v>1.2</v>
      </c>
      <c r="FR75" s="382">
        <v>1</v>
      </c>
      <c r="FS75" s="201">
        <v>0</v>
      </c>
      <c r="FT75" s="201">
        <v>0</v>
      </c>
      <c r="FU75" s="201">
        <v>0</v>
      </c>
      <c r="FV75" s="201">
        <v>1.2</v>
      </c>
      <c r="FW75" s="382">
        <v>1</v>
      </c>
      <c r="FX75" s="201">
        <v>0</v>
      </c>
      <c r="FY75" s="201">
        <v>0.8</v>
      </c>
      <c r="FZ75" s="201">
        <v>1</v>
      </c>
      <c r="GA75" s="201">
        <v>1.2</v>
      </c>
      <c r="GB75" s="382">
        <v>1</v>
      </c>
      <c r="GC75" s="201">
        <v>0</v>
      </c>
      <c r="GD75" s="201">
        <v>0.8</v>
      </c>
      <c r="GE75" s="201">
        <v>1</v>
      </c>
      <c r="GF75" s="201">
        <v>1.2</v>
      </c>
      <c r="GG75" s="382">
        <v>1</v>
      </c>
      <c r="GH75" s="201">
        <v>0</v>
      </c>
      <c r="GI75" s="201">
        <v>0</v>
      </c>
      <c r="GJ75" s="201">
        <v>0</v>
      </c>
      <c r="GK75" s="201">
        <v>1.2</v>
      </c>
      <c r="GL75" s="382">
        <v>1</v>
      </c>
      <c r="GM75" s="201">
        <v>0</v>
      </c>
      <c r="GN75" s="201">
        <v>0.8</v>
      </c>
      <c r="GO75" s="201">
        <v>1</v>
      </c>
      <c r="GP75" s="202">
        <v>1.2</v>
      </c>
      <c r="GQ75" s="382">
        <v>1</v>
      </c>
    </row>
    <row r="76" spans="1:199">
      <c r="A76" s="195"/>
    </row>
    <row r="77" spans="1:199">
      <c r="A77" s="195" t="s">
        <v>1003</v>
      </c>
      <c r="B77" s="195" t="s">
        <v>32</v>
      </c>
      <c r="C77" s="207"/>
      <c r="D77" s="195"/>
      <c r="DZ77" s="195"/>
    </row>
    <row r="78" spans="1:199">
      <c r="A78" s="195"/>
      <c r="B78" s="196"/>
      <c r="C78" s="196" t="s">
        <v>987</v>
      </c>
      <c r="D78" s="196" t="s">
        <v>206</v>
      </c>
      <c r="E78" s="199">
        <v>0</v>
      </c>
      <c r="F78" s="197">
        <v>0.8</v>
      </c>
      <c r="G78" s="206">
        <v>1</v>
      </c>
      <c r="H78" s="204">
        <v>3</v>
      </c>
      <c r="I78" s="204">
        <v>1</v>
      </c>
      <c r="J78" s="204">
        <v>0</v>
      </c>
      <c r="K78" s="204">
        <v>0</v>
      </c>
      <c r="L78" s="204">
        <v>0</v>
      </c>
      <c r="M78" s="204">
        <v>0</v>
      </c>
      <c r="N78" s="204">
        <v>1</v>
      </c>
      <c r="O78" s="204">
        <v>0</v>
      </c>
      <c r="P78" s="204">
        <v>0.8</v>
      </c>
      <c r="Q78" s="204">
        <v>1</v>
      </c>
      <c r="R78" s="205">
        <v>3</v>
      </c>
      <c r="S78" s="186">
        <v>1</v>
      </c>
      <c r="T78" s="199">
        <v>0</v>
      </c>
      <c r="U78" s="197">
        <v>0.8</v>
      </c>
      <c r="V78" s="206">
        <v>1</v>
      </c>
      <c r="W78" s="204">
        <v>3</v>
      </c>
      <c r="X78" s="186">
        <v>1</v>
      </c>
      <c r="Y78" s="186">
        <v>0</v>
      </c>
      <c r="Z78" s="204">
        <v>0</v>
      </c>
      <c r="AA78" s="204">
        <v>0</v>
      </c>
      <c r="AB78" s="204">
        <v>3</v>
      </c>
      <c r="AC78" s="186">
        <v>1</v>
      </c>
      <c r="AD78" s="186">
        <v>0</v>
      </c>
      <c r="AE78" s="204">
        <v>0.8</v>
      </c>
      <c r="AF78" s="204">
        <v>1</v>
      </c>
      <c r="AG78" s="204">
        <v>3</v>
      </c>
      <c r="AH78" s="204">
        <v>1</v>
      </c>
      <c r="AI78" s="204">
        <v>0</v>
      </c>
      <c r="AJ78" s="204">
        <v>0.8</v>
      </c>
      <c r="AK78" s="204">
        <v>1</v>
      </c>
      <c r="AL78" s="204">
        <v>3</v>
      </c>
      <c r="AM78" s="204">
        <v>1</v>
      </c>
      <c r="AN78" s="204">
        <v>0</v>
      </c>
      <c r="AO78" s="204">
        <v>0</v>
      </c>
      <c r="AP78" s="204">
        <v>0</v>
      </c>
      <c r="AQ78" s="204">
        <v>3</v>
      </c>
      <c r="AR78" s="186">
        <v>1</v>
      </c>
      <c r="AS78" s="186">
        <v>0</v>
      </c>
      <c r="AT78" s="204">
        <v>0.8</v>
      </c>
      <c r="AU78" s="204">
        <v>1</v>
      </c>
      <c r="AV78" s="197">
        <v>3</v>
      </c>
      <c r="AW78" s="186">
        <v>1</v>
      </c>
      <c r="AX78" s="197">
        <v>0</v>
      </c>
      <c r="AY78" s="197">
        <v>0.8</v>
      </c>
      <c r="AZ78" s="197">
        <v>1</v>
      </c>
      <c r="BA78" s="197">
        <v>3</v>
      </c>
      <c r="BB78" s="186">
        <v>1</v>
      </c>
      <c r="BC78" s="197">
        <v>0</v>
      </c>
      <c r="BD78" s="197">
        <v>0</v>
      </c>
      <c r="BE78" s="197">
        <v>0</v>
      </c>
      <c r="BF78" s="197">
        <v>3</v>
      </c>
      <c r="BG78" s="186">
        <v>1</v>
      </c>
      <c r="BH78" s="197">
        <v>0</v>
      </c>
      <c r="BI78" s="197">
        <v>0.8</v>
      </c>
      <c r="BJ78" s="197">
        <v>1</v>
      </c>
      <c r="BK78" s="197">
        <v>3</v>
      </c>
      <c r="BL78" s="186">
        <v>1</v>
      </c>
      <c r="BM78" s="197">
        <v>0</v>
      </c>
      <c r="BN78" s="197">
        <v>0.8</v>
      </c>
      <c r="BO78" s="197">
        <v>1</v>
      </c>
      <c r="BP78" s="197">
        <v>2</v>
      </c>
      <c r="BQ78" s="186">
        <v>1</v>
      </c>
      <c r="BR78" s="197">
        <v>0</v>
      </c>
      <c r="BS78" s="197">
        <v>0</v>
      </c>
      <c r="BT78" s="197">
        <v>0</v>
      </c>
      <c r="BU78" s="197">
        <v>2</v>
      </c>
      <c r="BV78" s="186">
        <v>1</v>
      </c>
      <c r="BW78" s="197">
        <v>0</v>
      </c>
      <c r="BX78" s="197">
        <v>0.8</v>
      </c>
      <c r="BY78" s="197">
        <v>1</v>
      </c>
      <c r="BZ78" s="197">
        <v>2</v>
      </c>
      <c r="CA78" s="186">
        <v>1</v>
      </c>
      <c r="CB78" s="197">
        <v>0</v>
      </c>
      <c r="CC78" s="197">
        <v>0.8</v>
      </c>
      <c r="CD78" s="197">
        <v>1</v>
      </c>
      <c r="CE78" s="197">
        <v>2</v>
      </c>
      <c r="CF78" s="186">
        <v>1</v>
      </c>
      <c r="CG78" s="197">
        <v>0</v>
      </c>
      <c r="CH78" s="197">
        <v>0</v>
      </c>
      <c r="CI78" s="197">
        <v>0</v>
      </c>
      <c r="CJ78" s="197">
        <v>2</v>
      </c>
      <c r="CK78" s="186">
        <v>1</v>
      </c>
      <c r="CL78" s="197">
        <v>0</v>
      </c>
      <c r="CM78" s="197">
        <v>0.8</v>
      </c>
      <c r="CN78" s="197">
        <v>1</v>
      </c>
      <c r="CO78" s="197">
        <v>2</v>
      </c>
      <c r="CP78" s="186">
        <v>1</v>
      </c>
      <c r="CQ78" s="197">
        <v>0</v>
      </c>
      <c r="CR78" s="197">
        <v>0.8</v>
      </c>
      <c r="CS78" s="197">
        <v>1</v>
      </c>
      <c r="CT78" s="197">
        <v>2</v>
      </c>
      <c r="CU78" s="186">
        <v>1</v>
      </c>
      <c r="CV78" s="197">
        <v>0</v>
      </c>
      <c r="CW78" s="197">
        <v>0</v>
      </c>
      <c r="CX78" s="197">
        <v>0</v>
      </c>
      <c r="CY78" s="197">
        <v>2</v>
      </c>
      <c r="CZ78" s="186">
        <v>1</v>
      </c>
      <c r="DA78" s="197">
        <v>0</v>
      </c>
      <c r="DB78" s="197">
        <v>0.8</v>
      </c>
      <c r="DC78" s="197">
        <v>1</v>
      </c>
      <c r="DD78" s="197">
        <v>2</v>
      </c>
      <c r="DE78" s="186">
        <v>1</v>
      </c>
      <c r="DF78" s="197">
        <v>0</v>
      </c>
      <c r="DG78" s="197">
        <v>0.8</v>
      </c>
      <c r="DH78" s="197">
        <v>1</v>
      </c>
      <c r="DI78" s="197">
        <v>2</v>
      </c>
      <c r="DJ78" s="186">
        <v>1</v>
      </c>
      <c r="DK78" s="197">
        <v>0</v>
      </c>
      <c r="DL78" s="197">
        <v>0</v>
      </c>
      <c r="DM78" s="197">
        <v>0</v>
      </c>
      <c r="DN78" s="197">
        <v>2</v>
      </c>
      <c r="DO78" s="186">
        <v>1</v>
      </c>
      <c r="DP78" s="197">
        <v>0</v>
      </c>
      <c r="DQ78" s="197">
        <v>0.8</v>
      </c>
      <c r="DR78" s="197">
        <v>1</v>
      </c>
      <c r="DS78" s="197">
        <v>2</v>
      </c>
      <c r="DT78" s="186">
        <v>1</v>
      </c>
      <c r="DU78" s="197">
        <v>0</v>
      </c>
      <c r="DV78" s="197">
        <v>0.8</v>
      </c>
      <c r="DW78" s="197">
        <v>1</v>
      </c>
      <c r="DX78" s="197">
        <v>2</v>
      </c>
      <c r="DY78" s="186">
        <v>1</v>
      </c>
      <c r="DZ78" s="197">
        <v>0</v>
      </c>
      <c r="EA78" s="197">
        <v>0</v>
      </c>
      <c r="EB78" s="197">
        <v>0</v>
      </c>
      <c r="EC78" s="197">
        <v>2</v>
      </c>
      <c r="ED78" s="186">
        <v>1</v>
      </c>
      <c r="EE78" s="197">
        <v>0</v>
      </c>
      <c r="EF78" s="197">
        <v>0.8</v>
      </c>
      <c r="EG78" s="197">
        <v>1</v>
      </c>
      <c r="EH78" s="197">
        <v>2</v>
      </c>
      <c r="EI78" s="186">
        <v>1</v>
      </c>
      <c r="EJ78" s="197">
        <v>0</v>
      </c>
      <c r="EK78" s="197">
        <v>0.8</v>
      </c>
      <c r="EL78" s="197">
        <v>1</v>
      </c>
      <c r="EM78" s="197">
        <v>2</v>
      </c>
      <c r="EN78" s="186">
        <v>1</v>
      </c>
      <c r="EO78" s="197">
        <v>0</v>
      </c>
      <c r="EP78" s="197">
        <v>0</v>
      </c>
      <c r="EQ78" s="197">
        <v>0</v>
      </c>
      <c r="ER78" s="197">
        <v>2</v>
      </c>
      <c r="ES78" s="186">
        <v>1</v>
      </c>
      <c r="ET78" s="197">
        <v>0</v>
      </c>
      <c r="EU78" s="197">
        <v>0.8</v>
      </c>
      <c r="EV78" s="197">
        <v>1</v>
      </c>
      <c r="EW78" s="197">
        <v>2</v>
      </c>
      <c r="EX78" s="186">
        <v>1</v>
      </c>
      <c r="EY78" s="197">
        <v>0</v>
      </c>
      <c r="EZ78" s="197">
        <v>0.8</v>
      </c>
      <c r="FA78" s="197">
        <v>1</v>
      </c>
      <c r="FB78" s="197">
        <v>2</v>
      </c>
      <c r="FC78" s="186">
        <v>1</v>
      </c>
      <c r="FD78" s="197">
        <v>0</v>
      </c>
      <c r="FE78" s="197">
        <v>0</v>
      </c>
      <c r="FF78" s="197">
        <v>0</v>
      </c>
      <c r="FG78" s="197">
        <v>2</v>
      </c>
      <c r="FH78" s="186">
        <v>1</v>
      </c>
      <c r="FI78" s="197">
        <v>0</v>
      </c>
      <c r="FJ78" s="197">
        <v>0.8</v>
      </c>
      <c r="FK78" s="197">
        <v>1</v>
      </c>
      <c r="FL78" s="197">
        <v>2</v>
      </c>
      <c r="FM78" s="186">
        <v>1</v>
      </c>
      <c r="FN78" s="197">
        <v>0</v>
      </c>
      <c r="FO78" s="197">
        <v>0.8</v>
      </c>
      <c r="FP78" s="197">
        <v>1</v>
      </c>
      <c r="FQ78" s="197">
        <v>2</v>
      </c>
      <c r="FR78" s="186">
        <v>1</v>
      </c>
      <c r="FS78" s="197">
        <v>0</v>
      </c>
      <c r="FT78" s="197">
        <v>0</v>
      </c>
      <c r="FU78" s="197">
        <v>0</v>
      </c>
      <c r="FV78" s="197">
        <v>2</v>
      </c>
      <c r="FW78" s="186">
        <v>1</v>
      </c>
      <c r="FX78" s="197">
        <v>0</v>
      </c>
      <c r="FY78" s="197">
        <v>0.8</v>
      </c>
      <c r="FZ78" s="197">
        <v>1</v>
      </c>
      <c r="GA78" s="197">
        <v>2</v>
      </c>
      <c r="GB78" s="186">
        <v>1</v>
      </c>
      <c r="GC78" s="197">
        <v>0</v>
      </c>
      <c r="GD78" s="197">
        <v>0.8</v>
      </c>
      <c r="GE78" s="197">
        <v>1</v>
      </c>
      <c r="GF78" s="197">
        <v>2</v>
      </c>
      <c r="GG78" s="186">
        <v>1</v>
      </c>
      <c r="GH78" s="197">
        <v>0</v>
      </c>
      <c r="GI78" s="197">
        <v>0</v>
      </c>
      <c r="GJ78" s="197">
        <v>0</v>
      </c>
      <c r="GK78" s="197">
        <v>2</v>
      </c>
      <c r="GL78" s="186">
        <v>1</v>
      </c>
      <c r="GM78" s="197">
        <v>0</v>
      </c>
      <c r="GN78" s="197">
        <v>0.8</v>
      </c>
      <c r="GO78" s="197">
        <v>1</v>
      </c>
      <c r="GP78" s="198">
        <v>2</v>
      </c>
      <c r="GQ78" s="186">
        <v>1</v>
      </c>
    </row>
    <row r="79" spans="1:199">
      <c r="A79" s="195"/>
      <c r="B79" s="188"/>
      <c r="C79" s="188" t="s">
        <v>303</v>
      </c>
      <c r="D79" s="188" t="s">
        <v>241</v>
      </c>
      <c r="E79" s="190">
        <v>0</v>
      </c>
      <c r="F79" s="193">
        <v>0.8</v>
      </c>
      <c r="G79" s="203">
        <v>1</v>
      </c>
      <c r="H79" s="201">
        <v>1.2</v>
      </c>
      <c r="I79" s="383">
        <v>1</v>
      </c>
      <c r="J79" s="383">
        <v>0</v>
      </c>
      <c r="K79" s="201">
        <v>0.8</v>
      </c>
      <c r="L79" s="201">
        <v>1</v>
      </c>
      <c r="M79" s="201">
        <v>1.2</v>
      </c>
      <c r="N79" s="383">
        <v>1</v>
      </c>
      <c r="O79" s="383">
        <v>0</v>
      </c>
      <c r="P79" s="201">
        <v>0.8</v>
      </c>
      <c r="Q79" s="201">
        <v>1</v>
      </c>
      <c r="R79" s="202">
        <v>1.2</v>
      </c>
      <c r="S79" s="382">
        <v>1</v>
      </c>
      <c r="T79" s="190">
        <v>0</v>
      </c>
      <c r="U79" s="193">
        <v>0.8</v>
      </c>
      <c r="V79" s="203">
        <v>1</v>
      </c>
      <c r="W79" s="201">
        <v>1.2</v>
      </c>
      <c r="X79" s="382">
        <v>1</v>
      </c>
      <c r="Y79" s="200">
        <v>0</v>
      </c>
      <c r="Z79" s="201">
        <v>0.8</v>
      </c>
      <c r="AA79" s="201">
        <v>1</v>
      </c>
      <c r="AB79" s="201">
        <v>1.2</v>
      </c>
      <c r="AC79" s="382">
        <v>1</v>
      </c>
      <c r="AD79" s="200">
        <v>0</v>
      </c>
      <c r="AE79" s="201">
        <v>0.8</v>
      </c>
      <c r="AF79" s="201">
        <v>1</v>
      </c>
      <c r="AG79" s="383">
        <v>1.2</v>
      </c>
      <c r="AH79" s="383">
        <v>1</v>
      </c>
      <c r="AI79" s="383">
        <v>0</v>
      </c>
      <c r="AJ79" s="383">
        <v>0.8</v>
      </c>
      <c r="AK79" s="201">
        <v>1</v>
      </c>
      <c r="AL79" s="201">
        <v>1.2</v>
      </c>
      <c r="AM79" s="383">
        <v>1</v>
      </c>
      <c r="AN79" s="383">
        <v>0</v>
      </c>
      <c r="AO79" s="201">
        <v>0.8</v>
      </c>
      <c r="AP79" s="201">
        <v>1</v>
      </c>
      <c r="AQ79" s="201">
        <v>1.2</v>
      </c>
      <c r="AR79" s="382">
        <v>1</v>
      </c>
      <c r="AS79" s="200">
        <v>0</v>
      </c>
      <c r="AT79" s="201">
        <v>0.8</v>
      </c>
      <c r="AU79" s="201">
        <v>1</v>
      </c>
      <c r="AV79" s="193">
        <v>1.2</v>
      </c>
      <c r="AW79" s="382">
        <v>1</v>
      </c>
      <c r="AX79" s="193">
        <v>0</v>
      </c>
      <c r="AY79" s="193">
        <v>0.8</v>
      </c>
      <c r="AZ79" s="193">
        <v>1</v>
      </c>
      <c r="BA79" s="193">
        <v>1.2</v>
      </c>
      <c r="BB79" s="382">
        <v>1</v>
      </c>
      <c r="BC79" s="193">
        <v>0</v>
      </c>
      <c r="BD79" s="193">
        <v>0.8</v>
      </c>
      <c r="BE79" s="193">
        <v>1</v>
      </c>
      <c r="BF79" s="193">
        <v>1.2</v>
      </c>
      <c r="BG79" s="382">
        <v>1</v>
      </c>
      <c r="BH79" s="193">
        <v>0</v>
      </c>
      <c r="BI79" s="193">
        <v>0.8</v>
      </c>
      <c r="BJ79" s="193">
        <v>1</v>
      </c>
      <c r="BK79" s="193">
        <v>1.2</v>
      </c>
      <c r="BL79" s="382">
        <v>1</v>
      </c>
      <c r="BM79" s="193">
        <v>0</v>
      </c>
      <c r="BN79" s="193">
        <v>0.8</v>
      </c>
      <c r="BO79" s="193">
        <v>1</v>
      </c>
      <c r="BP79" s="193">
        <v>1.2</v>
      </c>
      <c r="BQ79" s="382">
        <v>1</v>
      </c>
      <c r="BR79" s="193">
        <v>0</v>
      </c>
      <c r="BS79" s="193">
        <v>0.8</v>
      </c>
      <c r="BT79" s="193">
        <v>1</v>
      </c>
      <c r="BU79" s="193">
        <v>1.2</v>
      </c>
      <c r="BV79" s="382">
        <v>1</v>
      </c>
      <c r="BW79" s="193">
        <v>0</v>
      </c>
      <c r="BX79" s="193">
        <v>0.8</v>
      </c>
      <c r="BY79" s="193">
        <v>1</v>
      </c>
      <c r="BZ79" s="193">
        <v>1.2</v>
      </c>
      <c r="CA79" s="382">
        <v>1</v>
      </c>
      <c r="CB79" s="193">
        <v>0</v>
      </c>
      <c r="CC79" s="193">
        <v>0.8</v>
      </c>
      <c r="CD79" s="193">
        <v>1</v>
      </c>
      <c r="CE79" s="193">
        <v>1.2</v>
      </c>
      <c r="CF79" s="382">
        <v>1</v>
      </c>
      <c r="CG79" s="193">
        <v>0</v>
      </c>
      <c r="CH79" s="193">
        <v>0.8</v>
      </c>
      <c r="CI79" s="193">
        <v>1</v>
      </c>
      <c r="CJ79" s="193">
        <v>1.2</v>
      </c>
      <c r="CK79" s="382">
        <v>1</v>
      </c>
      <c r="CL79" s="193">
        <v>0</v>
      </c>
      <c r="CM79" s="193">
        <v>0.8</v>
      </c>
      <c r="CN79" s="193">
        <v>1</v>
      </c>
      <c r="CO79" s="193">
        <v>1.2</v>
      </c>
      <c r="CP79" s="382">
        <v>1</v>
      </c>
      <c r="CQ79" s="193">
        <v>0</v>
      </c>
      <c r="CR79" s="193">
        <v>0.8</v>
      </c>
      <c r="CS79" s="193">
        <v>1</v>
      </c>
      <c r="CT79" s="193">
        <v>1.2</v>
      </c>
      <c r="CU79" s="382">
        <v>1</v>
      </c>
      <c r="CV79" s="193">
        <v>0</v>
      </c>
      <c r="CW79" s="193">
        <v>0.8</v>
      </c>
      <c r="CX79" s="193">
        <v>1</v>
      </c>
      <c r="CY79" s="193">
        <v>1.2</v>
      </c>
      <c r="CZ79" s="382">
        <v>1</v>
      </c>
      <c r="DA79" s="193">
        <v>0</v>
      </c>
      <c r="DB79" s="193">
        <v>0.8</v>
      </c>
      <c r="DC79" s="193">
        <v>1</v>
      </c>
      <c r="DD79" s="193">
        <v>1.2</v>
      </c>
      <c r="DE79" s="382">
        <v>1</v>
      </c>
      <c r="DF79" s="193">
        <v>0</v>
      </c>
      <c r="DG79" s="193">
        <v>0.8</v>
      </c>
      <c r="DH79" s="193">
        <v>1</v>
      </c>
      <c r="DI79" s="193">
        <v>1.2</v>
      </c>
      <c r="DJ79" s="382">
        <v>1</v>
      </c>
      <c r="DK79" s="193">
        <v>0</v>
      </c>
      <c r="DL79" s="193">
        <v>0.8</v>
      </c>
      <c r="DM79" s="193">
        <v>1</v>
      </c>
      <c r="DN79" s="193">
        <v>1.2</v>
      </c>
      <c r="DO79" s="382">
        <v>1</v>
      </c>
      <c r="DP79" s="193">
        <v>0</v>
      </c>
      <c r="DQ79" s="193">
        <v>0.8</v>
      </c>
      <c r="DR79" s="193">
        <v>1</v>
      </c>
      <c r="DS79" s="193">
        <v>1.2</v>
      </c>
      <c r="DT79" s="382">
        <v>1</v>
      </c>
      <c r="DU79" s="193">
        <v>0</v>
      </c>
      <c r="DV79" s="193">
        <v>0.8</v>
      </c>
      <c r="DW79" s="193">
        <v>1</v>
      </c>
      <c r="DX79" s="193">
        <v>1.2</v>
      </c>
      <c r="DY79" s="382">
        <v>1</v>
      </c>
      <c r="DZ79" s="193">
        <v>0</v>
      </c>
      <c r="EA79" s="193">
        <v>0.8</v>
      </c>
      <c r="EB79" s="193">
        <v>1</v>
      </c>
      <c r="EC79" s="193">
        <v>1.2</v>
      </c>
      <c r="ED79" s="382">
        <v>1</v>
      </c>
      <c r="EE79" s="193">
        <v>0</v>
      </c>
      <c r="EF79" s="193">
        <v>0.8</v>
      </c>
      <c r="EG79" s="193">
        <v>1</v>
      </c>
      <c r="EH79" s="193">
        <v>1.2</v>
      </c>
      <c r="EI79" s="382">
        <v>1</v>
      </c>
      <c r="EJ79" s="193">
        <v>0</v>
      </c>
      <c r="EK79" s="193">
        <v>0.8</v>
      </c>
      <c r="EL79" s="193">
        <v>1</v>
      </c>
      <c r="EM79" s="193">
        <v>1.2</v>
      </c>
      <c r="EN79" s="382">
        <v>1</v>
      </c>
      <c r="EO79" s="193">
        <v>0</v>
      </c>
      <c r="EP79" s="193">
        <v>0.8</v>
      </c>
      <c r="EQ79" s="193">
        <v>1</v>
      </c>
      <c r="ER79" s="193">
        <v>1.2</v>
      </c>
      <c r="ES79" s="382">
        <v>1</v>
      </c>
      <c r="ET79" s="193">
        <v>0</v>
      </c>
      <c r="EU79" s="193">
        <v>0.8</v>
      </c>
      <c r="EV79" s="193">
        <v>1</v>
      </c>
      <c r="EW79" s="193">
        <v>1.2</v>
      </c>
      <c r="EX79" s="382">
        <v>1</v>
      </c>
      <c r="EY79" s="193">
        <v>0</v>
      </c>
      <c r="EZ79" s="193">
        <v>0.8</v>
      </c>
      <c r="FA79" s="193">
        <v>1</v>
      </c>
      <c r="FB79" s="193">
        <v>1.2</v>
      </c>
      <c r="FC79" s="382">
        <v>1</v>
      </c>
      <c r="FD79" s="193">
        <v>0</v>
      </c>
      <c r="FE79" s="193">
        <v>0.8</v>
      </c>
      <c r="FF79" s="193">
        <v>1</v>
      </c>
      <c r="FG79" s="193">
        <v>1.2</v>
      </c>
      <c r="FH79" s="382">
        <v>1</v>
      </c>
      <c r="FI79" s="193">
        <v>0</v>
      </c>
      <c r="FJ79" s="193">
        <v>0.8</v>
      </c>
      <c r="FK79" s="193">
        <v>1</v>
      </c>
      <c r="FL79" s="193">
        <v>1.2</v>
      </c>
      <c r="FM79" s="382">
        <v>1</v>
      </c>
      <c r="FN79" s="193">
        <v>0</v>
      </c>
      <c r="FO79" s="193">
        <v>0.8</v>
      </c>
      <c r="FP79" s="193">
        <v>1</v>
      </c>
      <c r="FQ79" s="193">
        <v>1.2</v>
      </c>
      <c r="FR79" s="382">
        <v>1</v>
      </c>
      <c r="FS79" s="193">
        <v>0</v>
      </c>
      <c r="FT79" s="193">
        <v>0.8</v>
      </c>
      <c r="FU79" s="193">
        <v>1</v>
      </c>
      <c r="FV79" s="193">
        <v>1.2</v>
      </c>
      <c r="FW79" s="382">
        <v>1</v>
      </c>
      <c r="FX79" s="193">
        <v>0</v>
      </c>
      <c r="FY79" s="193">
        <v>0.8</v>
      </c>
      <c r="FZ79" s="193">
        <v>1</v>
      </c>
      <c r="GA79" s="193">
        <v>1.2</v>
      </c>
      <c r="GB79" s="382">
        <v>1</v>
      </c>
      <c r="GC79" s="193">
        <v>0</v>
      </c>
      <c r="GD79" s="193">
        <v>0.8</v>
      </c>
      <c r="GE79" s="193">
        <v>1</v>
      </c>
      <c r="GF79" s="193">
        <v>1.2</v>
      </c>
      <c r="GG79" s="382">
        <v>1</v>
      </c>
      <c r="GH79" s="193">
        <v>0</v>
      </c>
      <c r="GI79" s="193">
        <v>0.8</v>
      </c>
      <c r="GJ79" s="193">
        <v>1</v>
      </c>
      <c r="GK79" s="193">
        <v>1.2</v>
      </c>
      <c r="GL79" s="382">
        <v>1</v>
      </c>
      <c r="GM79" s="193">
        <v>0</v>
      </c>
      <c r="GN79" s="193">
        <v>0.8</v>
      </c>
      <c r="GO79" s="193">
        <v>1</v>
      </c>
      <c r="GP79" s="187">
        <v>1.2</v>
      </c>
      <c r="GQ79" s="382">
        <v>1</v>
      </c>
    </row>
    <row r="80" spans="1:199">
      <c r="A80" s="195"/>
      <c r="B80" s="200"/>
      <c r="C80" s="200"/>
      <c r="D80" s="382" t="s">
        <v>966</v>
      </c>
      <c r="E80" s="386">
        <v>0</v>
      </c>
      <c r="F80" s="201">
        <v>0.8</v>
      </c>
      <c r="G80" s="203">
        <v>1</v>
      </c>
      <c r="H80" s="201">
        <v>1.2</v>
      </c>
      <c r="I80" s="383">
        <v>1</v>
      </c>
      <c r="J80" s="383">
        <v>0</v>
      </c>
      <c r="K80" s="201">
        <v>0.8</v>
      </c>
      <c r="L80" s="201">
        <v>1</v>
      </c>
      <c r="M80" s="201">
        <v>1.2</v>
      </c>
      <c r="N80" s="383">
        <v>1</v>
      </c>
      <c r="O80" s="383">
        <v>0</v>
      </c>
      <c r="P80" s="201">
        <v>0.8</v>
      </c>
      <c r="Q80" s="201">
        <v>1</v>
      </c>
      <c r="R80" s="202">
        <v>1.2</v>
      </c>
      <c r="S80" s="382">
        <v>1</v>
      </c>
      <c r="T80" s="386">
        <v>0</v>
      </c>
      <c r="U80" s="201">
        <v>0.8</v>
      </c>
      <c r="V80" s="203">
        <v>1</v>
      </c>
      <c r="W80" s="201">
        <v>1.2</v>
      </c>
      <c r="X80" s="382">
        <v>1</v>
      </c>
      <c r="Y80" s="200">
        <v>0</v>
      </c>
      <c r="Z80" s="201">
        <v>0.8</v>
      </c>
      <c r="AA80" s="201">
        <v>1</v>
      </c>
      <c r="AB80" s="201">
        <v>1.2</v>
      </c>
      <c r="AC80" s="382">
        <v>1</v>
      </c>
      <c r="AD80" s="200">
        <v>0</v>
      </c>
      <c r="AE80" s="201">
        <v>0.8</v>
      </c>
      <c r="AF80" s="201">
        <v>1</v>
      </c>
      <c r="AG80" s="383">
        <v>1.2</v>
      </c>
      <c r="AH80" s="383">
        <v>1</v>
      </c>
      <c r="AI80" s="383">
        <v>0</v>
      </c>
      <c r="AJ80" s="383">
        <v>0.8</v>
      </c>
      <c r="AK80" s="201">
        <v>1</v>
      </c>
      <c r="AL80" s="201">
        <v>1.2</v>
      </c>
      <c r="AM80" s="383">
        <v>1</v>
      </c>
      <c r="AN80" s="383">
        <v>0</v>
      </c>
      <c r="AO80" s="201">
        <v>0.8</v>
      </c>
      <c r="AP80" s="201">
        <v>1</v>
      </c>
      <c r="AQ80" s="201">
        <v>1.2</v>
      </c>
      <c r="AR80" s="382">
        <v>1</v>
      </c>
      <c r="AS80" s="200">
        <v>0</v>
      </c>
      <c r="AT80" s="201">
        <v>0.8</v>
      </c>
      <c r="AU80" s="201">
        <v>1</v>
      </c>
      <c r="AV80" s="201">
        <v>1.2</v>
      </c>
      <c r="AW80" s="382">
        <v>1</v>
      </c>
      <c r="AX80" s="201">
        <v>0</v>
      </c>
      <c r="AY80" s="201">
        <v>0.8</v>
      </c>
      <c r="AZ80" s="201">
        <v>1</v>
      </c>
      <c r="BA80" s="201">
        <v>1.2</v>
      </c>
      <c r="BB80" s="382">
        <v>1</v>
      </c>
      <c r="BC80" s="201">
        <v>0</v>
      </c>
      <c r="BD80" s="201">
        <v>0.8</v>
      </c>
      <c r="BE80" s="201">
        <v>1</v>
      </c>
      <c r="BF80" s="201">
        <v>1.2</v>
      </c>
      <c r="BG80" s="382">
        <v>1</v>
      </c>
      <c r="BH80" s="201">
        <v>0</v>
      </c>
      <c r="BI80" s="201">
        <v>0.8</v>
      </c>
      <c r="BJ80" s="201">
        <v>1</v>
      </c>
      <c r="BK80" s="201">
        <v>1.2</v>
      </c>
      <c r="BL80" s="382">
        <v>1</v>
      </c>
      <c r="BM80" s="201">
        <v>0</v>
      </c>
      <c r="BN80" s="201">
        <v>0.8</v>
      </c>
      <c r="BO80" s="201">
        <v>1</v>
      </c>
      <c r="BP80" s="201">
        <v>1.2</v>
      </c>
      <c r="BQ80" s="382">
        <v>1</v>
      </c>
      <c r="BR80" s="201">
        <v>0</v>
      </c>
      <c r="BS80" s="201">
        <v>0.8</v>
      </c>
      <c r="BT80" s="201">
        <v>1</v>
      </c>
      <c r="BU80" s="201">
        <v>1.2</v>
      </c>
      <c r="BV80" s="382">
        <v>1</v>
      </c>
      <c r="BW80" s="201">
        <v>0</v>
      </c>
      <c r="BX80" s="201">
        <v>0.8</v>
      </c>
      <c r="BY80" s="201">
        <v>1</v>
      </c>
      <c r="BZ80" s="201">
        <v>1.2</v>
      </c>
      <c r="CA80" s="382">
        <v>1</v>
      </c>
      <c r="CB80" s="201">
        <v>0</v>
      </c>
      <c r="CC80" s="201">
        <v>0.8</v>
      </c>
      <c r="CD80" s="201">
        <v>1</v>
      </c>
      <c r="CE80" s="201">
        <v>1.2</v>
      </c>
      <c r="CF80" s="382">
        <v>1</v>
      </c>
      <c r="CG80" s="201">
        <v>0</v>
      </c>
      <c r="CH80" s="201">
        <v>0.8</v>
      </c>
      <c r="CI80" s="201">
        <v>1</v>
      </c>
      <c r="CJ80" s="201">
        <v>1.2</v>
      </c>
      <c r="CK80" s="382">
        <v>1</v>
      </c>
      <c r="CL80" s="201">
        <v>0</v>
      </c>
      <c r="CM80" s="201">
        <v>0.8</v>
      </c>
      <c r="CN80" s="201">
        <v>1</v>
      </c>
      <c r="CO80" s="201">
        <v>1.2</v>
      </c>
      <c r="CP80" s="382">
        <v>1</v>
      </c>
      <c r="CQ80" s="201">
        <v>0</v>
      </c>
      <c r="CR80" s="201">
        <v>0.8</v>
      </c>
      <c r="CS80" s="201">
        <v>1</v>
      </c>
      <c r="CT80" s="201">
        <v>1.2</v>
      </c>
      <c r="CU80" s="382">
        <v>1</v>
      </c>
      <c r="CV80" s="201">
        <v>0</v>
      </c>
      <c r="CW80" s="201">
        <v>0.8</v>
      </c>
      <c r="CX80" s="201">
        <v>1</v>
      </c>
      <c r="CY80" s="201">
        <v>1.2</v>
      </c>
      <c r="CZ80" s="382">
        <v>1</v>
      </c>
      <c r="DA80" s="201">
        <v>0</v>
      </c>
      <c r="DB80" s="201">
        <v>0.8</v>
      </c>
      <c r="DC80" s="201">
        <v>1</v>
      </c>
      <c r="DD80" s="201">
        <v>1.2</v>
      </c>
      <c r="DE80" s="382">
        <v>1</v>
      </c>
      <c r="DF80" s="201">
        <v>0</v>
      </c>
      <c r="DG80" s="201">
        <v>0.8</v>
      </c>
      <c r="DH80" s="201">
        <v>1</v>
      </c>
      <c r="DI80" s="201">
        <v>1.2</v>
      </c>
      <c r="DJ80" s="382">
        <v>1</v>
      </c>
      <c r="DK80" s="201">
        <v>0</v>
      </c>
      <c r="DL80" s="201">
        <v>0.8</v>
      </c>
      <c r="DM80" s="201">
        <v>1</v>
      </c>
      <c r="DN80" s="201">
        <v>1.2</v>
      </c>
      <c r="DO80" s="382">
        <v>1</v>
      </c>
      <c r="DP80" s="201">
        <v>0</v>
      </c>
      <c r="DQ80" s="201">
        <v>0.8</v>
      </c>
      <c r="DR80" s="201">
        <v>1</v>
      </c>
      <c r="DS80" s="201">
        <v>1.2</v>
      </c>
      <c r="DT80" s="382">
        <v>1</v>
      </c>
      <c r="DU80" s="201">
        <v>0</v>
      </c>
      <c r="DV80" s="201">
        <v>0.8</v>
      </c>
      <c r="DW80" s="201">
        <v>1</v>
      </c>
      <c r="DX80" s="201">
        <v>1.2</v>
      </c>
      <c r="DY80" s="382">
        <v>1</v>
      </c>
      <c r="DZ80" s="201">
        <v>0</v>
      </c>
      <c r="EA80" s="201">
        <v>0.8</v>
      </c>
      <c r="EB80" s="201">
        <v>1</v>
      </c>
      <c r="EC80" s="201">
        <v>1.2</v>
      </c>
      <c r="ED80" s="382">
        <v>1</v>
      </c>
      <c r="EE80" s="201">
        <v>0</v>
      </c>
      <c r="EF80" s="201">
        <v>0.8</v>
      </c>
      <c r="EG80" s="201">
        <v>1</v>
      </c>
      <c r="EH80" s="201">
        <v>1.2</v>
      </c>
      <c r="EI80" s="382">
        <v>1</v>
      </c>
      <c r="EJ80" s="201">
        <v>0</v>
      </c>
      <c r="EK80" s="201">
        <v>0.8</v>
      </c>
      <c r="EL80" s="201">
        <v>1</v>
      </c>
      <c r="EM80" s="201">
        <v>1.2</v>
      </c>
      <c r="EN80" s="382">
        <v>1</v>
      </c>
      <c r="EO80" s="201">
        <v>0</v>
      </c>
      <c r="EP80" s="201">
        <v>0.8</v>
      </c>
      <c r="EQ80" s="201">
        <v>1</v>
      </c>
      <c r="ER80" s="201">
        <v>1.2</v>
      </c>
      <c r="ES80" s="382">
        <v>1</v>
      </c>
      <c r="ET80" s="201">
        <v>0</v>
      </c>
      <c r="EU80" s="201">
        <v>0.8</v>
      </c>
      <c r="EV80" s="201">
        <v>1</v>
      </c>
      <c r="EW80" s="201">
        <v>1.2</v>
      </c>
      <c r="EX80" s="382">
        <v>1</v>
      </c>
      <c r="EY80" s="201">
        <v>0</v>
      </c>
      <c r="EZ80" s="201">
        <v>0.8</v>
      </c>
      <c r="FA80" s="201">
        <v>1</v>
      </c>
      <c r="FB80" s="201">
        <v>1.2</v>
      </c>
      <c r="FC80" s="382">
        <v>1</v>
      </c>
      <c r="FD80" s="201">
        <v>0</v>
      </c>
      <c r="FE80" s="201">
        <v>0.8</v>
      </c>
      <c r="FF80" s="201">
        <v>1</v>
      </c>
      <c r="FG80" s="201">
        <v>1.2</v>
      </c>
      <c r="FH80" s="382">
        <v>1</v>
      </c>
      <c r="FI80" s="201">
        <v>0</v>
      </c>
      <c r="FJ80" s="201">
        <v>0.8</v>
      </c>
      <c r="FK80" s="201">
        <v>1</v>
      </c>
      <c r="FL80" s="201">
        <v>1.2</v>
      </c>
      <c r="FM80" s="382">
        <v>1</v>
      </c>
      <c r="FN80" s="201">
        <v>0</v>
      </c>
      <c r="FO80" s="201">
        <v>0.8</v>
      </c>
      <c r="FP80" s="201">
        <v>1</v>
      </c>
      <c r="FQ80" s="201">
        <v>1.2</v>
      </c>
      <c r="FR80" s="382">
        <v>1</v>
      </c>
      <c r="FS80" s="201">
        <v>0</v>
      </c>
      <c r="FT80" s="201">
        <v>0.8</v>
      </c>
      <c r="FU80" s="201">
        <v>1</v>
      </c>
      <c r="FV80" s="201">
        <v>1.2</v>
      </c>
      <c r="FW80" s="382">
        <v>1</v>
      </c>
      <c r="FX80" s="201">
        <v>0</v>
      </c>
      <c r="FY80" s="201">
        <v>0.8</v>
      </c>
      <c r="FZ80" s="201">
        <v>1</v>
      </c>
      <c r="GA80" s="201">
        <v>1.2</v>
      </c>
      <c r="GB80" s="382">
        <v>1</v>
      </c>
      <c r="GC80" s="201">
        <v>0</v>
      </c>
      <c r="GD80" s="201">
        <v>0.8</v>
      </c>
      <c r="GE80" s="201">
        <v>1</v>
      </c>
      <c r="GF80" s="201">
        <v>1.2</v>
      </c>
      <c r="GG80" s="382">
        <v>1</v>
      </c>
      <c r="GH80" s="201">
        <v>0</v>
      </c>
      <c r="GI80" s="201">
        <v>0.8</v>
      </c>
      <c r="GJ80" s="201">
        <v>1</v>
      </c>
      <c r="GK80" s="201">
        <v>1.2</v>
      </c>
      <c r="GL80" s="382">
        <v>1</v>
      </c>
      <c r="GM80" s="201">
        <v>0</v>
      </c>
      <c r="GN80" s="201">
        <v>0.8</v>
      </c>
      <c r="GO80" s="201">
        <v>1</v>
      </c>
      <c r="GP80" s="202">
        <v>1.2</v>
      </c>
      <c r="GQ80" s="382">
        <v>1</v>
      </c>
    </row>
    <row r="81" spans="1:199">
      <c r="A81" s="195"/>
    </row>
    <row r="82" spans="1:199">
      <c r="A82" s="195" t="s">
        <v>1008</v>
      </c>
      <c r="B82" s="195" t="s">
        <v>1058</v>
      </c>
    </row>
    <row r="83" spans="1:199">
      <c r="B83" s="304" t="s">
        <v>1217</v>
      </c>
      <c r="C83" s="131" t="s">
        <v>1242</v>
      </c>
      <c r="D83" s="131" t="s">
        <v>206</v>
      </c>
      <c r="E83" s="199">
        <v>0</v>
      </c>
      <c r="F83" s="197">
        <v>0</v>
      </c>
      <c r="G83" s="197">
        <v>0</v>
      </c>
      <c r="H83" s="197">
        <v>0</v>
      </c>
      <c r="I83" s="197">
        <v>1</v>
      </c>
      <c r="J83" s="197">
        <v>0</v>
      </c>
      <c r="K83" s="197">
        <v>0</v>
      </c>
      <c r="L83" s="197">
        <v>0</v>
      </c>
      <c r="M83" s="197">
        <v>0</v>
      </c>
      <c r="N83" s="197">
        <v>1</v>
      </c>
      <c r="O83" s="197">
        <v>0</v>
      </c>
      <c r="P83" s="197">
        <v>0</v>
      </c>
      <c r="Q83" s="197">
        <v>0</v>
      </c>
      <c r="R83" s="197">
        <v>0</v>
      </c>
      <c r="S83" s="197">
        <v>1</v>
      </c>
      <c r="T83" s="199">
        <v>0</v>
      </c>
      <c r="U83" s="197">
        <v>0</v>
      </c>
      <c r="V83" s="197">
        <v>0</v>
      </c>
      <c r="W83" s="197">
        <v>0</v>
      </c>
      <c r="X83" s="197">
        <v>1</v>
      </c>
      <c r="Y83" s="197">
        <v>0</v>
      </c>
      <c r="Z83" s="197">
        <v>0</v>
      </c>
      <c r="AA83" s="197">
        <v>0</v>
      </c>
      <c r="AB83" s="197">
        <v>0</v>
      </c>
      <c r="AC83" s="197">
        <v>1</v>
      </c>
      <c r="AD83" s="197">
        <v>0</v>
      </c>
      <c r="AE83" s="197">
        <v>0</v>
      </c>
      <c r="AF83" s="197">
        <v>0</v>
      </c>
      <c r="AG83" s="197">
        <v>0</v>
      </c>
      <c r="AH83" s="197">
        <v>1</v>
      </c>
      <c r="AI83" s="197">
        <v>0</v>
      </c>
      <c r="AJ83" s="197">
        <v>0.8</v>
      </c>
      <c r="AK83" s="197">
        <v>1</v>
      </c>
      <c r="AL83" s="197">
        <v>2</v>
      </c>
      <c r="AM83" s="197">
        <v>1</v>
      </c>
      <c r="AN83" s="197">
        <v>0</v>
      </c>
      <c r="AO83" s="197">
        <v>0</v>
      </c>
      <c r="AP83" s="197">
        <v>0</v>
      </c>
      <c r="AQ83" s="197">
        <v>2</v>
      </c>
      <c r="AR83" s="197">
        <v>1</v>
      </c>
      <c r="AS83" s="197">
        <v>0</v>
      </c>
      <c r="AT83" s="197">
        <v>0.8</v>
      </c>
      <c r="AU83" s="197">
        <v>1</v>
      </c>
      <c r="AV83" s="197">
        <v>2</v>
      </c>
      <c r="AW83" s="197">
        <v>1</v>
      </c>
      <c r="AX83" s="197">
        <v>0</v>
      </c>
      <c r="AY83" s="197">
        <v>0.8</v>
      </c>
      <c r="AZ83" s="197">
        <v>1</v>
      </c>
      <c r="BA83" s="197">
        <v>2</v>
      </c>
      <c r="BB83" s="197">
        <v>1</v>
      </c>
      <c r="BC83" s="197">
        <v>0</v>
      </c>
      <c r="BD83" s="197">
        <v>0</v>
      </c>
      <c r="BE83" s="197">
        <v>0</v>
      </c>
      <c r="BF83" s="197">
        <v>2</v>
      </c>
      <c r="BG83" s="197">
        <v>1</v>
      </c>
      <c r="BH83" s="197">
        <v>0</v>
      </c>
      <c r="BI83" s="197">
        <v>0.8</v>
      </c>
      <c r="BJ83" s="197">
        <v>1</v>
      </c>
      <c r="BK83" s="197">
        <v>2</v>
      </c>
      <c r="BL83" s="197">
        <v>1</v>
      </c>
      <c r="BM83" s="197">
        <v>0</v>
      </c>
      <c r="BN83" s="197">
        <v>0.8</v>
      </c>
      <c r="BO83" s="197">
        <v>1</v>
      </c>
      <c r="BP83" s="197">
        <v>2</v>
      </c>
      <c r="BQ83" s="197">
        <v>1</v>
      </c>
      <c r="BR83" s="197">
        <v>0</v>
      </c>
      <c r="BS83" s="197">
        <v>0</v>
      </c>
      <c r="BT83" s="197">
        <v>0</v>
      </c>
      <c r="BU83" s="197">
        <v>2</v>
      </c>
      <c r="BV83" s="197">
        <v>1</v>
      </c>
      <c r="BW83" s="197">
        <v>0</v>
      </c>
      <c r="BX83" s="197">
        <v>0.8</v>
      </c>
      <c r="BY83" s="197">
        <v>1</v>
      </c>
      <c r="BZ83" s="197">
        <v>2</v>
      </c>
      <c r="CA83" s="197">
        <v>1</v>
      </c>
      <c r="CB83" s="197">
        <v>0</v>
      </c>
      <c r="CC83" s="197">
        <v>0.8</v>
      </c>
      <c r="CD83" s="197">
        <v>1</v>
      </c>
      <c r="CE83" s="197">
        <v>2</v>
      </c>
      <c r="CF83" s="197">
        <v>1</v>
      </c>
      <c r="CG83" s="197">
        <v>0</v>
      </c>
      <c r="CH83" s="197">
        <v>0</v>
      </c>
      <c r="CI83" s="197">
        <v>0</v>
      </c>
      <c r="CJ83" s="197">
        <v>2</v>
      </c>
      <c r="CK83" s="197">
        <v>1</v>
      </c>
      <c r="CL83" s="197">
        <v>0</v>
      </c>
      <c r="CM83" s="197">
        <v>0.8</v>
      </c>
      <c r="CN83" s="197">
        <v>1</v>
      </c>
      <c r="CO83" s="197">
        <v>2</v>
      </c>
      <c r="CP83" s="197">
        <v>1</v>
      </c>
      <c r="CQ83" s="197">
        <v>0</v>
      </c>
      <c r="CR83" s="197">
        <v>0.8</v>
      </c>
      <c r="CS83" s="197">
        <v>1</v>
      </c>
      <c r="CT83" s="197">
        <v>2</v>
      </c>
      <c r="CU83" s="197">
        <v>1</v>
      </c>
      <c r="CV83" s="197">
        <v>0</v>
      </c>
      <c r="CW83" s="197">
        <v>0</v>
      </c>
      <c r="CX83" s="197">
        <v>0</v>
      </c>
      <c r="CY83" s="197">
        <v>2</v>
      </c>
      <c r="CZ83" s="197">
        <v>1</v>
      </c>
      <c r="DA83" s="197">
        <v>0</v>
      </c>
      <c r="DB83" s="197">
        <v>0.8</v>
      </c>
      <c r="DC83" s="197">
        <v>1</v>
      </c>
      <c r="DD83" s="197">
        <v>2</v>
      </c>
      <c r="DE83" s="197">
        <v>1</v>
      </c>
      <c r="DF83" s="197">
        <v>0</v>
      </c>
      <c r="DG83" s="197">
        <v>0.8</v>
      </c>
      <c r="DH83" s="197">
        <v>1</v>
      </c>
      <c r="DI83" s="197">
        <v>2</v>
      </c>
      <c r="DJ83" s="197">
        <v>1</v>
      </c>
      <c r="DK83" s="197">
        <v>0</v>
      </c>
      <c r="DL83" s="197">
        <v>0</v>
      </c>
      <c r="DM83" s="197">
        <v>0</v>
      </c>
      <c r="DN83" s="197">
        <v>2</v>
      </c>
      <c r="DO83" s="197">
        <v>1</v>
      </c>
      <c r="DP83" s="197">
        <v>0</v>
      </c>
      <c r="DQ83" s="197">
        <v>0.8</v>
      </c>
      <c r="DR83" s="197">
        <v>1</v>
      </c>
      <c r="DS83" s="197">
        <v>2</v>
      </c>
      <c r="DT83" s="197">
        <v>1</v>
      </c>
      <c r="DU83" s="197">
        <v>0</v>
      </c>
      <c r="DV83" s="197">
        <v>0.8</v>
      </c>
      <c r="DW83" s="197">
        <v>1</v>
      </c>
      <c r="DX83" s="197">
        <v>2</v>
      </c>
      <c r="DY83" s="197">
        <v>1</v>
      </c>
      <c r="DZ83" s="197">
        <v>0</v>
      </c>
      <c r="EA83" s="197">
        <v>0</v>
      </c>
      <c r="EB83" s="197">
        <v>0</v>
      </c>
      <c r="EC83" s="197">
        <v>2</v>
      </c>
      <c r="ED83" s="197">
        <v>1</v>
      </c>
      <c r="EE83" s="197">
        <v>0</v>
      </c>
      <c r="EF83" s="197">
        <v>0.8</v>
      </c>
      <c r="EG83" s="197">
        <v>1</v>
      </c>
      <c r="EH83" s="197">
        <v>2</v>
      </c>
      <c r="EI83" s="197">
        <v>1</v>
      </c>
      <c r="EJ83" s="197">
        <v>0</v>
      </c>
      <c r="EK83" s="197">
        <v>0</v>
      </c>
      <c r="EL83" s="197">
        <v>0</v>
      </c>
      <c r="EM83" s="197">
        <v>0</v>
      </c>
      <c r="EN83" s="197">
        <v>1</v>
      </c>
      <c r="EO83" s="197">
        <v>0</v>
      </c>
      <c r="EP83" s="197">
        <v>0</v>
      </c>
      <c r="EQ83" s="197">
        <v>0</v>
      </c>
      <c r="ER83" s="197">
        <v>0</v>
      </c>
      <c r="ES83" s="197">
        <v>1</v>
      </c>
      <c r="ET83" s="197">
        <v>0</v>
      </c>
      <c r="EU83" s="197">
        <v>0</v>
      </c>
      <c r="EV83" s="197">
        <v>0</v>
      </c>
      <c r="EW83" s="197">
        <v>0</v>
      </c>
      <c r="EX83" s="197">
        <v>1</v>
      </c>
      <c r="EY83" s="197">
        <v>0</v>
      </c>
      <c r="EZ83" s="197">
        <v>0</v>
      </c>
      <c r="FA83" s="197">
        <v>0</v>
      </c>
      <c r="FB83" s="197">
        <v>0</v>
      </c>
      <c r="FC83" s="197">
        <v>1</v>
      </c>
      <c r="FD83" s="197">
        <v>0</v>
      </c>
      <c r="FE83" s="197">
        <v>0</v>
      </c>
      <c r="FF83" s="197">
        <v>0</v>
      </c>
      <c r="FG83" s="197">
        <v>0</v>
      </c>
      <c r="FH83" s="197">
        <v>1</v>
      </c>
      <c r="FI83" s="197">
        <v>0</v>
      </c>
      <c r="FJ83" s="197">
        <v>0</v>
      </c>
      <c r="FK83" s="197">
        <v>0</v>
      </c>
      <c r="FL83" s="197">
        <v>0</v>
      </c>
      <c r="FM83" s="197">
        <v>1</v>
      </c>
      <c r="FN83" s="197">
        <v>0</v>
      </c>
      <c r="FO83" s="197">
        <v>0</v>
      </c>
      <c r="FP83" s="197">
        <v>0</v>
      </c>
      <c r="FQ83" s="197">
        <v>0</v>
      </c>
      <c r="FR83" s="197">
        <v>1</v>
      </c>
      <c r="FS83" s="197">
        <v>0</v>
      </c>
      <c r="FT83" s="197">
        <v>0</v>
      </c>
      <c r="FU83" s="197">
        <v>0</v>
      </c>
      <c r="FV83" s="197">
        <v>0</v>
      </c>
      <c r="FW83" s="197">
        <v>1</v>
      </c>
      <c r="FX83" s="197">
        <v>0</v>
      </c>
      <c r="FY83" s="197">
        <v>0</v>
      </c>
      <c r="FZ83" s="197">
        <v>0</v>
      </c>
      <c r="GA83" s="197">
        <v>0</v>
      </c>
      <c r="GB83" s="197">
        <v>1</v>
      </c>
      <c r="GC83" s="197">
        <v>0</v>
      </c>
      <c r="GD83" s="197">
        <v>0</v>
      </c>
      <c r="GE83" s="197">
        <v>0</v>
      </c>
      <c r="GF83" s="197">
        <v>0</v>
      </c>
      <c r="GG83" s="197">
        <v>1</v>
      </c>
      <c r="GH83" s="197">
        <v>0</v>
      </c>
      <c r="GI83" s="197">
        <v>0</v>
      </c>
      <c r="GJ83" s="197">
        <v>0</v>
      </c>
      <c r="GK83" s="197">
        <v>0</v>
      </c>
      <c r="GL83" s="197">
        <v>1</v>
      </c>
      <c r="GM83" s="197">
        <v>0</v>
      </c>
      <c r="GN83" s="197">
        <v>0</v>
      </c>
      <c r="GO83" s="197">
        <v>0</v>
      </c>
      <c r="GP83" s="198">
        <v>0</v>
      </c>
      <c r="GQ83" s="197">
        <v>1</v>
      </c>
    </row>
    <row r="84" spans="1:199">
      <c r="B84" s="305" t="s">
        <v>1215</v>
      </c>
      <c r="C84" s="126" t="s">
        <v>303</v>
      </c>
      <c r="D84" s="126" t="s">
        <v>1336</v>
      </c>
      <c r="E84" s="190">
        <v>0</v>
      </c>
      <c r="F84" s="193">
        <v>0</v>
      </c>
      <c r="G84" s="193">
        <v>0</v>
      </c>
      <c r="H84" s="193">
        <v>0</v>
      </c>
      <c r="I84" s="193">
        <v>1</v>
      </c>
      <c r="J84" s="193">
        <v>0</v>
      </c>
      <c r="K84" s="193">
        <v>0</v>
      </c>
      <c r="L84" s="193">
        <v>0</v>
      </c>
      <c r="M84" s="193">
        <v>0</v>
      </c>
      <c r="N84" s="193">
        <v>1</v>
      </c>
      <c r="O84" s="193">
        <v>0</v>
      </c>
      <c r="P84" s="193">
        <v>0</v>
      </c>
      <c r="Q84" s="193">
        <v>0</v>
      </c>
      <c r="R84" s="193">
        <v>0</v>
      </c>
      <c r="S84" s="193">
        <v>1</v>
      </c>
      <c r="T84" s="190">
        <v>0</v>
      </c>
      <c r="U84" s="193">
        <v>0</v>
      </c>
      <c r="V84" s="193">
        <v>0</v>
      </c>
      <c r="W84" s="193">
        <v>0</v>
      </c>
      <c r="X84" s="193">
        <v>1</v>
      </c>
      <c r="Y84" s="193">
        <v>0</v>
      </c>
      <c r="Z84" s="193">
        <v>0</v>
      </c>
      <c r="AA84" s="193">
        <v>0</v>
      </c>
      <c r="AB84" s="193">
        <v>0</v>
      </c>
      <c r="AC84" s="193">
        <v>1</v>
      </c>
      <c r="AD84" s="193">
        <v>0</v>
      </c>
      <c r="AE84" s="193">
        <v>0</v>
      </c>
      <c r="AF84" s="193">
        <v>0</v>
      </c>
      <c r="AG84" s="193">
        <v>0</v>
      </c>
      <c r="AH84" s="193">
        <v>1</v>
      </c>
      <c r="AI84" s="193">
        <v>0</v>
      </c>
      <c r="AJ84" s="193">
        <v>0.8</v>
      </c>
      <c r="AK84" s="193">
        <v>1</v>
      </c>
      <c r="AL84" s="193">
        <v>1.2</v>
      </c>
      <c r="AM84" s="193">
        <v>1</v>
      </c>
      <c r="AN84" s="193">
        <v>0</v>
      </c>
      <c r="AO84" s="193">
        <v>0.8</v>
      </c>
      <c r="AP84" s="193">
        <v>1</v>
      </c>
      <c r="AQ84" s="193">
        <v>1.2</v>
      </c>
      <c r="AR84" s="193">
        <v>1</v>
      </c>
      <c r="AS84" s="193">
        <v>0</v>
      </c>
      <c r="AT84" s="193">
        <v>0.8</v>
      </c>
      <c r="AU84" s="193">
        <v>1</v>
      </c>
      <c r="AV84" s="193">
        <v>1.2</v>
      </c>
      <c r="AW84" s="193">
        <v>1</v>
      </c>
      <c r="AX84" s="193">
        <v>0</v>
      </c>
      <c r="AY84" s="193">
        <v>0.8</v>
      </c>
      <c r="AZ84" s="193">
        <v>1</v>
      </c>
      <c r="BA84" s="193">
        <v>1.2</v>
      </c>
      <c r="BB84" s="193">
        <v>1</v>
      </c>
      <c r="BC84" s="193">
        <v>0</v>
      </c>
      <c r="BD84" s="193">
        <v>0.8</v>
      </c>
      <c r="BE84" s="193">
        <v>1</v>
      </c>
      <c r="BF84" s="193">
        <v>1.2</v>
      </c>
      <c r="BG84" s="193">
        <v>1</v>
      </c>
      <c r="BH84" s="193">
        <v>0</v>
      </c>
      <c r="BI84" s="193">
        <v>0.8</v>
      </c>
      <c r="BJ84" s="193">
        <v>1</v>
      </c>
      <c r="BK84" s="193">
        <v>1.2</v>
      </c>
      <c r="BL84" s="193">
        <v>1</v>
      </c>
      <c r="BM84" s="193">
        <v>0</v>
      </c>
      <c r="BN84" s="193">
        <v>0.8</v>
      </c>
      <c r="BO84" s="193">
        <v>1</v>
      </c>
      <c r="BP84" s="193">
        <v>1.2</v>
      </c>
      <c r="BQ84" s="193">
        <v>1</v>
      </c>
      <c r="BR84" s="193">
        <v>0</v>
      </c>
      <c r="BS84" s="193">
        <v>0.8</v>
      </c>
      <c r="BT84" s="193">
        <v>1</v>
      </c>
      <c r="BU84" s="193">
        <v>1.2</v>
      </c>
      <c r="BV84" s="193">
        <v>1</v>
      </c>
      <c r="BW84" s="193">
        <v>0</v>
      </c>
      <c r="BX84" s="193">
        <v>0.8</v>
      </c>
      <c r="BY84" s="193">
        <v>1</v>
      </c>
      <c r="BZ84" s="193">
        <v>1.2</v>
      </c>
      <c r="CA84" s="193">
        <v>1</v>
      </c>
      <c r="CB84" s="193">
        <v>0</v>
      </c>
      <c r="CC84" s="193">
        <v>0.8</v>
      </c>
      <c r="CD84" s="193">
        <v>1</v>
      </c>
      <c r="CE84" s="193">
        <v>1.2</v>
      </c>
      <c r="CF84" s="193">
        <v>1</v>
      </c>
      <c r="CG84" s="193">
        <v>0</v>
      </c>
      <c r="CH84" s="193">
        <v>0.8</v>
      </c>
      <c r="CI84" s="193">
        <v>1</v>
      </c>
      <c r="CJ84" s="193">
        <v>1.2</v>
      </c>
      <c r="CK84" s="193">
        <v>1</v>
      </c>
      <c r="CL84" s="193">
        <v>0</v>
      </c>
      <c r="CM84" s="193">
        <v>0.8</v>
      </c>
      <c r="CN84" s="193">
        <v>1</v>
      </c>
      <c r="CO84" s="193">
        <v>1.2</v>
      </c>
      <c r="CP84" s="193">
        <v>1</v>
      </c>
      <c r="CQ84" s="193">
        <v>0</v>
      </c>
      <c r="CR84" s="193">
        <v>0.8</v>
      </c>
      <c r="CS84" s="193">
        <v>1</v>
      </c>
      <c r="CT84" s="193">
        <v>1.2</v>
      </c>
      <c r="CU84" s="193">
        <v>1</v>
      </c>
      <c r="CV84" s="193">
        <v>0</v>
      </c>
      <c r="CW84" s="193">
        <v>0.8</v>
      </c>
      <c r="CX84" s="193">
        <v>1</v>
      </c>
      <c r="CY84" s="193">
        <v>1.2</v>
      </c>
      <c r="CZ84" s="193">
        <v>1</v>
      </c>
      <c r="DA84" s="193">
        <v>0</v>
      </c>
      <c r="DB84" s="193">
        <v>0.8</v>
      </c>
      <c r="DC84" s="193">
        <v>1</v>
      </c>
      <c r="DD84" s="193">
        <v>1.2</v>
      </c>
      <c r="DE84" s="193">
        <v>1</v>
      </c>
      <c r="DF84" s="193">
        <v>0</v>
      </c>
      <c r="DG84" s="193">
        <v>0.8</v>
      </c>
      <c r="DH84" s="193">
        <v>1</v>
      </c>
      <c r="DI84" s="193">
        <v>1.2</v>
      </c>
      <c r="DJ84" s="193">
        <v>1</v>
      </c>
      <c r="DK84" s="193">
        <v>0</v>
      </c>
      <c r="DL84" s="193">
        <v>0.8</v>
      </c>
      <c r="DM84" s="193">
        <v>1</v>
      </c>
      <c r="DN84" s="193">
        <v>1.2</v>
      </c>
      <c r="DO84" s="193">
        <v>1</v>
      </c>
      <c r="DP84" s="193">
        <v>0</v>
      </c>
      <c r="DQ84" s="193">
        <v>0.8</v>
      </c>
      <c r="DR84" s="193">
        <v>1</v>
      </c>
      <c r="DS84" s="193">
        <v>1.2</v>
      </c>
      <c r="DT84" s="193">
        <v>1</v>
      </c>
      <c r="DU84" s="193">
        <v>0</v>
      </c>
      <c r="DV84" s="193">
        <v>0.8</v>
      </c>
      <c r="DW84" s="193">
        <v>1</v>
      </c>
      <c r="DX84" s="193">
        <v>1.2</v>
      </c>
      <c r="DY84" s="193">
        <v>1</v>
      </c>
      <c r="DZ84" s="193">
        <v>0</v>
      </c>
      <c r="EA84" s="193">
        <v>0.8</v>
      </c>
      <c r="EB84" s="193">
        <v>1</v>
      </c>
      <c r="EC84" s="193">
        <v>1.2</v>
      </c>
      <c r="ED84" s="193">
        <v>1</v>
      </c>
      <c r="EE84" s="193">
        <v>0</v>
      </c>
      <c r="EF84" s="193">
        <v>0.8</v>
      </c>
      <c r="EG84" s="193">
        <v>1</v>
      </c>
      <c r="EH84" s="193">
        <v>1.2</v>
      </c>
      <c r="EI84" s="193">
        <v>1</v>
      </c>
      <c r="EJ84" s="193">
        <v>0</v>
      </c>
      <c r="EK84" s="193">
        <v>0</v>
      </c>
      <c r="EL84" s="193">
        <v>0</v>
      </c>
      <c r="EM84" s="193">
        <v>0</v>
      </c>
      <c r="EN84" s="193">
        <v>1</v>
      </c>
      <c r="EO84" s="193">
        <v>0</v>
      </c>
      <c r="EP84" s="193">
        <v>0</v>
      </c>
      <c r="EQ84" s="193">
        <v>0</v>
      </c>
      <c r="ER84" s="193">
        <v>0</v>
      </c>
      <c r="ES84" s="193">
        <v>1</v>
      </c>
      <c r="ET84" s="193">
        <v>0</v>
      </c>
      <c r="EU84" s="193">
        <v>0</v>
      </c>
      <c r="EV84" s="193">
        <v>0</v>
      </c>
      <c r="EW84" s="193">
        <v>0</v>
      </c>
      <c r="EX84" s="193">
        <v>1</v>
      </c>
      <c r="EY84" s="193">
        <v>0</v>
      </c>
      <c r="EZ84" s="193">
        <v>0</v>
      </c>
      <c r="FA84" s="193">
        <v>0</v>
      </c>
      <c r="FB84" s="193">
        <v>0</v>
      </c>
      <c r="FC84" s="193">
        <v>1</v>
      </c>
      <c r="FD84" s="193">
        <v>0</v>
      </c>
      <c r="FE84" s="193">
        <v>0</v>
      </c>
      <c r="FF84" s="193">
        <v>0</v>
      </c>
      <c r="FG84" s="193">
        <v>0</v>
      </c>
      <c r="FH84" s="193">
        <v>1</v>
      </c>
      <c r="FI84" s="193">
        <v>0</v>
      </c>
      <c r="FJ84" s="193">
        <v>0</v>
      </c>
      <c r="FK84" s="193">
        <v>0</v>
      </c>
      <c r="FL84" s="193">
        <v>0</v>
      </c>
      <c r="FM84" s="193">
        <v>1</v>
      </c>
      <c r="FN84" s="193">
        <v>0</v>
      </c>
      <c r="FO84" s="193">
        <v>0</v>
      </c>
      <c r="FP84" s="193">
        <v>0</v>
      </c>
      <c r="FQ84" s="193">
        <v>0</v>
      </c>
      <c r="FR84" s="193">
        <v>1</v>
      </c>
      <c r="FS84" s="193">
        <v>0</v>
      </c>
      <c r="FT84" s="193">
        <v>0</v>
      </c>
      <c r="FU84" s="193">
        <v>0</v>
      </c>
      <c r="FV84" s="193">
        <v>0</v>
      </c>
      <c r="FW84" s="193">
        <v>1</v>
      </c>
      <c r="FX84" s="193">
        <v>0</v>
      </c>
      <c r="FY84" s="193">
        <v>0</v>
      </c>
      <c r="FZ84" s="193">
        <v>0</v>
      </c>
      <c r="GA84" s="193">
        <v>0</v>
      </c>
      <c r="GB84" s="193">
        <v>1</v>
      </c>
      <c r="GC84" s="193">
        <v>0</v>
      </c>
      <c r="GD84" s="193">
        <v>0</v>
      </c>
      <c r="GE84" s="193">
        <v>0</v>
      </c>
      <c r="GF84" s="193">
        <v>0</v>
      </c>
      <c r="GG84" s="193">
        <v>1</v>
      </c>
      <c r="GH84" s="193">
        <v>0</v>
      </c>
      <c r="GI84" s="193">
        <v>0</v>
      </c>
      <c r="GJ84" s="193">
        <v>0</v>
      </c>
      <c r="GK84" s="193">
        <v>0</v>
      </c>
      <c r="GL84" s="193">
        <v>1</v>
      </c>
      <c r="GM84" s="193">
        <v>0</v>
      </c>
      <c r="GN84" s="193">
        <v>0</v>
      </c>
      <c r="GO84" s="193">
        <v>0</v>
      </c>
      <c r="GP84" s="187">
        <v>0</v>
      </c>
      <c r="GQ84" s="193">
        <v>1</v>
      </c>
    </row>
    <row r="85" spans="1:199">
      <c r="B85" s="305" t="s">
        <v>1215</v>
      </c>
      <c r="C85" s="126" t="s">
        <v>303</v>
      </c>
      <c r="D85" s="126" t="s">
        <v>965</v>
      </c>
      <c r="E85" s="190">
        <v>0</v>
      </c>
      <c r="F85" s="193">
        <v>0</v>
      </c>
      <c r="G85" s="193">
        <v>0</v>
      </c>
      <c r="H85" s="193">
        <v>0</v>
      </c>
      <c r="I85" s="193">
        <v>1</v>
      </c>
      <c r="J85" s="193">
        <v>0</v>
      </c>
      <c r="K85" s="193">
        <v>0</v>
      </c>
      <c r="L85" s="193">
        <v>0</v>
      </c>
      <c r="M85" s="193">
        <v>0</v>
      </c>
      <c r="N85" s="193">
        <v>1</v>
      </c>
      <c r="O85" s="193">
        <v>0</v>
      </c>
      <c r="P85" s="193">
        <v>0</v>
      </c>
      <c r="Q85" s="193">
        <v>0</v>
      </c>
      <c r="R85" s="193">
        <v>0</v>
      </c>
      <c r="S85" s="193">
        <v>1</v>
      </c>
      <c r="T85" s="190">
        <v>0</v>
      </c>
      <c r="U85" s="193">
        <v>0</v>
      </c>
      <c r="V85" s="193">
        <v>0</v>
      </c>
      <c r="W85" s="193">
        <v>0</v>
      </c>
      <c r="X85" s="193">
        <v>1</v>
      </c>
      <c r="Y85" s="193">
        <v>0</v>
      </c>
      <c r="Z85" s="193">
        <v>0</v>
      </c>
      <c r="AA85" s="193">
        <v>0</v>
      </c>
      <c r="AB85" s="193">
        <v>0</v>
      </c>
      <c r="AC85" s="193">
        <v>1</v>
      </c>
      <c r="AD85" s="193">
        <v>0</v>
      </c>
      <c r="AE85" s="193">
        <v>0</v>
      </c>
      <c r="AF85" s="193">
        <v>0</v>
      </c>
      <c r="AG85" s="193">
        <v>0</v>
      </c>
      <c r="AH85" s="193">
        <v>1</v>
      </c>
      <c r="AI85" s="193">
        <v>0</v>
      </c>
      <c r="AJ85" s="193">
        <v>0.77</v>
      </c>
      <c r="AK85" s="193">
        <v>1</v>
      </c>
      <c r="AL85" s="193">
        <v>1.1499999999999999</v>
      </c>
      <c r="AM85" s="193">
        <v>1</v>
      </c>
      <c r="AN85" s="193">
        <v>0</v>
      </c>
      <c r="AO85" s="193">
        <v>0.77</v>
      </c>
      <c r="AP85" s="193">
        <v>1</v>
      </c>
      <c r="AQ85" s="193">
        <v>1.1499999999999999</v>
      </c>
      <c r="AR85" s="193">
        <v>1</v>
      </c>
      <c r="AS85" s="193">
        <v>0</v>
      </c>
      <c r="AT85" s="193">
        <v>0.77</v>
      </c>
      <c r="AU85" s="193">
        <v>1</v>
      </c>
      <c r="AV85" s="193">
        <v>1.1499999999999999</v>
      </c>
      <c r="AW85" s="193">
        <v>1</v>
      </c>
      <c r="AX85" s="193">
        <v>0</v>
      </c>
      <c r="AY85" s="193">
        <v>0.77</v>
      </c>
      <c r="AZ85" s="193">
        <v>1</v>
      </c>
      <c r="BA85" s="193">
        <v>1.18</v>
      </c>
      <c r="BB85" s="193">
        <v>1</v>
      </c>
      <c r="BC85" s="193">
        <v>0</v>
      </c>
      <c r="BD85" s="193">
        <v>0.77</v>
      </c>
      <c r="BE85" s="193">
        <v>1</v>
      </c>
      <c r="BF85" s="193">
        <v>1.18</v>
      </c>
      <c r="BG85" s="193">
        <v>1</v>
      </c>
      <c r="BH85" s="193">
        <v>0</v>
      </c>
      <c r="BI85" s="193">
        <v>0.77</v>
      </c>
      <c r="BJ85" s="193">
        <v>1</v>
      </c>
      <c r="BK85" s="193">
        <v>1.18</v>
      </c>
      <c r="BL85" s="193">
        <v>1</v>
      </c>
      <c r="BM85" s="193">
        <v>0</v>
      </c>
      <c r="BN85" s="193">
        <v>0.77</v>
      </c>
      <c r="BO85" s="193">
        <v>1</v>
      </c>
      <c r="BP85" s="193">
        <v>1.17</v>
      </c>
      <c r="BQ85" s="193">
        <v>1</v>
      </c>
      <c r="BR85" s="193">
        <v>0</v>
      </c>
      <c r="BS85" s="193">
        <v>0.77</v>
      </c>
      <c r="BT85" s="193">
        <v>1</v>
      </c>
      <c r="BU85" s="193">
        <v>1.17</v>
      </c>
      <c r="BV85" s="193">
        <v>1</v>
      </c>
      <c r="BW85" s="193">
        <v>0</v>
      </c>
      <c r="BX85" s="193">
        <v>0.77</v>
      </c>
      <c r="BY85" s="193">
        <v>1</v>
      </c>
      <c r="BZ85" s="193">
        <v>1.17</v>
      </c>
      <c r="CA85" s="193">
        <v>1</v>
      </c>
      <c r="CB85" s="193">
        <v>0</v>
      </c>
      <c r="CC85" s="193">
        <v>0.78</v>
      </c>
      <c r="CD85" s="193">
        <v>1</v>
      </c>
      <c r="CE85" s="193">
        <v>1.17</v>
      </c>
      <c r="CF85" s="193">
        <v>1</v>
      </c>
      <c r="CG85" s="193">
        <v>0</v>
      </c>
      <c r="CH85" s="193">
        <v>0.78</v>
      </c>
      <c r="CI85" s="193">
        <v>1</v>
      </c>
      <c r="CJ85" s="193">
        <v>1.17</v>
      </c>
      <c r="CK85" s="193">
        <v>1</v>
      </c>
      <c r="CL85" s="193">
        <v>0</v>
      </c>
      <c r="CM85" s="193">
        <v>0.78</v>
      </c>
      <c r="CN85" s="193">
        <v>1</v>
      </c>
      <c r="CO85" s="193">
        <v>1.17</v>
      </c>
      <c r="CP85" s="193">
        <v>1</v>
      </c>
      <c r="CQ85" s="193">
        <v>0</v>
      </c>
      <c r="CR85" s="193">
        <v>0.8</v>
      </c>
      <c r="CS85" s="193">
        <v>1</v>
      </c>
      <c r="CT85" s="193">
        <v>1.2</v>
      </c>
      <c r="CU85" s="193">
        <v>1</v>
      </c>
      <c r="CV85" s="193">
        <v>0</v>
      </c>
      <c r="CW85" s="193">
        <v>0.8</v>
      </c>
      <c r="CX85" s="193">
        <v>1</v>
      </c>
      <c r="CY85" s="193">
        <v>1.2</v>
      </c>
      <c r="CZ85" s="193">
        <v>1</v>
      </c>
      <c r="DA85" s="193">
        <v>0</v>
      </c>
      <c r="DB85" s="193">
        <v>0.8</v>
      </c>
      <c r="DC85" s="193">
        <v>1</v>
      </c>
      <c r="DD85" s="193">
        <v>1.2</v>
      </c>
      <c r="DE85" s="193">
        <v>1</v>
      </c>
      <c r="DF85" s="193">
        <v>0</v>
      </c>
      <c r="DG85" s="193">
        <v>0.8</v>
      </c>
      <c r="DH85" s="193">
        <v>1</v>
      </c>
      <c r="DI85" s="193">
        <v>1.2</v>
      </c>
      <c r="DJ85" s="193">
        <v>1</v>
      </c>
      <c r="DK85" s="193">
        <v>0</v>
      </c>
      <c r="DL85" s="193">
        <v>0.8</v>
      </c>
      <c r="DM85" s="193">
        <v>1</v>
      </c>
      <c r="DN85" s="193">
        <v>1.2</v>
      </c>
      <c r="DO85" s="193">
        <v>1</v>
      </c>
      <c r="DP85" s="193">
        <v>0</v>
      </c>
      <c r="DQ85" s="193">
        <v>0.8</v>
      </c>
      <c r="DR85" s="193">
        <v>1</v>
      </c>
      <c r="DS85" s="193">
        <v>1.2</v>
      </c>
      <c r="DT85" s="193">
        <v>1</v>
      </c>
      <c r="DU85" s="193">
        <v>0</v>
      </c>
      <c r="DV85" s="193">
        <v>0.8</v>
      </c>
      <c r="DW85" s="193">
        <v>1</v>
      </c>
      <c r="DX85" s="193">
        <v>1.2</v>
      </c>
      <c r="DY85" s="193">
        <v>1</v>
      </c>
      <c r="DZ85" s="193">
        <v>0</v>
      </c>
      <c r="EA85" s="193">
        <v>0.8</v>
      </c>
      <c r="EB85" s="193">
        <v>1</v>
      </c>
      <c r="EC85" s="193">
        <v>1.2</v>
      </c>
      <c r="ED85" s="193">
        <v>1</v>
      </c>
      <c r="EE85" s="193">
        <v>0</v>
      </c>
      <c r="EF85" s="193">
        <v>0.8</v>
      </c>
      <c r="EG85" s="193">
        <v>1</v>
      </c>
      <c r="EH85" s="193">
        <v>1.2</v>
      </c>
      <c r="EI85" s="193">
        <v>1</v>
      </c>
      <c r="EJ85" s="193">
        <v>0</v>
      </c>
      <c r="EK85" s="193">
        <v>0</v>
      </c>
      <c r="EL85" s="193">
        <v>0</v>
      </c>
      <c r="EM85" s="193">
        <v>0</v>
      </c>
      <c r="EN85" s="193">
        <v>1</v>
      </c>
      <c r="EO85" s="193">
        <v>0</v>
      </c>
      <c r="EP85" s="193">
        <v>0</v>
      </c>
      <c r="EQ85" s="193">
        <v>0</v>
      </c>
      <c r="ER85" s="193">
        <v>0</v>
      </c>
      <c r="ES85" s="193">
        <v>1</v>
      </c>
      <c r="ET85" s="193">
        <v>0</v>
      </c>
      <c r="EU85" s="193">
        <v>0</v>
      </c>
      <c r="EV85" s="193">
        <v>0</v>
      </c>
      <c r="EW85" s="193">
        <v>0</v>
      </c>
      <c r="EX85" s="193">
        <v>1</v>
      </c>
      <c r="EY85" s="193">
        <v>0</v>
      </c>
      <c r="EZ85" s="193">
        <v>0</v>
      </c>
      <c r="FA85" s="193">
        <v>0</v>
      </c>
      <c r="FB85" s="193">
        <v>0</v>
      </c>
      <c r="FC85" s="193">
        <v>1</v>
      </c>
      <c r="FD85" s="193">
        <v>0</v>
      </c>
      <c r="FE85" s="193">
        <v>0</v>
      </c>
      <c r="FF85" s="193">
        <v>0</v>
      </c>
      <c r="FG85" s="193">
        <v>0</v>
      </c>
      <c r="FH85" s="193">
        <v>1</v>
      </c>
      <c r="FI85" s="193">
        <v>0</v>
      </c>
      <c r="FJ85" s="193">
        <v>0</v>
      </c>
      <c r="FK85" s="193">
        <v>0</v>
      </c>
      <c r="FL85" s="193">
        <v>0</v>
      </c>
      <c r="FM85" s="193">
        <v>1</v>
      </c>
      <c r="FN85" s="193">
        <v>0</v>
      </c>
      <c r="FO85" s="193">
        <v>0</v>
      </c>
      <c r="FP85" s="193">
        <v>0</v>
      </c>
      <c r="FQ85" s="193">
        <v>0</v>
      </c>
      <c r="FR85" s="193">
        <v>1</v>
      </c>
      <c r="FS85" s="193">
        <v>0</v>
      </c>
      <c r="FT85" s="193">
        <v>0</v>
      </c>
      <c r="FU85" s="193">
        <v>0</v>
      </c>
      <c r="FV85" s="193">
        <v>0</v>
      </c>
      <c r="FW85" s="193">
        <v>1</v>
      </c>
      <c r="FX85" s="193">
        <v>0</v>
      </c>
      <c r="FY85" s="193">
        <v>0</v>
      </c>
      <c r="FZ85" s="193">
        <v>0</v>
      </c>
      <c r="GA85" s="193">
        <v>0</v>
      </c>
      <c r="GB85" s="193">
        <v>1</v>
      </c>
      <c r="GC85" s="193">
        <v>0</v>
      </c>
      <c r="GD85" s="193">
        <v>0</v>
      </c>
      <c r="GE85" s="193">
        <v>0</v>
      </c>
      <c r="GF85" s="193">
        <v>0</v>
      </c>
      <c r="GG85" s="193">
        <v>1</v>
      </c>
      <c r="GH85" s="193">
        <v>0</v>
      </c>
      <c r="GI85" s="193">
        <v>0</v>
      </c>
      <c r="GJ85" s="193">
        <v>0</v>
      </c>
      <c r="GK85" s="193">
        <v>0</v>
      </c>
      <c r="GL85" s="193">
        <v>1</v>
      </c>
      <c r="GM85" s="193">
        <v>0</v>
      </c>
      <c r="GN85" s="193">
        <v>0</v>
      </c>
      <c r="GO85" s="193">
        <v>0</v>
      </c>
      <c r="GP85" s="187">
        <v>0</v>
      </c>
      <c r="GQ85" s="193">
        <v>1</v>
      </c>
    </row>
    <row r="86" spans="1:199">
      <c r="B86" s="305" t="s">
        <v>1218</v>
      </c>
      <c r="C86" s="126" t="s">
        <v>1243</v>
      </c>
      <c r="D86" s="185" t="s">
        <v>231</v>
      </c>
      <c r="E86" s="190">
        <v>0</v>
      </c>
      <c r="F86" s="193">
        <v>0</v>
      </c>
      <c r="G86" s="193">
        <v>0</v>
      </c>
      <c r="H86" s="193">
        <v>0</v>
      </c>
      <c r="I86" s="193">
        <v>1</v>
      </c>
      <c r="J86" s="193">
        <v>0</v>
      </c>
      <c r="K86" s="193">
        <v>0</v>
      </c>
      <c r="L86" s="193">
        <v>0</v>
      </c>
      <c r="M86" s="193">
        <v>0</v>
      </c>
      <c r="N86" s="193">
        <v>1</v>
      </c>
      <c r="O86" s="193">
        <v>0</v>
      </c>
      <c r="P86" s="193">
        <v>0</v>
      </c>
      <c r="Q86" s="193">
        <v>0</v>
      </c>
      <c r="R86" s="193">
        <v>0</v>
      </c>
      <c r="S86" s="193">
        <v>1</v>
      </c>
      <c r="T86" s="190">
        <v>0</v>
      </c>
      <c r="U86" s="193">
        <v>0</v>
      </c>
      <c r="V86" s="193">
        <v>0</v>
      </c>
      <c r="W86" s="193">
        <v>0</v>
      </c>
      <c r="X86" s="193">
        <v>1</v>
      </c>
      <c r="Y86" s="193">
        <v>0</v>
      </c>
      <c r="Z86" s="193">
        <v>0</v>
      </c>
      <c r="AA86" s="193">
        <v>0</v>
      </c>
      <c r="AB86" s="193">
        <v>0</v>
      </c>
      <c r="AC86" s="193">
        <v>1</v>
      </c>
      <c r="AD86" s="193">
        <v>0</v>
      </c>
      <c r="AE86" s="193">
        <v>0</v>
      </c>
      <c r="AF86" s="193">
        <v>0</v>
      </c>
      <c r="AG86" s="193">
        <v>0</v>
      </c>
      <c r="AH86" s="193">
        <v>1</v>
      </c>
      <c r="AI86" s="193">
        <v>0</v>
      </c>
      <c r="AJ86" s="193">
        <v>0.63</v>
      </c>
      <c r="AK86" s="193">
        <v>1</v>
      </c>
      <c r="AL86" s="193">
        <v>1.93</v>
      </c>
      <c r="AM86" s="193">
        <v>1</v>
      </c>
      <c r="AN86" s="193">
        <v>0</v>
      </c>
      <c r="AO86" s="193">
        <v>0</v>
      </c>
      <c r="AP86" s="193">
        <v>1</v>
      </c>
      <c r="AQ86" s="193">
        <v>1.93</v>
      </c>
      <c r="AR86" s="193">
        <v>1</v>
      </c>
      <c r="AS86" s="193">
        <v>0</v>
      </c>
      <c r="AT86" s="193">
        <v>0.63</v>
      </c>
      <c r="AU86" s="193">
        <v>1</v>
      </c>
      <c r="AV86" s="193">
        <v>1.93</v>
      </c>
      <c r="AW86" s="193">
        <v>1</v>
      </c>
      <c r="AX86" s="193">
        <v>0</v>
      </c>
      <c r="AY86" s="193">
        <v>0.55000000000000004</v>
      </c>
      <c r="AZ86" s="193">
        <v>1</v>
      </c>
      <c r="BA86" s="193">
        <v>2.17</v>
      </c>
      <c r="BB86" s="193">
        <v>1</v>
      </c>
      <c r="BC86" s="193">
        <v>0</v>
      </c>
      <c r="BD86" s="193">
        <v>0</v>
      </c>
      <c r="BE86" s="193">
        <v>1</v>
      </c>
      <c r="BF86" s="193">
        <v>2.17</v>
      </c>
      <c r="BG86" s="193">
        <v>1</v>
      </c>
      <c r="BH86" s="193">
        <v>0</v>
      </c>
      <c r="BI86" s="193">
        <v>0.55000000000000004</v>
      </c>
      <c r="BJ86" s="193">
        <v>1</v>
      </c>
      <c r="BK86" s="193">
        <v>2.17</v>
      </c>
      <c r="BL86" s="193">
        <v>1</v>
      </c>
      <c r="BM86" s="193">
        <v>0</v>
      </c>
      <c r="BN86" s="193">
        <v>0.71</v>
      </c>
      <c r="BO86" s="193">
        <v>1</v>
      </c>
      <c r="BP86" s="193">
        <v>3.01</v>
      </c>
      <c r="BQ86" s="193">
        <v>1</v>
      </c>
      <c r="BR86" s="193">
        <v>0</v>
      </c>
      <c r="BS86" s="193">
        <v>0</v>
      </c>
      <c r="BT86" s="193">
        <v>1</v>
      </c>
      <c r="BU86" s="193">
        <v>3.01</v>
      </c>
      <c r="BV86" s="193">
        <v>1</v>
      </c>
      <c r="BW86" s="193">
        <v>0</v>
      </c>
      <c r="BX86" s="193">
        <v>0.71</v>
      </c>
      <c r="BY86" s="193">
        <v>1</v>
      </c>
      <c r="BZ86" s="193">
        <v>3.01</v>
      </c>
      <c r="CA86" s="193">
        <v>1</v>
      </c>
      <c r="CB86" s="193">
        <v>0</v>
      </c>
      <c r="CC86" s="193">
        <v>0.74</v>
      </c>
      <c r="CD86" s="193">
        <v>1</v>
      </c>
      <c r="CE86" s="193">
        <v>3.29</v>
      </c>
      <c r="CF86" s="193">
        <v>1</v>
      </c>
      <c r="CG86" s="193">
        <v>0</v>
      </c>
      <c r="CH86" s="193">
        <v>0</v>
      </c>
      <c r="CI86" s="193">
        <v>1</v>
      </c>
      <c r="CJ86" s="193">
        <v>3.29</v>
      </c>
      <c r="CK86" s="193">
        <v>1</v>
      </c>
      <c r="CL86" s="193">
        <v>0</v>
      </c>
      <c r="CM86" s="193">
        <v>0.74</v>
      </c>
      <c r="CN86" s="193">
        <v>1</v>
      </c>
      <c r="CO86" s="193">
        <v>3.29</v>
      </c>
      <c r="CP86" s="193">
        <v>1</v>
      </c>
      <c r="CQ86" s="193">
        <v>0</v>
      </c>
      <c r="CR86" s="193">
        <v>0.56000000000000005</v>
      </c>
      <c r="CS86" s="193">
        <v>1</v>
      </c>
      <c r="CT86" s="193">
        <v>3.7</v>
      </c>
      <c r="CU86" s="193">
        <v>1</v>
      </c>
      <c r="CV86" s="193">
        <v>0</v>
      </c>
      <c r="CW86" s="193">
        <v>0</v>
      </c>
      <c r="CX86" s="193">
        <v>1</v>
      </c>
      <c r="CY86" s="193">
        <v>3.7</v>
      </c>
      <c r="CZ86" s="193">
        <v>1</v>
      </c>
      <c r="DA86" s="193">
        <v>0</v>
      </c>
      <c r="DB86" s="193">
        <v>0.56000000000000005</v>
      </c>
      <c r="DC86" s="193">
        <v>1</v>
      </c>
      <c r="DD86" s="193">
        <v>3.7</v>
      </c>
      <c r="DE86" s="193">
        <v>1</v>
      </c>
      <c r="DF86" s="193">
        <v>0</v>
      </c>
      <c r="DG86" s="193">
        <v>0.5</v>
      </c>
      <c r="DH86" s="193">
        <v>1</v>
      </c>
      <c r="DI86" s="193">
        <v>4.08</v>
      </c>
      <c r="DJ86" s="193">
        <v>1</v>
      </c>
      <c r="DK86" s="193">
        <v>0</v>
      </c>
      <c r="DL86" s="193">
        <v>0</v>
      </c>
      <c r="DM86" s="193">
        <v>1</v>
      </c>
      <c r="DN86" s="193">
        <v>4.08</v>
      </c>
      <c r="DO86" s="193">
        <v>1</v>
      </c>
      <c r="DP86" s="193">
        <v>0</v>
      </c>
      <c r="DQ86" s="193">
        <v>0.5</v>
      </c>
      <c r="DR86" s="193">
        <v>1</v>
      </c>
      <c r="DS86" s="193">
        <v>4.08</v>
      </c>
      <c r="DT86" s="193">
        <v>1</v>
      </c>
      <c r="DU86" s="193">
        <v>0</v>
      </c>
      <c r="DV86" s="193">
        <v>0.5</v>
      </c>
      <c r="DW86" s="193">
        <v>1</v>
      </c>
      <c r="DX86" s="193">
        <v>4.08</v>
      </c>
      <c r="DY86" s="193">
        <v>1</v>
      </c>
      <c r="DZ86" s="193">
        <v>0</v>
      </c>
      <c r="EA86" s="193">
        <v>0</v>
      </c>
      <c r="EB86" s="193">
        <v>1</v>
      </c>
      <c r="EC86" s="193">
        <v>4.08</v>
      </c>
      <c r="ED86" s="193">
        <v>1</v>
      </c>
      <c r="EE86" s="193">
        <v>0</v>
      </c>
      <c r="EF86" s="193">
        <v>0.5</v>
      </c>
      <c r="EG86" s="193">
        <v>1</v>
      </c>
      <c r="EH86" s="193">
        <v>4.08</v>
      </c>
      <c r="EI86" s="193">
        <v>1</v>
      </c>
      <c r="EJ86" s="193">
        <v>0</v>
      </c>
      <c r="EK86" s="193">
        <v>0</v>
      </c>
      <c r="EL86" s="193">
        <v>0</v>
      </c>
      <c r="EM86" s="193">
        <v>0</v>
      </c>
      <c r="EN86" s="193">
        <v>1</v>
      </c>
      <c r="EO86" s="193">
        <v>0</v>
      </c>
      <c r="EP86" s="193">
        <v>0</v>
      </c>
      <c r="EQ86" s="193">
        <v>0</v>
      </c>
      <c r="ER86" s="193">
        <v>0</v>
      </c>
      <c r="ES86" s="193">
        <v>1</v>
      </c>
      <c r="ET86" s="193">
        <v>0</v>
      </c>
      <c r="EU86" s="193">
        <v>0</v>
      </c>
      <c r="EV86" s="193">
        <v>0</v>
      </c>
      <c r="EW86" s="193">
        <v>0</v>
      </c>
      <c r="EX86" s="193">
        <v>1</v>
      </c>
      <c r="EY86" s="193">
        <v>0</v>
      </c>
      <c r="EZ86" s="193">
        <v>0</v>
      </c>
      <c r="FA86" s="193">
        <v>0</v>
      </c>
      <c r="FB86" s="193">
        <v>0</v>
      </c>
      <c r="FC86" s="193">
        <v>1</v>
      </c>
      <c r="FD86" s="193">
        <v>0</v>
      </c>
      <c r="FE86" s="193">
        <v>0</v>
      </c>
      <c r="FF86" s="193">
        <v>0</v>
      </c>
      <c r="FG86" s="193">
        <v>0</v>
      </c>
      <c r="FH86" s="193">
        <v>1</v>
      </c>
      <c r="FI86" s="193">
        <v>0</v>
      </c>
      <c r="FJ86" s="193">
        <v>0</v>
      </c>
      <c r="FK86" s="193">
        <v>0</v>
      </c>
      <c r="FL86" s="193">
        <v>0</v>
      </c>
      <c r="FM86" s="193">
        <v>1</v>
      </c>
      <c r="FN86" s="193">
        <v>0</v>
      </c>
      <c r="FO86" s="193">
        <v>0</v>
      </c>
      <c r="FP86" s="193">
        <v>0</v>
      </c>
      <c r="FQ86" s="193">
        <v>0</v>
      </c>
      <c r="FR86" s="193">
        <v>1</v>
      </c>
      <c r="FS86" s="193">
        <v>0</v>
      </c>
      <c r="FT86" s="193">
        <v>0</v>
      </c>
      <c r="FU86" s="193">
        <v>0</v>
      </c>
      <c r="FV86" s="193">
        <v>0</v>
      </c>
      <c r="FW86" s="193">
        <v>1</v>
      </c>
      <c r="FX86" s="193">
        <v>0</v>
      </c>
      <c r="FY86" s="193">
        <v>0</v>
      </c>
      <c r="FZ86" s="193">
        <v>0</v>
      </c>
      <c r="GA86" s="193">
        <v>0</v>
      </c>
      <c r="GB86" s="193">
        <v>1</v>
      </c>
      <c r="GC86" s="193">
        <v>0</v>
      </c>
      <c r="GD86" s="193">
        <v>0</v>
      </c>
      <c r="GE86" s="193">
        <v>0</v>
      </c>
      <c r="GF86" s="193">
        <v>0</v>
      </c>
      <c r="GG86" s="193">
        <v>1</v>
      </c>
      <c r="GH86" s="193">
        <v>0</v>
      </c>
      <c r="GI86" s="193">
        <v>0</v>
      </c>
      <c r="GJ86" s="193">
        <v>0</v>
      </c>
      <c r="GK86" s="193">
        <v>0</v>
      </c>
      <c r="GL86" s="193">
        <v>1</v>
      </c>
      <c r="GM86" s="193">
        <v>0</v>
      </c>
      <c r="GN86" s="193">
        <v>0</v>
      </c>
      <c r="GO86" s="193">
        <v>0</v>
      </c>
      <c r="GP86" s="187">
        <v>0</v>
      </c>
      <c r="GQ86" s="193">
        <v>1</v>
      </c>
    </row>
    <row r="87" spans="1:199">
      <c r="B87" s="305" t="s">
        <v>1215</v>
      </c>
      <c r="C87" s="126" t="s">
        <v>303</v>
      </c>
      <c r="D87" s="126" t="s">
        <v>966</v>
      </c>
      <c r="E87" s="190">
        <v>0</v>
      </c>
      <c r="F87" s="193">
        <v>0</v>
      </c>
      <c r="G87" s="193">
        <v>0</v>
      </c>
      <c r="H87" s="193">
        <v>0</v>
      </c>
      <c r="I87" s="193">
        <v>1</v>
      </c>
      <c r="J87" s="193">
        <v>0</v>
      </c>
      <c r="K87" s="193">
        <v>0</v>
      </c>
      <c r="L87" s="193">
        <v>0</v>
      </c>
      <c r="M87" s="193">
        <v>0</v>
      </c>
      <c r="N87" s="193">
        <v>1</v>
      </c>
      <c r="O87" s="193">
        <v>0</v>
      </c>
      <c r="P87" s="193">
        <v>0</v>
      </c>
      <c r="Q87" s="193">
        <v>0</v>
      </c>
      <c r="R87" s="193">
        <v>0</v>
      </c>
      <c r="S87" s="193">
        <v>1</v>
      </c>
      <c r="T87" s="190">
        <v>0</v>
      </c>
      <c r="U87" s="193">
        <v>0</v>
      </c>
      <c r="V87" s="193">
        <v>0</v>
      </c>
      <c r="W87" s="193">
        <v>0</v>
      </c>
      <c r="X87" s="193">
        <v>1</v>
      </c>
      <c r="Y87" s="193">
        <v>0</v>
      </c>
      <c r="Z87" s="193">
        <v>0</v>
      </c>
      <c r="AA87" s="193">
        <v>0</v>
      </c>
      <c r="AB87" s="193">
        <v>0</v>
      </c>
      <c r="AC87" s="193">
        <v>1</v>
      </c>
      <c r="AD87" s="193">
        <v>0</v>
      </c>
      <c r="AE87" s="193">
        <v>0</v>
      </c>
      <c r="AF87" s="193">
        <v>0</v>
      </c>
      <c r="AG87" s="193">
        <v>0</v>
      </c>
      <c r="AH87" s="193">
        <v>1</v>
      </c>
      <c r="AI87" s="193">
        <v>0</v>
      </c>
      <c r="AJ87" s="193">
        <v>0.75</v>
      </c>
      <c r="AK87" s="193">
        <v>1</v>
      </c>
      <c r="AL87" s="193">
        <v>1.5</v>
      </c>
      <c r="AM87" s="193">
        <v>1</v>
      </c>
      <c r="AN87" s="193">
        <v>0</v>
      </c>
      <c r="AO87" s="193">
        <v>0.75</v>
      </c>
      <c r="AP87" s="193">
        <v>1</v>
      </c>
      <c r="AQ87" s="193">
        <v>1.5</v>
      </c>
      <c r="AR87" s="193">
        <v>1</v>
      </c>
      <c r="AS87" s="193">
        <v>0</v>
      </c>
      <c r="AT87" s="193">
        <v>0.75</v>
      </c>
      <c r="AU87" s="193">
        <v>1</v>
      </c>
      <c r="AV87" s="193">
        <v>1.5</v>
      </c>
      <c r="AW87" s="193">
        <v>1</v>
      </c>
      <c r="AX87" s="193">
        <v>0</v>
      </c>
      <c r="AY87" s="193">
        <v>0.78</v>
      </c>
      <c r="AZ87" s="193">
        <v>1</v>
      </c>
      <c r="BA87" s="193">
        <v>1.34</v>
      </c>
      <c r="BB87" s="193">
        <v>1</v>
      </c>
      <c r="BC87" s="193">
        <v>0</v>
      </c>
      <c r="BD87" s="193">
        <v>0.78</v>
      </c>
      <c r="BE87" s="193">
        <v>1</v>
      </c>
      <c r="BF87" s="193">
        <v>1.34</v>
      </c>
      <c r="BG87" s="193">
        <v>1</v>
      </c>
      <c r="BH87" s="193">
        <v>0</v>
      </c>
      <c r="BI87" s="193">
        <v>0.78</v>
      </c>
      <c r="BJ87" s="193">
        <v>1</v>
      </c>
      <c r="BK87" s="193">
        <v>1.34</v>
      </c>
      <c r="BL87" s="193">
        <v>1</v>
      </c>
      <c r="BM87" s="193">
        <v>0</v>
      </c>
      <c r="BN87" s="193">
        <v>0.8</v>
      </c>
      <c r="BO87" s="193">
        <v>1</v>
      </c>
      <c r="BP87" s="193">
        <v>1.2</v>
      </c>
      <c r="BQ87" s="193">
        <v>1</v>
      </c>
      <c r="BR87" s="193">
        <v>0</v>
      </c>
      <c r="BS87" s="193">
        <v>0.8</v>
      </c>
      <c r="BT87" s="193">
        <v>1</v>
      </c>
      <c r="BU87" s="193">
        <v>1.2</v>
      </c>
      <c r="BV87" s="193">
        <v>1</v>
      </c>
      <c r="BW87" s="193">
        <v>0</v>
      </c>
      <c r="BX87" s="193">
        <v>0.8</v>
      </c>
      <c r="BY87" s="193">
        <v>1</v>
      </c>
      <c r="BZ87" s="193">
        <v>1.2</v>
      </c>
      <c r="CA87" s="193">
        <v>1</v>
      </c>
      <c r="CB87" s="193">
        <v>0</v>
      </c>
      <c r="CC87" s="193">
        <v>0.62</v>
      </c>
      <c r="CD87" s="193">
        <v>1</v>
      </c>
      <c r="CE87" s="193">
        <v>1.38</v>
      </c>
      <c r="CF87" s="193">
        <v>1</v>
      </c>
      <c r="CG87" s="193">
        <v>0</v>
      </c>
      <c r="CH87" s="193">
        <v>0.62</v>
      </c>
      <c r="CI87" s="193">
        <v>1</v>
      </c>
      <c r="CJ87" s="193">
        <v>1.38</v>
      </c>
      <c r="CK87" s="193">
        <v>1</v>
      </c>
      <c r="CL87" s="193">
        <v>0</v>
      </c>
      <c r="CM87" s="193">
        <v>0.62</v>
      </c>
      <c r="CN87" s="193">
        <v>1</v>
      </c>
      <c r="CO87" s="193">
        <v>1.38</v>
      </c>
      <c r="CP87" s="193">
        <v>1</v>
      </c>
      <c r="CQ87" s="193">
        <v>0</v>
      </c>
      <c r="CR87" s="193">
        <v>0.55000000000000004</v>
      </c>
      <c r="CS87" s="193">
        <v>1</v>
      </c>
      <c r="CT87" s="193">
        <v>1.45</v>
      </c>
      <c r="CU87" s="193">
        <v>1</v>
      </c>
      <c r="CV87" s="193">
        <v>0</v>
      </c>
      <c r="CW87" s="193">
        <v>0.55000000000000004</v>
      </c>
      <c r="CX87" s="193">
        <v>1</v>
      </c>
      <c r="CY87" s="193">
        <v>1.45</v>
      </c>
      <c r="CZ87" s="193">
        <v>1</v>
      </c>
      <c r="DA87" s="193">
        <v>0</v>
      </c>
      <c r="DB87" s="193">
        <v>0.55000000000000004</v>
      </c>
      <c r="DC87" s="193">
        <v>1</v>
      </c>
      <c r="DD87" s="193">
        <v>1.45</v>
      </c>
      <c r="DE87" s="193">
        <v>1</v>
      </c>
      <c r="DF87" s="193">
        <v>0</v>
      </c>
      <c r="DG87" s="193">
        <v>0.53</v>
      </c>
      <c r="DH87" s="193">
        <v>1</v>
      </c>
      <c r="DI87" s="193">
        <v>1.47</v>
      </c>
      <c r="DJ87" s="193">
        <v>1</v>
      </c>
      <c r="DK87" s="193">
        <v>0</v>
      </c>
      <c r="DL87" s="193">
        <v>0.53</v>
      </c>
      <c r="DM87" s="193">
        <v>1</v>
      </c>
      <c r="DN87" s="193">
        <v>1.47</v>
      </c>
      <c r="DO87" s="193">
        <v>1</v>
      </c>
      <c r="DP87" s="193">
        <v>0</v>
      </c>
      <c r="DQ87" s="193">
        <v>0.53</v>
      </c>
      <c r="DR87" s="193">
        <v>1</v>
      </c>
      <c r="DS87" s="193">
        <v>1.47</v>
      </c>
      <c r="DT87" s="193">
        <v>1</v>
      </c>
      <c r="DU87" s="193">
        <v>0</v>
      </c>
      <c r="DV87" s="193">
        <v>0.53</v>
      </c>
      <c r="DW87" s="193">
        <v>1</v>
      </c>
      <c r="DX87" s="193">
        <v>1.47</v>
      </c>
      <c r="DY87" s="193">
        <v>1</v>
      </c>
      <c r="DZ87" s="193">
        <v>0</v>
      </c>
      <c r="EA87" s="193">
        <v>0.53</v>
      </c>
      <c r="EB87" s="193">
        <v>1</v>
      </c>
      <c r="EC87" s="193">
        <v>1.47</v>
      </c>
      <c r="ED87" s="193">
        <v>1</v>
      </c>
      <c r="EE87" s="193">
        <v>0</v>
      </c>
      <c r="EF87" s="193">
        <v>0.53</v>
      </c>
      <c r="EG87" s="193">
        <v>1</v>
      </c>
      <c r="EH87" s="193">
        <v>1.47</v>
      </c>
      <c r="EI87" s="193">
        <v>1</v>
      </c>
      <c r="EJ87" s="193">
        <v>0</v>
      </c>
      <c r="EK87" s="193">
        <v>0</v>
      </c>
      <c r="EL87" s="193">
        <v>0</v>
      </c>
      <c r="EM87" s="193">
        <v>0</v>
      </c>
      <c r="EN87" s="193">
        <v>1</v>
      </c>
      <c r="EO87" s="193">
        <v>0</v>
      </c>
      <c r="EP87" s="193">
        <v>0</v>
      </c>
      <c r="EQ87" s="193">
        <v>0</v>
      </c>
      <c r="ER87" s="193">
        <v>0</v>
      </c>
      <c r="ES87" s="193">
        <v>1</v>
      </c>
      <c r="ET87" s="193">
        <v>0</v>
      </c>
      <c r="EU87" s="193">
        <v>0</v>
      </c>
      <c r="EV87" s="193">
        <v>0</v>
      </c>
      <c r="EW87" s="193">
        <v>0</v>
      </c>
      <c r="EX87" s="193">
        <v>1</v>
      </c>
      <c r="EY87" s="193">
        <v>0</v>
      </c>
      <c r="EZ87" s="193">
        <v>0</v>
      </c>
      <c r="FA87" s="193">
        <v>0</v>
      </c>
      <c r="FB87" s="193">
        <v>0</v>
      </c>
      <c r="FC87" s="193">
        <v>1</v>
      </c>
      <c r="FD87" s="193">
        <v>0</v>
      </c>
      <c r="FE87" s="193">
        <v>0</v>
      </c>
      <c r="FF87" s="193">
        <v>0</v>
      </c>
      <c r="FG87" s="193">
        <v>0</v>
      </c>
      <c r="FH87" s="193">
        <v>1</v>
      </c>
      <c r="FI87" s="193">
        <v>0</v>
      </c>
      <c r="FJ87" s="193">
        <v>0</v>
      </c>
      <c r="FK87" s="193">
        <v>0</v>
      </c>
      <c r="FL87" s="193">
        <v>0</v>
      </c>
      <c r="FM87" s="193">
        <v>1</v>
      </c>
      <c r="FN87" s="193">
        <v>0</v>
      </c>
      <c r="FO87" s="193">
        <v>0</v>
      </c>
      <c r="FP87" s="193">
        <v>0</v>
      </c>
      <c r="FQ87" s="193">
        <v>0</v>
      </c>
      <c r="FR87" s="193">
        <v>1</v>
      </c>
      <c r="FS87" s="193">
        <v>0</v>
      </c>
      <c r="FT87" s="193">
        <v>0</v>
      </c>
      <c r="FU87" s="193">
        <v>0</v>
      </c>
      <c r="FV87" s="193">
        <v>0</v>
      </c>
      <c r="FW87" s="193">
        <v>1</v>
      </c>
      <c r="FX87" s="193">
        <v>0</v>
      </c>
      <c r="FY87" s="193">
        <v>0</v>
      </c>
      <c r="FZ87" s="193">
        <v>0</v>
      </c>
      <c r="GA87" s="193">
        <v>0</v>
      </c>
      <c r="GB87" s="193">
        <v>1</v>
      </c>
      <c r="GC87" s="193">
        <v>0</v>
      </c>
      <c r="GD87" s="193">
        <v>0</v>
      </c>
      <c r="GE87" s="193">
        <v>0</v>
      </c>
      <c r="GF87" s="193">
        <v>0</v>
      </c>
      <c r="GG87" s="193">
        <v>1</v>
      </c>
      <c r="GH87" s="193">
        <v>0</v>
      </c>
      <c r="GI87" s="193">
        <v>0</v>
      </c>
      <c r="GJ87" s="193">
        <v>0</v>
      </c>
      <c r="GK87" s="193">
        <v>0</v>
      </c>
      <c r="GL87" s="193">
        <v>1</v>
      </c>
      <c r="GM87" s="193">
        <v>0</v>
      </c>
      <c r="GN87" s="193">
        <v>0</v>
      </c>
      <c r="GO87" s="193">
        <v>0</v>
      </c>
      <c r="GP87" s="187">
        <v>0</v>
      </c>
      <c r="GQ87" s="193">
        <v>1</v>
      </c>
    </row>
    <row r="88" spans="1:199">
      <c r="B88" s="305" t="s">
        <v>1244</v>
      </c>
      <c r="C88" s="126" t="s">
        <v>1245</v>
      </c>
      <c r="D88" s="134" t="s">
        <v>1341</v>
      </c>
      <c r="E88" s="190">
        <v>0</v>
      </c>
      <c r="F88" s="193">
        <v>0</v>
      </c>
      <c r="G88" s="193">
        <v>0</v>
      </c>
      <c r="H88" s="193">
        <v>0</v>
      </c>
      <c r="I88" s="193">
        <v>1</v>
      </c>
      <c r="J88" s="193">
        <v>0</v>
      </c>
      <c r="K88" s="193">
        <v>0</v>
      </c>
      <c r="L88" s="193">
        <v>0</v>
      </c>
      <c r="M88" s="193">
        <v>0</v>
      </c>
      <c r="N88" s="193">
        <v>1</v>
      </c>
      <c r="O88" s="193">
        <v>0</v>
      </c>
      <c r="P88" s="193">
        <v>0</v>
      </c>
      <c r="Q88" s="193">
        <v>0</v>
      </c>
      <c r="R88" s="193">
        <v>0</v>
      </c>
      <c r="S88" s="193">
        <v>1</v>
      </c>
      <c r="T88" s="190">
        <v>0</v>
      </c>
      <c r="U88" s="193">
        <v>0</v>
      </c>
      <c r="V88" s="193">
        <v>0</v>
      </c>
      <c r="W88" s="193">
        <v>0</v>
      </c>
      <c r="X88" s="193">
        <v>1</v>
      </c>
      <c r="Y88" s="193">
        <v>0</v>
      </c>
      <c r="Z88" s="193">
        <v>0</v>
      </c>
      <c r="AA88" s="193">
        <v>0</v>
      </c>
      <c r="AB88" s="193">
        <v>0</v>
      </c>
      <c r="AC88" s="193">
        <v>1</v>
      </c>
      <c r="AD88" s="193">
        <v>0</v>
      </c>
      <c r="AE88" s="193">
        <v>0</v>
      </c>
      <c r="AF88" s="193">
        <v>0</v>
      </c>
      <c r="AG88" s="193">
        <v>0</v>
      </c>
      <c r="AH88" s="193">
        <v>1</v>
      </c>
      <c r="AI88" s="193">
        <v>0</v>
      </c>
      <c r="AJ88" s="193">
        <v>0.78</v>
      </c>
      <c r="AK88" s="193">
        <v>1</v>
      </c>
      <c r="AL88" s="193">
        <v>1.22</v>
      </c>
      <c r="AM88" s="193">
        <v>1</v>
      </c>
      <c r="AN88" s="193">
        <v>0</v>
      </c>
      <c r="AO88" s="193">
        <v>0</v>
      </c>
      <c r="AP88" s="193">
        <v>0</v>
      </c>
      <c r="AQ88" s="193">
        <v>1.22</v>
      </c>
      <c r="AR88" s="193">
        <v>1</v>
      </c>
      <c r="AS88" s="193">
        <v>0</v>
      </c>
      <c r="AT88" s="193">
        <v>0.78</v>
      </c>
      <c r="AU88" s="193">
        <v>1</v>
      </c>
      <c r="AV88" s="193">
        <v>1.22</v>
      </c>
      <c r="AW88" s="193">
        <v>1</v>
      </c>
      <c r="AX88" s="193">
        <v>0</v>
      </c>
      <c r="AY88" s="193">
        <v>0.62</v>
      </c>
      <c r="AZ88" s="193">
        <v>1</v>
      </c>
      <c r="BA88" s="193">
        <v>1.38</v>
      </c>
      <c r="BB88" s="193">
        <v>1</v>
      </c>
      <c r="BC88" s="193">
        <v>0</v>
      </c>
      <c r="BD88" s="193">
        <v>0</v>
      </c>
      <c r="BE88" s="193">
        <v>0</v>
      </c>
      <c r="BF88" s="193">
        <v>1.38</v>
      </c>
      <c r="BG88" s="193">
        <v>1</v>
      </c>
      <c r="BH88" s="193">
        <v>0</v>
      </c>
      <c r="BI88" s="193">
        <v>0.62</v>
      </c>
      <c r="BJ88" s="193">
        <v>1</v>
      </c>
      <c r="BK88" s="193">
        <v>1.38</v>
      </c>
      <c r="BL88" s="193">
        <v>1</v>
      </c>
      <c r="BM88" s="193">
        <v>0</v>
      </c>
      <c r="BN88" s="193">
        <v>0.71</v>
      </c>
      <c r="BO88" s="193">
        <v>1</v>
      </c>
      <c r="BP88" s="193">
        <v>1.29</v>
      </c>
      <c r="BQ88" s="193">
        <v>1</v>
      </c>
      <c r="BR88" s="193">
        <v>0</v>
      </c>
      <c r="BS88" s="193">
        <v>0</v>
      </c>
      <c r="BT88" s="193">
        <v>0</v>
      </c>
      <c r="BU88" s="193">
        <v>1.29</v>
      </c>
      <c r="BV88" s="193">
        <v>1</v>
      </c>
      <c r="BW88" s="193">
        <v>0</v>
      </c>
      <c r="BX88" s="193">
        <v>0.71</v>
      </c>
      <c r="BY88" s="193">
        <v>1</v>
      </c>
      <c r="BZ88" s="193">
        <v>1.29</v>
      </c>
      <c r="CA88" s="193">
        <v>1</v>
      </c>
      <c r="CB88" s="193">
        <v>0</v>
      </c>
      <c r="CC88" s="193">
        <v>0.8</v>
      </c>
      <c r="CD88" s="193">
        <v>1</v>
      </c>
      <c r="CE88" s="193">
        <v>1.2</v>
      </c>
      <c r="CF88" s="193">
        <v>1</v>
      </c>
      <c r="CG88" s="193">
        <v>0</v>
      </c>
      <c r="CH88" s="193">
        <v>0</v>
      </c>
      <c r="CI88" s="193">
        <v>0</v>
      </c>
      <c r="CJ88" s="193">
        <v>1.2</v>
      </c>
      <c r="CK88" s="193">
        <v>1</v>
      </c>
      <c r="CL88" s="193">
        <v>0</v>
      </c>
      <c r="CM88" s="193">
        <v>0.8</v>
      </c>
      <c r="CN88" s="193">
        <v>1</v>
      </c>
      <c r="CO88" s="193">
        <v>1.2</v>
      </c>
      <c r="CP88" s="193">
        <v>1</v>
      </c>
      <c r="CQ88" s="193">
        <v>0</v>
      </c>
      <c r="CR88" s="193">
        <v>0.74</v>
      </c>
      <c r="CS88" s="193">
        <v>1</v>
      </c>
      <c r="CT88" s="193">
        <v>1.26</v>
      </c>
      <c r="CU88" s="193">
        <v>1</v>
      </c>
      <c r="CV88" s="193">
        <v>0</v>
      </c>
      <c r="CW88" s="193">
        <v>0</v>
      </c>
      <c r="CX88" s="193">
        <v>0</v>
      </c>
      <c r="CY88" s="193">
        <v>1.26</v>
      </c>
      <c r="CZ88" s="193">
        <v>1</v>
      </c>
      <c r="DA88" s="193">
        <v>0</v>
      </c>
      <c r="DB88" s="193">
        <v>0.74</v>
      </c>
      <c r="DC88" s="193">
        <v>1</v>
      </c>
      <c r="DD88" s="193">
        <v>1.26</v>
      </c>
      <c r="DE88" s="193">
        <v>1</v>
      </c>
      <c r="DF88" s="193">
        <v>0</v>
      </c>
      <c r="DG88" s="193">
        <v>0.73</v>
      </c>
      <c r="DH88" s="193">
        <v>1</v>
      </c>
      <c r="DI88" s="193">
        <v>1.27</v>
      </c>
      <c r="DJ88" s="193">
        <v>1</v>
      </c>
      <c r="DK88" s="193">
        <v>0</v>
      </c>
      <c r="DL88" s="193">
        <v>0</v>
      </c>
      <c r="DM88" s="193">
        <v>0</v>
      </c>
      <c r="DN88" s="193">
        <v>1.27</v>
      </c>
      <c r="DO88" s="193">
        <v>1</v>
      </c>
      <c r="DP88" s="193">
        <v>0</v>
      </c>
      <c r="DQ88" s="193">
        <v>0.73</v>
      </c>
      <c r="DR88" s="193">
        <v>1</v>
      </c>
      <c r="DS88" s="193">
        <v>1.27</v>
      </c>
      <c r="DT88" s="193">
        <v>1</v>
      </c>
      <c r="DU88" s="193">
        <v>0</v>
      </c>
      <c r="DV88" s="193">
        <v>0.73</v>
      </c>
      <c r="DW88" s="193">
        <v>1</v>
      </c>
      <c r="DX88" s="193">
        <v>1.27</v>
      </c>
      <c r="DY88" s="193">
        <v>1</v>
      </c>
      <c r="DZ88" s="193">
        <v>0</v>
      </c>
      <c r="EA88" s="193">
        <v>0</v>
      </c>
      <c r="EB88" s="193">
        <v>0</v>
      </c>
      <c r="EC88" s="193">
        <v>1.27</v>
      </c>
      <c r="ED88" s="193">
        <v>1</v>
      </c>
      <c r="EE88" s="193">
        <v>0</v>
      </c>
      <c r="EF88" s="193">
        <v>0.73</v>
      </c>
      <c r="EG88" s="193">
        <v>1</v>
      </c>
      <c r="EH88" s="193">
        <v>1.27</v>
      </c>
      <c r="EI88" s="193">
        <v>1</v>
      </c>
      <c r="EJ88" s="193">
        <v>0</v>
      </c>
      <c r="EK88" s="193">
        <v>0</v>
      </c>
      <c r="EL88" s="193">
        <v>0</v>
      </c>
      <c r="EM88" s="193">
        <v>0</v>
      </c>
      <c r="EN88" s="193">
        <v>1</v>
      </c>
      <c r="EO88" s="193">
        <v>0</v>
      </c>
      <c r="EP88" s="193">
        <v>0</v>
      </c>
      <c r="EQ88" s="193">
        <v>0</v>
      </c>
      <c r="ER88" s="193">
        <v>0</v>
      </c>
      <c r="ES88" s="193">
        <v>1</v>
      </c>
      <c r="ET88" s="193">
        <v>0</v>
      </c>
      <c r="EU88" s="193">
        <v>0</v>
      </c>
      <c r="EV88" s="193">
        <v>0</v>
      </c>
      <c r="EW88" s="193">
        <v>0</v>
      </c>
      <c r="EX88" s="193">
        <v>1</v>
      </c>
      <c r="EY88" s="193">
        <v>0</v>
      </c>
      <c r="EZ88" s="193">
        <v>0</v>
      </c>
      <c r="FA88" s="193">
        <v>0</v>
      </c>
      <c r="FB88" s="193">
        <v>0</v>
      </c>
      <c r="FC88" s="193">
        <v>1</v>
      </c>
      <c r="FD88" s="193">
        <v>0</v>
      </c>
      <c r="FE88" s="193">
        <v>0</v>
      </c>
      <c r="FF88" s="193">
        <v>0</v>
      </c>
      <c r="FG88" s="193">
        <v>0</v>
      </c>
      <c r="FH88" s="193">
        <v>1</v>
      </c>
      <c r="FI88" s="193">
        <v>0</v>
      </c>
      <c r="FJ88" s="193">
        <v>0</v>
      </c>
      <c r="FK88" s="193">
        <v>0</v>
      </c>
      <c r="FL88" s="193">
        <v>0</v>
      </c>
      <c r="FM88" s="193">
        <v>1</v>
      </c>
      <c r="FN88" s="193">
        <v>0</v>
      </c>
      <c r="FO88" s="193">
        <v>0</v>
      </c>
      <c r="FP88" s="193">
        <v>0</v>
      </c>
      <c r="FQ88" s="193">
        <v>0</v>
      </c>
      <c r="FR88" s="193">
        <v>1</v>
      </c>
      <c r="FS88" s="193">
        <v>0</v>
      </c>
      <c r="FT88" s="193">
        <v>0</v>
      </c>
      <c r="FU88" s="193">
        <v>0</v>
      </c>
      <c r="FV88" s="193">
        <v>0</v>
      </c>
      <c r="FW88" s="193">
        <v>1</v>
      </c>
      <c r="FX88" s="193">
        <v>0</v>
      </c>
      <c r="FY88" s="193">
        <v>0</v>
      </c>
      <c r="FZ88" s="193">
        <v>0</v>
      </c>
      <c r="GA88" s="193">
        <v>0</v>
      </c>
      <c r="GB88" s="193">
        <v>1</v>
      </c>
      <c r="GC88" s="193">
        <v>0</v>
      </c>
      <c r="GD88" s="193">
        <v>0</v>
      </c>
      <c r="GE88" s="193">
        <v>0</v>
      </c>
      <c r="GF88" s="193">
        <v>0</v>
      </c>
      <c r="GG88" s="193">
        <v>1</v>
      </c>
      <c r="GH88" s="193">
        <v>0</v>
      </c>
      <c r="GI88" s="193">
        <v>0</v>
      </c>
      <c r="GJ88" s="193">
        <v>0</v>
      </c>
      <c r="GK88" s="193">
        <v>0</v>
      </c>
      <c r="GL88" s="193">
        <v>1</v>
      </c>
      <c r="GM88" s="193">
        <v>0</v>
      </c>
      <c r="GN88" s="193">
        <v>0</v>
      </c>
      <c r="GO88" s="193">
        <v>0</v>
      </c>
      <c r="GP88" s="187">
        <v>0</v>
      </c>
      <c r="GQ88" s="193">
        <v>1</v>
      </c>
    </row>
    <row r="89" spans="1:199">
      <c r="B89" s="305" t="s">
        <v>1215</v>
      </c>
      <c r="C89" s="126" t="s">
        <v>303</v>
      </c>
      <c r="D89" s="126" t="s">
        <v>1340</v>
      </c>
      <c r="E89" s="190">
        <v>0</v>
      </c>
      <c r="F89" s="193">
        <v>0</v>
      </c>
      <c r="G89" s="193">
        <v>0</v>
      </c>
      <c r="H89" s="193">
        <v>0</v>
      </c>
      <c r="I89" s="193">
        <v>1</v>
      </c>
      <c r="J89" s="193">
        <v>0</v>
      </c>
      <c r="K89" s="193">
        <v>0</v>
      </c>
      <c r="L89" s="193">
        <v>0</v>
      </c>
      <c r="M89" s="193">
        <v>0</v>
      </c>
      <c r="N89" s="193">
        <v>1</v>
      </c>
      <c r="O89" s="193">
        <v>0</v>
      </c>
      <c r="P89" s="193">
        <v>0</v>
      </c>
      <c r="Q89" s="193">
        <v>0</v>
      </c>
      <c r="R89" s="193">
        <v>0</v>
      </c>
      <c r="S89" s="193">
        <v>1</v>
      </c>
      <c r="T89" s="190">
        <v>0</v>
      </c>
      <c r="U89" s="193">
        <v>0</v>
      </c>
      <c r="V89" s="193">
        <v>0</v>
      </c>
      <c r="W89" s="193">
        <v>0</v>
      </c>
      <c r="X89" s="193">
        <v>1</v>
      </c>
      <c r="Y89" s="193">
        <v>0</v>
      </c>
      <c r="Z89" s="193">
        <v>0</v>
      </c>
      <c r="AA89" s="193">
        <v>0</v>
      </c>
      <c r="AB89" s="193">
        <v>0</v>
      </c>
      <c r="AC89" s="193">
        <v>1</v>
      </c>
      <c r="AD89" s="193">
        <v>0</v>
      </c>
      <c r="AE89" s="193">
        <v>0</v>
      </c>
      <c r="AF89" s="193">
        <v>0</v>
      </c>
      <c r="AG89" s="193">
        <v>0</v>
      </c>
      <c r="AH89" s="193">
        <v>1</v>
      </c>
      <c r="AI89" s="193">
        <v>0</v>
      </c>
      <c r="AJ89" s="193">
        <v>0.77</v>
      </c>
      <c r="AK89" s="193">
        <v>1</v>
      </c>
      <c r="AL89" s="193">
        <v>1.1499999999999999</v>
      </c>
      <c r="AM89" s="193">
        <v>1</v>
      </c>
      <c r="AN89" s="193">
        <v>0</v>
      </c>
      <c r="AO89" s="193">
        <v>0</v>
      </c>
      <c r="AP89" s="193">
        <v>0</v>
      </c>
      <c r="AQ89" s="193">
        <v>1.1499999999999999</v>
      </c>
      <c r="AR89" s="193">
        <v>1</v>
      </c>
      <c r="AS89" s="193">
        <v>0</v>
      </c>
      <c r="AT89" s="193">
        <v>0.77</v>
      </c>
      <c r="AU89" s="193">
        <v>1</v>
      </c>
      <c r="AV89" s="193">
        <v>1.1499999999999999</v>
      </c>
      <c r="AW89" s="193">
        <v>1</v>
      </c>
      <c r="AX89" s="193">
        <v>0</v>
      </c>
      <c r="AY89" s="193">
        <v>0.77</v>
      </c>
      <c r="AZ89" s="193">
        <v>1</v>
      </c>
      <c r="BA89" s="193">
        <v>1.18</v>
      </c>
      <c r="BB89" s="193">
        <v>1</v>
      </c>
      <c r="BC89" s="193">
        <v>0</v>
      </c>
      <c r="BD89" s="193">
        <v>0</v>
      </c>
      <c r="BE89" s="193">
        <v>0</v>
      </c>
      <c r="BF89" s="193">
        <v>1.18</v>
      </c>
      <c r="BG89" s="193">
        <v>1</v>
      </c>
      <c r="BH89" s="193">
        <v>0</v>
      </c>
      <c r="BI89" s="193">
        <v>0.77</v>
      </c>
      <c r="BJ89" s="193">
        <v>1</v>
      </c>
      <c r="BK89" s="193">
        <v>1.18</v>
      </c>
      <c r="BL89" s="193">
        <v>1</v>
      </c>
      <c r="BM89" s="193">
        <v>0</v>
      </c>
      <c r="BN89" s="193">
        <v>0.77</v>
      </c>
      <c r="BO89" s="193">
        <v>1</v>
      </c>
      <c r="BP89" s="193">
        <v>1.17</v>
      </c>
      <c r="BQ89" s="193">
        <v>1</v>
      </c>
      <c r="BR89" s="193">
        <v>0</v>
      </c>
      <c r="BS89" s="193">
        <v>0</v>
      </c>
      <c r="BT89" s="193">
        <v>0</v>
      </c>
      <c r="BU89" s="193">
        <v>1.17</v>
      </c>
      <c r="BV89" s="193">
        <v>1</v>
      </c>
      <c r="BW89" s="193">
        <v>0</v>
      </c>
      <c r="BX89" s="193">
        <v>0.77</v>
      </c>
      <c r="BY89" s="193">
        <v>1</v>
      </c>
      <c r="BZ89" s="193">
        <v>1.17</v>
      </c>
      <c r="CA89" s="193">
        <v>1</v>
      </c>
      <c r="CB89" s="193">
        <v>0</v>
      </c>
      <c r="CC89" s="193">
        <v>0.51</v>
      </c>
      <c r="CD89" s="193">
        <v>1</v>
      </c>
      <c r="CE89" s="193">
        <v>2.14</v>
      </c>
      <c r="CF89" s="193">
        <v>1</v>
      </c>
      <c r="CG89" s="193">
        <v>0</v>
      </c>
      <c r="CH89" s="193">
        <v>0</v>
      </c>
      <c r="CI89" s="193">
        <v>0</v>
      </c>
      <c r="CJ89" s="193">
        <v>2.14</v>
      </c>
      <c r="CK89" s="193">
        <v>1</v>
      </c>
      <c r="CL89" s="193">
        <v>0</v>
      </c>
      <c r="CM89" s="193">
        <v>0.51</v>
      </c>
      <c r="CN89" s="193">
        <v>1</v>
      </c>
      <c r="CO89" s="193">
        <v>2.14</v>
      </c>
      <c r="CP89" s="193">
        <v>1</v>
      </c>
      <c r="CQ89" s="193">
        <v>0</v>
      </c>
      <c r="CR89" s="193">
        <v>0.34</v>
      </c>
      <c r="CS89" s="193">
        <v>1</v>
      </c>
      <c r="CT89" s="193">
        <v>2.93</v>
      </c>
      <c r="CU89" s="193">
        <v>1</v>
      </c>
      <c r="CV89" s="193">
        <v>0</v>
      </c>
      <c r="CW89" s="193">
        <v>0</v>
      </c>
      <c r="CX89" s="193">
        <v>0</v>
      </c>
      <c r="CY89" s="193">
        <v>2.93</v>
      </c>
      <c r="CZ89" s="193">
        <v>1</v>
      </c>
      <c r="DA89" s="193">
        <v>0</v>
      </c>
      <c r="DB89" s="193">
        <v>0.34</v>
      </c>
      <c r="DC89" s="193">
        <v>1</v>
      </c>
      <c r="DD89" s="193">
        <v>2.93</v>
      </c>
      <c r="DE89" s="193">
        <v>1</v>
      </c>
      <c r="DF89" s="193">
        <v>0</v>
      </c>
      <c r="DG89" s="193">
        <v>0.33</v>
      </c>
      <c r="DH89" s="193">
        <v>1</v>
      </c>
      <c r="DI89" s="193">
        <v>3</v>
      </c>
      <c r="DJ89" s="193">
        <v>1</v>
      </c>
      <c r="DK89" s="193">
        <v>0</v>
      </c>
      <c r="DL89" s="193">
        <v>0</v>
      </c>
      <c r="DM89" s="193">
        <v>0</v>
      </c>
      <c r="DN89" s="193">
        <v>3</v>
      </c>
      <c r="DO89" s="193">
        <v>1</v>
      </c>
      <c r="DP89" s="193">
        <v>0</v>
      </c>
      <c r="DQ89" s="193">
        <v>0.33</v>
      </c>
      <c r="DR89" s="193">
        <v>1</v>
      </c>
      <c r="DS89" s="193">
        <v>3</v>
      </c>
      <c r="DT89" s="193">
        <v>1</v>
      </c>
      <c r="DU89" s="193">
        <v>0</v>
      </c>
      <c r="DV89" s="193">
        <v>0.33</v>
      </c>
      <c r="DW89" s="193">
        <v>1</v>
      </c>
      <c r="DX89" s="193">
        <v>3</v>
      </c>
      <c r="DY89" s="193">
        <v>1</v>
      </c>
      <c r="DZ89" s="193">
        <v>0</v>
      </c>
      <c r="EA89" s="193">
        <v>0</v>
      </c>
      <c r="EB89" s="193">
        <v>0</v>
      </c>
      <c r="EC89" s="193">
        <v>3</v>
      </c>
      <c r="ED89" s="193">
        <v>1</v>
      </c>
      <c r="EE89" s="193">
        <v>0</v>
      </c>
      <c r="EF89" s="193">
        <v>0.33</v>
      </c>
      <c r="EG89" s="193">
        <v>1</v>
      </c>
      <c r="EH89" s="193">
        <v>3</v>
      </c>
      <c r="EI89" s="193">
        <v>1</v>
      </c>
      <c r="EJ89" s="193">
        <v>0</v>
      </c>
      <c r="EK89" s="193">
        <v>0</v>
      </c>
      <c r="EL89" s="193">
        <v>0</v>
      </c>
      <c r="EM89" s="193">
        <v>0</v>
      </c>
      <c r="EN89" s="193">
        <v>1</v>
      </c>
      <c r="EO89" s="193">
        <v>0</v>
      </c>
      <c r="EP89" s="193">
        <v>0</v>
      </c>
      <c r="EQ89" s="193">
        <v>0</v>
      </c>
      <c r="ER89" s="193">
        <v>0</v>
      </c>
      <c r="ES89" s="193">
        <v>1</v>
      </c>
      <c r="ET89" s="193">
        <v>0</v>
      </c>
      <c r="EU89" s="193">
        <v>0</v>
      </c>
      <c r="EV89" s="193">
        <v>0</v>
      </c>
      <c r="EW89" s="193">
        <v>0</v>
      </c>
      <c r="EX89" s="193">
        <v>1</v>
      </c>
      <c r="EY89" s="193">
        <v>0</v>
      </c>
      <c r="EZ89" s="193">
        <v>0</v>
      </c>
      <c r="FA89" s="193">
        <v>0</v>
      </c>
      <c r="FB89" s="193">
        <v>0</v>
      </c>
      <c r="FC89" s="193">
        <v>1</v>
      </c>
      <c r="FD89" s="193">
        <v>0</v>
      </c>
      <c r="FE89" s="193">
        <v>0</v>
      </c>
      <c r="FF89" s="193">
        <v>0</v>
      </c>
      <c r="FG89" s="193">
        <v>0</v>
      </c>
      <c r="FH89" s="193">
        <v>1</v>
      </c>
      <c r="FI89" s="193">
        <v>0</v>
      </c>
      <c r="FJ89" s="193">
        <v>0</v>
      </c>
      <c r="FK89" s="193">
        <v>0</v>
      </c>
      <c r="FL89" s="193">
        <v>0</v>
      </c>
      <c r="FM89" s="193">
        <v>1</v>
      </c>
      <c r="FN89" s="193">
        <v>0</v>
      </c>
      <c r="FO89" s="193">
        <v>0</v>
      </c>
      <c r="FP89" s="193">
        <v>0</v>
      </c>
      <c r="FQ89" s="193">
        <v>0</v>
      </c>
      <c r="FR89" s="193">
        <v>1</v>
      </c>
      <c r="FS89" s="193">
        <v>0</v>
      </c>
      <c r="FT89" s="193">
        <v>0</v>
      </c>
      <c r="FU89" s="193">
        <v>0</v>
      </c>
      <c r="FV89" s="193">
        <v>0</v>
      </c>
      <c r="FW89" s="193">
        <v>1</v>
      </c>
      <c r="FX89" s="193">
        <v>0</v>
      </c>
      <c r="FY89" s="193">
        <v>0</v>
      </c>
      <c r="FZ89" s="193">
        <v>0</v>
      </c>
      <c r="GA89" s="193">
        <v>0</v>
      </c>
      <c r="GB89" s="193">
        <v>1</v>
      </c>
      <c r="GC89" s="193">
        <v>0</v>
      </c>
      <c r="GD89" s="193">
        <v>0</v>
      </c>
      <c r="GE89" s="193">
        <v>0</v>
      </c>
      <c r="GF89" s="193">
        <v>0</v>
      </c>
      <c r="GG89" s="193">
        <v>1</v>
      </c>
      <c r="GH89" s="193">
        <v>0</v>
      </c>
      <c r="GI89" s="193">
        <v>0</v>
      </c>
      <c r="GJ89" s="193">
        <v>0</v>
      </c>
      <c r="GK89" s="193">
        <v>0</v>
      </c>
      <c r="GL89" s="193">
        <v>1</v>
      </c>
      <c r="GM89" s="193">
        <v>0</v>
      </c>
      <c r="GN89" s="193">
        <v>0</v>
      </c>
      <c r="GO89" s="193">
        <v>0</v>
      </c>
      <c r="GP89" s="187">
        <v>0</v>
      </c>
      <c r="GQ89" s="193">
        <v>1</v>
      </c>
    </row>
    <row r="90" spans="1:199">
      <c r="B90" s="305" t="s">
        <v>1215</v>
      </c>
      <c r="C90" s="126" t="s">
        <v>303</v>
      </c>
      <c r="D90" s="126" t="s">
        <v>1339</v>
      </c>
      <c r="E90" s="190">
        <v>0</v>
      </c>
      <c r="F90" s="193">
        <v>0</v>
      </c>
      <c r="G90" s="193">
        <v>0</v>
      </c>
      <c r="H90" s="193">
        <v>0</v>
      </c>
      <c r="I90" s="193">
        <v>1</v>
      </c>
      <c r="J90" s="193">
        <v>0</v>
      </c>
      <c r="K90" s="193">
        <v>0</v>
      </c>
      <c r="L90" s="193">
        <v>0</v>
      </c>
      <c r="M90" s="193">
        <v>0</v>
      </c>
      <c r="N90" s="193">
        <v>1</v>
      </c>
      <c r="O90" s="193">
        <v>0</v>
      </c>
      <c r="P90" s="193">
        <v>0</v>
      </c>
      <c r="Q90" s="193">
        <v>0</v>
      </c>
      <c r="R90" s="193">
        <v>0</v>
      </c>
      <c r="S90" s="193">
        <v>1</v>
      </c>
      <c r="T90" s="190">
        <v>0</v>
      </c>
      <c r="U90" s="193">
        <v>0</v>
      </c>
      <c r="V90" s="193">
        <v>0</v>
      </c>
      <c r="W90" s="193">
        <v>0</v>
      </c>
      <c r="X90" s="193">
        <v>1</v>
      </c>
      <c r="Y90" s="193">
        <v>0</v>
      </c>
      <c r="Z90" s="193">
        <v>0</v>
      </c>
      <c r="AA90" s="193">
        <v>0</v>
      </c>
      <c r="AB90" s="193">
        <v>0</v>
      </c>
      <c r="AC90" s="193">
        <v>1</v>
      </c>
      <c r="AD90" s="193">
        <v>0</v>
      </c>
      <c r="AE90" s="193">
        <v>0</v>
      </c>
      <c r="AF90" s="193">
        <v>0</v>
      </c>
      <c r="AG90" s="193">
        <v>0</v>
      </c>
      <c r="AH90" s="193">
        <v>1</v>
      </c>
      <c r="AI90" s="193">
        <v>0</v>
      </c>
      <c r="AJ90" s="193">
        <v>0.8</v>
      </c>
      <c r="AK90" s="193">
        <v>1</v>
      </c>
      <c r="AL90" s="193">
        <v>1.2</v>
      </c>
      <c r="AM90" s="193">
        <v>1</v>
      </c>
      <c r="AN90" s="193">
        <v>0</v>
      </c>
      <c r="AO90" s="193">
        <v>0</v>
      </c>
      <c r="AP90" s="193">
        <v>0</v>
      </c>
      <c r="AQ90" s="193">
        <v>1.2</v>
      </c>
      <c r="AR90" s="193">
        <v>1</v>
      </c>
      <c r="AS90" s="193">
        <v>0</v>
      </c>
      <c r="AT90" s="193">
        <v>0.8</v>
      </c>
      <c r="AU90" s="193">
        <v>1</v>
      </c>
      <c r="AV90" s="193">
        <v>1.2</v>
      </c>
      <c r="AW90" s="193">
        <v>1</v>
      </c>
      <c r="AX90" s="193">
        <v>0</v>
      </c>
      <c r="AY90" s="193">
        <v>0.8</v>
      </c>
      <c r="AZ90" s="193">
        <v>1</v>
      </c>
      <c r="BA90" s="193">
        <v>1.2</v>
      </c>
      <c r="BB90" s="193">
        <v>1</v>
      </c>
      <c r="BC90" s="193">
        <v>0</v>
      </c>
      <c r="BD90" s="193">
        <v>0</v>
      </c>
      <c r="BE90" s="193">
        <v>0</v>
      </c>
      <c r="BF90" s="193">
        <v>1.2</v>
      </c>
      <c r="BG90" s="193">
        <v>1</v>
      </c>
      <c r="BH90" s="193">
        <v>0</v>
      </c>
      <c r="BI90" s="193">
        <v>0.8</v>
      </c>
      <c r="BJ90" s="193">
        <v>1</v>
      </c>
      <c r="BK90" s="193">
        <v>1.2</v>
      </c>
      <c r="BL90" s="193">
        <v>1</v>
      </c>
      <c r="BM90" s="193">
        <v>0</v>
      </c>
      <c r="BN90" s="193">
        <v>0.68</v>
      </c>
      <c r="BO90" s="193">
        <v>1</v>
      </c>
      <c r="BP90" s="193">
        <v>1.49</v>
      </c>
      <c r="BQ90" s="193">
        <v>1</v>
      </c>
      <c r="BR90" s="193">
        <v>0</v>
      </c>
      <c r="BS90" s="193">
        <v>0</v>
      </c>
      <c r="BT90" s="193">
        <v>0</v>
      </c>
      <c r="BU90" s="193">
        <v>1.49</v>
      </c>
      <c r="BV90" s="193">
        <v>1</v>
      </c>
      <c r="BW90" s="193">
        <v>0</v>
      </c>
      <c r="BX90" s="193">
        <v>0.68</v>
      </c>
      <c r="BY90" s="193">
        <v>1</v>
      </c>
      <c r="BZ90" s="193">
        <v>1.49</v>
      </c>
      <c r="CA90" s="193">
        <v>1</v>
      </c>
      <c r="CB90" s="193">
        <v>0</v>
      </c>
      <c r="CC90" s="193">
        <v>0.45</v>
      </c>
      <c r="CD90" s="193">
        <v>1</v>
      </c>
      <c r="CE90" s="193">
        <v>2.31</v>
      </c>
      <c r="CF90" s="193">
        <v>1</v>
      </c>
      <c r="CG90" s="193">
        <v>0</v>
      </c>
      <c r="CH90" s="193">
        <v>0</v>
      </c>
      <c r="CI90" s="193">
        <v>0</v>
      </c>
      <c r="CJ90" s="193">
        <v>2.31</v>
      </c>
      <c r="CK90" s="193">
        <v>1</v>
      </c>
      <c r="CL90" s="193">
        <v>0</v>
      </c>
      <c r="CM90" s="193">
        <v>0.45</v>
      </c>
      <c r="CN90" s="193">
        <v>1</v>
      </c>
      <c r="CO90" s="193">
        <v>2.31</v>
      </c>
      <c r="CP90" s="193">
        <v>1</v>
      </c>
      <c r="CQ90" s="193">
        <v>0</v>
      </c>
      <c r="CR90" s="193">
        <v>0.38</v>
      </c>
      <c r="CS90" s="193">
        <v>1</v>
      </c>
      <c r="CT90" s="193">
        <v>2.62</v>
      </c>
      <c r="CU90" s="193">
        <v>1</v>
      </c>
      <c r="CV90" s="193">
        <v>0</v>
      </c>
      <c r="CW90" s="193">
        <v>0</v>
      </c>
      <c r="CX90" s="193">
        <v>0</v>
      </c>
      <c r="CY90" s="193">
        <v>2.62</v>
      </c>
      <c r="CZ90" s="193">
        <v>1</v>
      </c>
      <c r="DA90" s="193">
        <v>0</v>
      </c>
      <c r="DB90" s="193">
        <v>0.38</v>
      </c>
      <c r="DC90" s="193">
        <v>1</v>
      </c>
      <c r="DD90" s="193">
        <v>2.62</v>
      </c>
      <c r="DE90" s="193">
        <v>1</v>
      </c>
      <c r="DF90" s="193">
        <v>0</v>
      </c>
      <c r="DG90" s="193">
        <v>0.38</v>
      </c>
      <c r="DH90" s="193">
        <v>1</v>
      </c>
      <c r="DI90" s="193">
        <v>2.67</v>
      </c>
      <c r="DJ90" s="193">
        <v>1</v>
      </c>
      <c r="DK90" s="193">
        <v>0</v>
      </c>
      <c r="DL90" s="193">
        <v>0</v>
      </c>
      <c r="DM90" s="193">
        <v>0</v>
      </c>
      <c r="DN90" s="193">
        <v>2.67</v>
      </c>
      <c r="DO90" s="193">
        <v>1</v>
      </c>
      <c r="DP90" s="193">
        <v>0</v>
      </c>
      <c r="DQ90" s="193">
        <v>0.38</v>
      </c>
      <c r="DR90" s="193">
        <v>1</v>
      </c>
      <c r="DS90" s="193">
        <v>2.67</v>
      </c>
      <c r="DT90" s="193">
        <v>1</v>
      </c>
      <c r="DU90" s="193">
        <v>0</v>
      </c>
      <c r="DV90" s="193">
        <v>0.38</v>
      </c>
      <c r="DW90" s="193">
        <v>1</v>
      </c>
      <c r="DX90" s="193">
        <v>2.67</v>
      </c>
      <c r="DY90" s="193">
        <v>1</v>
      </c>
      <c r="DZ90" s="193">
        <v>0</v>
      </c>
      <c r="EA90" s="193">
        <v>0</v>
      </c>
      <c r="EB90" s="193">
        <v>0</v>
      </c>
      <c r="EC90" s="193">
        <v>2.67</v>
      </c>
      <c r="ED90" s="193">
        <v>1</v>
      </c>
      <c r="EE90" s="193">
        <v>0</v>
      </c>
      <c r="EF90" s="193">
        <v>0.38</v>
      </c>
      <c r="EG90" s="193">
        <v>1</v>
      </c>
      <c r="EH90" s="193">
        <v>2.67</v>
      </c>
      <c r="EI90" s="193">
        <v>1</v>
      </c>
      <c r="EJ90" s="193">
        <v>0</v>
      </c>
      <c r="EK90" s="193">
        <v>0</v>
      </c>
      <c r="EL90" s="193">
        <v>0</v>
      </c>
      <c r="EM90" s="193">
        <v>0</v>
      </c>
      <c r="EN90" s="193">
        <v>1</v>
      </c>
      <c r="EO90" s="193">
        <v>0</v>
      </c>
      <c r="EP90" s="193">
        <v>0</v>
      </c>
      <c r="EQ90" s="193">
        <v>0</v>
      </c>
      <c r="ER90" s="193">
        <v>0</v>
      </c>
      <c r="ES90" s="193">
        <v>1</v>
      </c>
      <c r="ET90" s="193">
        <v>0</v>
      </c>
      <c r="EU90" s="193">
        <v>0</v>
      </c>
      <c r="EV90" s="193">
        <v>0</v>
      </c>
      <c r="EW90" s="193">
        <v>0</v>
      </c>
      <c r="EX90" s="193">
        <v>1</v>
      </c>
      <c r="EY90" s="193">
        <v>0</v>
      </c>
      <c r="EZ90" s="193">
        <v>0</v>
      </c>
      <c r="FA90" s="193">
        <v>0</v>
      </c>
      <c r="FB90" s="193">
        <v>0</v>
      </c>
      <c r="FC90" s="193">
        <v>1</v>
      </c>
      <c r="FD90" s="193">
        <v>0</v>
      </c>
      <c r="FE90" s="193">
        <v>0</v>
      </c>
      <c r="FF90" s="193">
        <v>0</v>
      </c>
      <c r="FG90" s="193">
        <v>0</v>
      </c>
      <c r="FH90" s="193">
        <v>1</v>
      </c>
      <c r="FI90" s="193">
        <v>0</v>
      </c>
      <c r="FJ90" s="193">
        <v>0</v>
      </c>
      <c r="FK90" s="193">
        <v>0</v>
      </c>
      <c r="FL90" s="193">
        <v>0</v>
      </c>
      <c r="FM90" s="193">
        <v>1</v>
      </c>
      <c r="FN90" s="193">
        <v>0</v>
      </c>
      <c r="FO90" s="193">
        <v>0</v>
      </c>
      <c r="FP90" s="193">
        <v>0</v>
      </c>
      <c r="FQ90" s="193">
        <v>0</v>
      </c>
      <c r="FR90" s="193">
        <v>1</v>
      </c>
      <c r="FS90" s="193">
        <v>0</v>
      </c>
      <c r="FT90" s="193">
        <v>0</v>
      </c>
      <c r="FU90" s="193">
        <v>0</v>
      </c>
      <c r="FV90" s="193">
        <v>0</v>
      </c>
      <c r="FW90" s="193">
        <v>1</v>
      </c>
      <c r="FX90" s="193">
        <v>0</v>
      </c>
      <c r="FY90" s="193">
        <v>0</v>
      </c>
      <c r="FZ90" s="193">
        <v>0</v>
      </c>
      <c r="GA90" s="193">
        <v>0</v>
      </c>
      <c r="GB90" s="193">
        <v>1</v>
      </c>
      <c r="GC90" s="193">
        <v>0</v>
      </c>
      <c r="GD90" s="193">
        <v>0</v>
      </c>
      <c r="GE90" s="193">
        <v>0</v>
      </c>
      <c r="GF90" s="193">
        <v>0</v>
      </c>
      <c r="GG90" s="193">
        <v>1</v>
      </c>
      <c r="GH90" s="193">
        <v>0</v>
      </c>
      <c r="GI90" s="193">
        <v>0</v>
      </c>
      <c r="GJ90" s="193">
        <v>0</v>
      </c>
      <c r="GK90" s="193">
        <v>0</v>
      </c>
      <c r="GL90" s="193">
        <v>1</v>
      </c>
      <c r="GM90" s="193">
        <v>0</v>
      </c>
      <c r="GN90" s="193">
        <v>0</v>
      </c>
      <c r="GO90" s="193">
        <v>0</v>
      </c>
      <c r="GP90" s="187">
        <v>0</v>
      </c>
      <c r="GQ90" s="193">
        <v>1</v>
      </c>
    </row>
    <row r="91" spans="1:199">
      <c r="B91" s="307" t="s">
        <v>1215</v>
      </c>
      <c r="C91" s="297" t="s">
        <v>303</v>
      </c>
      <c r="D91" s="134" t="s">
        <v>1338</v>
      </c>
      <c r="E91" s="190">
        <v>0</v>
      </c>
      <c r="F91" s="193">
        <v>0</v>
      </c>
      <c r="G91" s="193">
        <v>0</v>
      </c>
      <c r="H91" s="193">
        <v>0</v>
      </c>
      <c r="I91" s="193">
        <v>1</v>
      </c>
      <c r="J91" s="193">
        <v>0</v>
      </c>
      <c r="K91" s="193">
        <v>0</v>
      </c>
      <c r="L91" s="193">
        <v>0</v>
      </c>
      <c r="M91" s="193">
        <v>0</v>
      </c>
      <c r="N91" s="193">
        <v>1</v>
      </c>
      <c r="O91" s="193">
        <v>0</v>
      </c>
      <c r="P91" s="193">
        <v>0</v>
      </c>
      <c r="Q91" s="193">
        <v>0</v>
      </c>
      <c r="R91" s="193">
        <v>0</v>
      </c>
      <c r="S91" s="193">
        <v>1</v>
      </c>
      <c r="T91" s="193">
        <v>0</v>
      </c>
      <c r="U91" s="193">
        <v>0</v>
      </c>
      <c r="V91" s="193">
        <v>0</v>
      </c>
      <c r="W91" s="193">
        <v>0</v>
      </c>
      <c r="X91" s="193">
        <v>1</v>
      </c>
      <c r="Y91" s="193">
        <v>0</v>
      </c>
      <c r="Z91" s="193">
        <v>0</v>
      </c>
      <c r="AA91" s="193">
        <v>0</v>
      </c>
      <c r="AB91" s="193">
        <v>0</v>
      </c>
      <c r="AC91" s="193">
        <v>1</v>
      </c>
      <c r="AD91" s="193">
        <v>0</v>
      </c>
      <c r="AE91" s="193">
        <v>0</v>
      </c>
      <c r="AF91" s="193">
        <v>0</v>
      </c>
      <c r="AG91" s="193">
        <v>0</v>
      </c>
      <c r="AH91" s="193">
        <v>1</v>
      </c>
      <c r="AI91" s="193">
        <v>0</v>
      </c>
      <c r="AJ91" s="193">
        <v>0.43</v>
      </c>
      <c r="AK91" s="193">
        <v>1</v>
      </c>
      <c r="AL91" s="193">
        <v>1.57</v>
      </c>
      <c r="AM91" s="193">
        <v>1</v>
      </c>
      <c r="AN91" s="193">
        <v>0</v>
      </c>
      <c r="AO91" s="193">
        <v>0</v>
      </c>
      <c r="AP91" s="193">
        <v>1</v>
      </c>
      <c r="AQ91" s="193">
        <v>1.57</v>
      </c>
      <c r="AR91" s="193">
        <v>1</v>
      </c>
      <c r="AS91" s="193">
        <v>0</v>
      </c>
      <c r="AT91" s="193">
        <v>0.43</v>
      </c>
      <c r="AU91" s="193">
        <v>1</v>
      </c>
      <c r="AV91" s="193">
        <v>1.57</v>
      </c>
      <c r="AW91" s="193">
        <v>1</v>
      </c>
      <c r="AX91" s="193">
        <v>0</v>
      </c>
      <c r="AY91" s="193">
        <v>0.51</v>
      </c>
      <c r="AZ91" s="193">
        <v>1</v>
      </c>
      <c r="BA91" s="193">
        <v>1.4</v>
      </c>
      <c r="BB91" s="193">
        <v>1</v>
      </c>
      <c r="BC91" s="193">
        <v>0</v>
      </c>
      <c r="BD91" s="193">
        <v>0</v>
      </c>
      <c r="BE91" s="193">
        <v>1</v>
      </c>
      <c r="BF91" s="193">
        <v>1.4</v>
      </c>
      <c r="BG91" s="193">
        <v>1</v>
      </c>
      <c r="BH91" s="193">
        <v>0</v>
      </c>
      <c r="BI91" s="193">
        <v>0.51</v>
      </c>
      <c r="BJ91" s="193">
        <v>1</v>
      </c>
      <c r="BK91" s="193">
        <v>1.4</v>
      </c>
      <c r="BL91" s="193">
        <v>1</v>
      </c>
      <c r="BM91" s="193">
        <v>0</v>
      </c>
      <c r="BN91" s="193">
        <v>0.6</v>
      </c>
      <c r="BO91" s="193">
        <v>1</v>
      </c>
      <c r="BP91" s="193">
        <v>1.41</v>
      </c>
      <c r="BQ91" s="193">
        <v>1</v>
      </c>
      <c r="BR91" s="193">
        <v>0</v>
      </c>
      <c r="BS91" s="193">
        <v>0</v>
      </c>
      <c r="BT91" s="193">
        <v>1</v>
      </c>
      <c r="BU91" s="193">
        <v>1.41</v>
      </c>
      <c r="BV91" s="193">
        <v>1</v>
      </c>
      <c r="BW91" s="193">
        <v>0</v>
      </c>
      <c r="BX91" s="193">
        <v>0.6</v>
      </c>
      <c r="BY91" s="193">
        <v>1</v>
      </c>
      <c r="BZ91" s="193">
        <v>1.41</v>
      </c>
      <c r="CA91" s="193">
        <v>1</v>
      </c>
      <c r="CB91" s="193">
        <v>0</v>
      </c>
      <c r="CC91" s="193">
        <v>0.39</v>
      </c>
      <c r="CD91" s="193">
        <v>1</v>
      </c>
      <c r="CE91" s="193">
        <v>1.5</v>
      </c>
      <c r="CF91" s="193">
        <v>1</v>
      </c>
      <c r="CG91" s="193">
        <v>0</v>
      </c>
      <c r="CH91" s="193">
        <v>0</v>
      </c>
      <c r="CI91" s="193">
        <v>1</v>
      </c>
      <c r="CJ91" s="193">
        <v>1.5</v>
      </c>
      <c r="CK91" s="193">
        <v>1</v>
      </c>
      <c r="CL91" s="193">
        <v>0</v>
      </c>
      <c r="CM91" s="193">
        <v>0.39</v>
      </c>
      <c r="CN91" s="193">
        <v>1</v>
      </c>
      <c r="CO91" s="193">
        <v>1.5</v>
      </c>
      <c r="CP91" s="193">
        <v>1</v>
      </c>
      <c r="CQ91" s="193">
        <v>0</v>
      </c>
      <c r="CR91" s="193">
        <v>0.23</v>
      </c>
      <c r="CS91" s="193">
        <v>1</v>
      </c>
      <c r="CT91" s="193">
        <v>1.62</v>
      </c>
      <c r="CU91" s="193">
        <v>1</v>
      </c>
      <c r="CV91" s="193">
        <v>0</v>
      </c>
      <c r="CW91" s="193">
        <v>0</v>
      </c>
      <c r="CX91" s="193">
        <v>1</v>
      </c>
      <c r="CY91" s="193">
        <v>1.62</v>
      </c>
      <c r="CZ91" s="193">
        <v>1</v>
      </c>
      <c r="DA91" s="193">
        <v>0</v>
      </c>
      <c r="DB91" s="193">
        <v>0.23</v>
      </c>
      <c r="DC91" s="193">
        <v>1</v>
      </c>
      <c r="DD91" s="193">
        <v>1.62</v>
      </c>
      <c r="DE91" s="193">
        <v>1</v>
      </c>
      <c r="DF91" s="193">
        <v>0</v>
      </c>
      <c r="DG91" s="193">
        <v>0.2</v>
      </c>
      <c r="DH91" s="193">
        <v>1</v>
      </c>
      <c r="DI91" s="193">
        <v>1.67</v>
      </c>
      <c r="DJ91" s="193">
        <v>1</v>
      </c>
      <c r="DK91" s="193">
        <v>0</v>
      </c>
      <c r="DL91" s="193">
        <v>0</v>
      </c>
      <c r="DM91" s="193">
        <v>1</v>
      </c>
      <c r="DN91" s="193">
        <v>1.67</v>
      </c>
      <c r="DO91" s="193">
        <v>1</v>
      </c>
      <c r="DP91" s="193">
        <v>0</v>
      </c>
      <c r="DQ91" s="193">
        <v>0.2</v>
      </c>
      <c r="DR91" s="193">
        <v>1</v>
      </c>
      <c r="DS91" s="193">
        <v>1.67</v>
      </c>
      <c r="DT91" s="193">
        <v>1</v>
      </c>
      <c r="DU91" s="193">
        <v>0</v>
      </c>
      <c r="DV91" s="193">
        <v>0.2</v>
      </c>
      <c r="DW91" s="193">
        <v>1</v>
      </c>
      <c r="DX91" s="193">
        <v>1.67</v>
      </c>
      <c r="DY91" s="193">
        <v>1</v>
      </c>
      <c r="DZ91" s="193">
        <v>0</v>
      </c>
      <c r="EA91" s="193">
        <v>0</v>
      </c>
      <c r="EB91" s="193">
        <v>1</v>
      </c>
      <c r="EC91" s="193">
        <v>1.67</v>
      </c>
      <c r="ED91" s="193">
        <v>1</v>
      </c>
      <c r="EE91" s="193">
        <v>0</v>
      </c>
      <c r="EF91" s="193">
        <v>0.2</v>
      </c>
      <c r="EG91" s="193">
        <v>1</v>
      </c>
      <c r="EH91" s="193">
        <v>1.67</v>
      </c>
      <c r="EI91" s="193">
        <v>1</v>
      </c>
      <c r="EJ91" s="193">
        <v>0</v>
      </c>
      <c r="EK91" s="193">
        <v>0</v>
      </c>
      <c r="EL91" s="193">
        <v>0</v>
      </c>
      <c r="EM91" s="193">
        <v>0</v>
      </c>
      <c r="EN91" s="193">
        <v>1</v>
      </c>
      <c r="EO91" s="193">
        <v>0</v>
      </c>
      <c r="EP91" s="193">
        <v>0</v>
      </c>
      <c r="EQ91" s="193">
        <v>0</v>
      </c>
      <c r="ER91" s="193">
        <v>0</v>
      </c>
      <c r="ES91" s="193">
        <v>1</v>
      </c>
      <c r="ET91" s="193">
        <v>0</v>
      </c>
      <c r="EU91" s="193">
        <v>0</v>
      </c>
      <c r="EV91" s="193">
        <v>0</v>
      </c>
      <c r="EW91" s="193">
        <v>0</v>
      </c>
      <c r="EX91" s="193">
        <v>1</v>
      </c>
      <c r="EY91" s="193">
        <v>0</v>
      </c>
      <c r="EZ91" s="193">
        <v>0</v>
      </c>
      <c r="FA91" s="193">
        <v>0</v>
      </c>
      <c r="FB91" s="193">
        <v>0</v>
      </c>
      <c r="FC91" s="193">
        <v>1</v>
      </c>
      <c r="FD91" s="193">
        <v>0</v>
      </c>
      <c r="FE91" s="193">
        <v>0</v>
      </c>
      <c r="FF91" s="193">
        <v>0</v>
      </c>
      <c r="FG91" s="193">
        <v>0</v>
      </c>
      <c r="FH91" s="193">
        <v>1</v>
      </c>
      <c r="FI91" s="193">
        <v>0</v>
      </c>
      <c r="FJ91" s="193">
        <v>0</v>
      </c>
      <c r="FK91" s="193">
        <v>0</v>
      </c>
      <c r="FL91" s="193">
        <v>0</v>
      </c>
      <c r="FM91" s="193">
        <v>1</v>
      </c>
      <c r="FN91" s="193">
        <v>0</v>
      </c>
      <c r="FO91" s="193">
        <v>0</v>
      </c>
      <c r="FP91" s="193">
        <v>0</v>
      </c>
      <c r="FQ91" s="193">
        <v>0</v>
      </c>
      <c r="FR91" s="193">
        <v>1</v>
      </c>
      <c r="FS91" s="193">
        <v>0</v>
      </c>
      <c r="FT91" s="193">
        <v>0</v>
      </c>
      <c r="FU91" s="193">
        <v>0</v>
      </c>
      <c r="FV91" s="193">
        <v>0</v>
      </c>
      <c r="FW91" s="193">
        <v>1</v>
      </c>
      <c r="FX91" s="193">
        <v>0</v>
      </c>
      <c r="FY91" s="193">
        <v>0</v>
      </c>
      <c r="FZ91" s="193">
        <v>0</v>
      </c>
      <c r="GA91" s="193">
        <v>0</v>
      </c>
      <c r="GB91" s="193">
        <v>1</v>
      </c>
      <c r="GC91" s="193">
        <v>0</v>
      </c>
      <c r="GD91" s="193">
        <v>0</v>
      </c>
      <c r="GE91" s="193">
        <v>0</v>
      </c>
      <c r="GF91" s="193">
        <v>0</v>
      </c>
      <c r="GG91" s="193">
        <v>1</v>
      </c>
      <c r="GH91" s="193">
        <v>0</v>
      </c>
      <c r="GI91" s="193">
        <v>0</v>
      </c>
      <c r="GJ91" s="193">
        <v>0</v>
      </c>
      <c r="GK91" s="193">
        <v>0</v>
      </c>
      <c r="GL91" s="193">
        <v>1</v>
      </c>
      <c r="GM91" s="193">
        <v>0</v>
      </c>
      <c r="GN91" s="193">
        <v>0</v>
      </c>
      <c r="GO91" s="193">
        <v>0</v>
      </c>
      <c r="GP91" s="193">
        <v>0</v>
      </c>
      <c r="GQ91" s="193">
        <v>1</v>
      </c>
    </row>
    <row r="92" spans="1:199">
      <c r="B92" s="306" t="s">
        <v>1230</v>
      </c>
      <c r="C92" s="134" t="s">
        <v>1033</v>
      </c>
      <c r="D92" s="134" t="s">
        <v>1337</v>
      </c>
      <c r="E92" s="386">
        <v>0</v>
      </c>
      <c r="F92" s="383">
        <v>0</v>
      </c>
      <c r="G92" s="383">
        <v>0</v>
      </c>
      <c r="H92" s="383">
        <v>0</v>
      </c>
      <c r="I92" s="383">
        <v>1</v>
      </c>
      <c r="J92" s="383">
        <v>0</v>
      </c>
      <c r="K92" s="383">
        <v>0</v>
      </c>
      <c r="L92" s="383">
        <v>0</v>
      </c>
      <c r="M92" s="383">
        <v>0</v>
      </c>
      <c r="N92" s="383">
        <v>1</v>
      </c>
      <c r="O92" s="383">
        <v>0</v>
      </c>
      <c r="P92" s="383">
        <v>0</v>
      </c>
      <c r="Q92" s="383">
        <v>0</v>
      </c>
      <c r="R92" s="383">
        <v>0</v>
      </c>
      <c r="S92" s="383">
        <v>1</v>
      </c>
      <c r="T92" s="383">
        <v>0</v>
      </c>
      <c r="U92" s="383">
        <v>0</v>
      </c>
      <c r="V92" s="383">
        <v>0</v>
      </c>
      <c r="W92" s="383">
        <v>0</v>
      </c>
      <c r="X92" s="383">
        <v>1</v>
      </c>
      <c r="Y92" s="383">
        <v>0</v>
      </c>
      <c r="Z92" s="383">
        <v>0</v>
      </c>
      <c r="AA92" s="383">
        <v>0</v>
      </c>
      <c r="AB92" s="383">
        <v>0</v>
      </c>
      <c r="AC92" s="383">
        <v>1</v>
      </c>
      <c r="AD92" s="383">
        <v>0</v>
      </c>
      <c r="AE92" s="383">
        <v>0</v>
      </c>
      <c r="AF92" s="383">
        <v>0</v>
      </c>
      <c r="AG92" s="383">
        <v>0</v>
      </c>
      <c r="AH92" s="383">
        <v>1</v>
      </c>
      <c r="AI92" s="383">
        <v>0</v>
      </c>
      <c r="AJ92" s="383">
        <v>0.8</v>
      </c>
      <c r="AK92" s="383">
        <v>1</v>
      </c>
      <c r="AL92" s="383">
        <v>1.2</v>
      </c>
      <c r="AM92" s="383">
        <v>1</v>
      </c>
      <c r="AN92" s="383">
        <v>0</v>
      </c>
      <c r="AO92" s="383">
        <v>0</v>
      </c>
      <c r="AP92" s="383">
        <v>0</v>
      </c>
      <c r="AQ92" s="383">
        <v>1.2</v>
      </c>
      <c r="AR92" s="383">
        <v>1</v>
      </c>
      <c r="AS92" s="383">
        <v>0</v>
      </c>
      <c r="AT92" s="383">
        <v>0.8</v>
      </c>
      <c r="AU92" s="383">
        <v>1</v>
      </c>
      <c r="AV92" s="383">
        <v>1.2</v>
      </c>
      <c r="AW92" s="383">
        <v>1</v>
      </c>
      <c r="AX92" s="383">
        <v>0</v>
      </c>
      <c r="AY92" s="383">
        <v>0.61</v>
      </c>
      <c r="AZ92" s="383">
        <v>1</v>
      </c>
      <c r="BA92" s="383">
        <v>2.16</v>
      </c>
      <c r="BB92" s="383">
        <v>1</v>
      </c>
      <c r="BC92" s="383">
        <v>0</v>
      </c>
      <c r="BD92" s="383">
        <v>0</v>
      </c>
      <c r="BE92" s="383">
        <v>0</v>
      </c>
      <c r="BF92" s="383">
        <v>2.16</v>
      </c>
      <c r="BG92" s="383">
        <v>1</v>
      </c>
      <c r="BH92" s="383">
        <v>0</v>
      </c>
      <c r="BI92" s="383">
        <v>0.61</v>
      </c>
      <c r="BJ92" s="383">
        <v>1</v>
      </c>
      <c r="BK92" s="383">
        <v>2.16</v>
      </c>
      <c r="BL92" s="383">
        <v>1</v>
      </c>
      <c r="BM92" s="383">
        <v>0</v>
      </c>
      <c r="BN92" s="383">
        <v>0.35</v>
      </c>
      <c r="BO92" s="383">
        <v>1</v>
      </c>
      <c r="BP92" s="383">
        <v>2.91</v>
      </c>
      <c r="BQ92" s="383">
        <v>1</v>
      </c>
      <c r="BR92" s="383">
        <v>0</v>
      </c>
      <c r="BS92" s="383">
        <v>0</v>
      </c>
      <c r="BT92" s="383">
        <v>0</v>
      </c>
      <c r="BU92" s="383">
        <v>2.91</v>
      </c>
      <c r="BV92" s="383">
        <v>1</v>
      </c>
      <c r="BW92" s="383">
        <v>0</v>
      </c>
      <c r="BX92" s="383">
        <v>0.35</v>
      </c>
      <c r="BY92" s="383">
        <v>1</v>
      </c>
      <c r="BZ92" s="383">
        <v>2.91</v>
      </c>
      <c r="CA92" s="383">
        <v>1</v>
      </c>
      <c r="CB92" s="383">
        <v>0</v>
      </c>
      <c r="CC92" s="383">
        <v>0.13</v>
      </c>
      <c r="CD92" s="383">
        <v>1</v>
      </c>
      <c r="CE92" s="383">
        <v>2.67</v>
      </c>
      <c r="CF92" s="383">
        <v>1</v>
      </c>
      <c r="CG92" s="383">
        <v>0</v>
      </c>
      <c r="CH92" s="383">
        <v>0</v>
      </c>
      <c r="CI92" s="383">
        <v>0</v>
      </c>
      <c r="CJ92" s="383">
        <v>2.67</v>
      </c>
      <c r="CK92" s="383">
        <v>1</v>
      </c>
      <c r="CL92" s="383">
        <v>0</v>
      </c>
      <c r="CM92" s="383">
        <v>0.13</v>
      </c>
      <c r="CN92" s="383">
        <v>1</v>
      </c>
      <c r="CO92" s="383">
        <v>2.67</v>
      </c>
      <c r="CP92" s="383">
        <v>1</v>
      </c>
      <c r="CQ92" s="383">
        <v>0</v>
      </c>
      <c r="CR92" s="383">
        <v>0</v>
      </c>
      <c r="CS92" s="383">
        <v>1</v>
      </c>
      <c r="CT92" s="383">
        <v>2.4700000000000002</v>
      </c>
      <c r="CU92" s="383">
        <v>1</v>
      </c>
      <c r="CV92" s="383">
        <v>0</v>
      </c>
      <c r="CW92" s="383">
        <v>0</v>
      </c>
      <c r="CX92" s="383">
        <v>0</v>
      </c>
      <c r="CY92" s="383">
        <v>2.4700000000000002</v>
      </c>
      <c r="CZ92" s="383">
        <v>1</v>
      </c>
      <c r="DA92" s="383">
        <v>0</v>
      </c>
      <c r="DB92" s="383">
        <v>0</v>
      </c>
      <c r="DC92" s="383">
        <v>1</v>
      </c>
      <c r="DD92" s="383">
        <v>2.4700000000000002</v>
      </c>
      <c r="DE92" s="383">
        <v>1</v>
      </c>
      <c r="DF92" s="383">
        <v>0</v>
      </c>
      <c r="DG92" s="383">
        <v>0</v>
      </c>
      <c r="DH92" s="383">
        <v>1</v>
      </c>
      <c r="DI92" s="383">
        <v>2.4</v>
      </c>
      <c r="DJ92" s="383">
        <v>1</v>
      </c>
      <c r="DK92" s="383">
        <v>0</v>
      </c>
      <c r="DL92" s="383">
        <v>0</v>
      </c>
      <c r="DM92" s="383">
        <v>0</v>
      </c>
      <c r="DN92" s="383">
        <v>2.4</v>
      </c>
      <c r="DO92" s="383">
        <v>1</v>
      </c>
      <c r="DP92" s="383">
        <v>0</v>
      </c>
      <c r="DQ92" s="383">
        <v>0</v>
      </c>
      <c r="DR92" s="383">
        <v>1</v>
      </c>
      <c r="DS92" s="383">
        <v>2.4</v>
      </c>
      <c r="DT92" s="383">
        <v>1</v>
      </c>
      <c r="DU92" s="383">
        <v>0</v>
      </c>
      <c r="DV92" s="383">
        <v>0</v>
      </c>
      <c r="DW92" s="383">
        <v>1</v>
      </c>
      <c r="DX92" s="383">
        <v>2.4</v>
      </c>
      <c r="DY92" s="383">
        <v>1</v>
      </c>
      <c r="DZ92" s="383">
        <v>0</v>
      </c>
      <c r="EA92" s="383">
        <v>0</v>
      </c>
      <c r="EB92" s="383">
        <v>0</v>
      </c>
      <c r="EC92" s="383">
        <v>2.4</v>
      </c>
      <c r="ED92" s="383">
        <v>1</v>
      </c>
      <c r="EE92" s="383">
        <v>0</v>
      </c>
      <c r="EF92" s="383">
        <v>0</v>
      </c>
      <c r="EG92" s="383">
        <v>1</v>
      </c>
      <c r="EH92" s="383">
        <v>2.4</v>
      </c>
      <c r="EI92" s="383">
        <v>1</v>
      </c>
      <c r="EJ92" s="383">
        <v>0</v>
      </c>
      <c r="EK92" s="383">
        <v>0</v>
      </c>
      <c r="EL92" s="383">
        <v>0</v>
      </c>
      <c r="EM92" s="383">
        <v>0</v>
      </c>
      <c r="EN92" s="383">
        <v>1</v>
      </c>
      <c r="EO92" s="383">
        <v>0</v>
      </c>
      <c r="EP92" s="383">
        <v>0</v>
      </c>
      <c r="EQ92" s="383">
        <v>0</v>
      </c>
      <c r="ER92" s="383">
        <v>0</v>
      </c>
      <c r="ES92" s="383">
        <v>1</v>
      </c>
      <c r="ET92" s="383">
        <v>0</v>
      </c>
      <c r="EU92" s="383">
        <v>0</v>
      </c>
      <c r="EV92" s="383">
        <v>0</v>
      </c>
      <c r="EW92" s="383">
        <v>0</v>
      </c>
      <c r="EX92" s="383">
        <v>1</v>
      </c>
      <c r="EY92" s="383">
        <v>0</v>
      </c>
      <c r="EZ92" s="383">
        <v>0</v>
      </c>
      <c r="FA92" s="383">
        <v>0</v>
      </c>
      <c r="FB92" s="383">
        <v>0</v>
      </c>
      <c r="FC92" s="383">
        <v>1</v>
      </c>
      <c r="FD92" s="383">
        <v>0</v>
      </c>
      <c r="FE92" s="383">
        <v>0</v>
      </c>
      <c r="FF92" s="383">
        <v>0</v>
      </c>
      <c r="FG92" s="383">
        <v>0</v>
      </c>
      <c r="FH92" s="383">
        <v>1</v>
      </c>
      <c r="FI92" s="383">
        <v>0</v>
      </c>
      <c r="FJ92" s="383">
        <v>0</v>
      </c>
      <c r="FK92" s="383">
        <v>0</v>
      </c>
      <c r="FL92" s="383">
        <v>0</v>
      </c>
      <c r="FM92" s="383">
        <v>1</v>
      </c>
      <c r="FN92" s="383">
        <v>0</v>
      </c>
      <c r="FO92" s="383">
        <v>0</v>
      </c>
      <c r="FP92" s="383">
        <v>0</v>
      </c>
      <c r="FQ92" s="383">
        <v>0</v>
      </c>
      <c r="FR92" s="383">
        <v>1</v>
      </c>
      <c r="FS92" s="383">
        <v>0</v>
      </c>
      <c r="FT92" s="383">
        <v>0</v>
      </c>
      <c r="FU92" s="383">
        <v>0</v>
      </c>
      <c r="FV92" s="383">
        <v>0</v>
      </c>
      <c r="FW92" s="383">
        <v>1</v>
      </c>
      <c r="FX92" s="383">
        <v>0</v>
      </c>
      <c r="FY92" s="383">
        <v>0</v>
      </c>
      <c r="FZ92" s="383">
        <v>0</v>
      </c>
      <c r="GA92" s="383">
        <v>0</v>
      </c>
      <c r="GB92" s="383">
        <v>1</v>
      </c>
      <c r="GC92" s="383">
        <v>0</v>
      </c>
      <c r="GD92" s="383">
        <v>0</v>
      </c>
      <c r="GE92" s="383">
        <v>0</v>
      </c>
      <c r="GF92" s="383">
        <v>0</v>
      </c>
      <c r="GG92" s="383">
        <v>1</v>
      </c>
      <c r="GH92" s="383">
        <v>0</v>
      </c>
      <c r="GI92" s="383">
        <v>0</v>
      </c>
      <c r="GJ92" s="383">
        <v>0</v>
      </c>
      <c r="GK92" s="383">
        <v>0</v>
      </c>
      <c r="GL92" s="383">
        <v>1</v>
      </c>
      <c r="GM92" s="383">
        <v>0</v>
      </c>
      <c r="GN92" s="383">
        <v>0</v>
      </c>
      <c r="GO92" s="383">
        <v>0</v>
      </c>
      <c r="GP92" s="383">
        <v>0</v>
      </c>
      <c r="GQ92" s="383">
        <v>1</v>
      </c>
    </row>
    <row r="94" spans="1:199">
      <c r="A94" s="208"/>
      <c r="B94" s="208" t="s">
        <v>1004</v>
      </c>
      <c r="C94" s="208"/>
      <c r="D94" s="208"/>
      <c r="E94" s="208"/>
      <c r="T94" s="208"/>
    </row>
    <row r="95" spans="1:199">
      <c r="A95" s="209"/>
      <c r="B95" s="210"/>
      <c r="C95" s="210" t="s">
        <v>1005</v>
      </c>
      <c r="D95" s="210" t="s">
        <v>942</v>
      </c>
      <c r="E95" s="199">
        <v>0</v>
      </c>
      <c r="F95" s="197">
        <v>0</v>
      </c>
      <c r="G95" s="197">
        <v>0</v>
      </c>
      <c r="H95" s="197">
        <v>0</v>
      </c>
      <c r="I95" s="197">
        <v>1</v>
      </c>
      <c r="J95" s="197">
        <v>0</v>
      </c>
      <c r="K95" s="197">
        <v>0</v>
      </c>
      <c r="L95" s="197">
        <v>0</v>
      </c>
      <c r="M95" s="197">
        <v>0</v>
      </c>
      <c r="N95" s="197">
        <v>1</v>
      </c>
      <c r="O95" s="197">
        <v>0</v>
      </c>
      <c r="P95" s="197">
        <v>0.8</v>
      </c>
      <c r="Q95" s="197">
        <v>1</v>
      </c>
      <c r="R95" s="197">
        <v>1.2</v>
      </c>
      <c r="S95" s="197">
        <v>1</v>
      </c>
      <c r="T95" s="199">
        <v>0</v>
      </c>
      <c r="U95" s="197">
        <v>0</v>
      </c>
      <c r="V95" s="197">
        <v>0</v>
      </c>
      <c r="W95" s="197">
        <v>0</v>
      </c>
      <c r="X95" s="197">
        <v>1</v>
      </c>
      <c r="Y95" s="197">
        <v>0</v>
      </c>
      <c r="Z95" s="197">
        <v>0.8</v>
      </c>
      <c r="AA95" s="197">
        <v>1</v>
      </c>
      <c r="AB95" s="197">
        <v>1.2</v>
      </c>
      <c r="AC95" s="197">
        <v>1</v>
      </c>
      <c r="AD95" s="197">
        <v>0</v>
      </c>
      <c r="AE95" s="197">
        <v>0.8</v>
      </c>
      <c r="AF95" s="197">
        <v>1</v>
      </c>
      <c r="AG95" s="197">
        <v>1.2</v>
      </c>
      <c r="AH95" s="197">
        <v>1</v>
      </c>
      <c r="AI95" s="197">
        <v>0</v>
      </c>
      <c r="AJ95" s="197">
        <v>0</v>
      </c>
      <c r="AK95" s="197">
        <v>0</v>
      </c>
      <c r="AL95" s="197">
        <v>0</v>
      </c>
      <c r="AM95" s="197">
        <v>1</v>
      </c>
      <c r="AN95" s="197">
        <v>0</v>
      </c>
      <c r="AO95" s="197">
        <v>0.8</v>
      </c>
      <c r="AP95" s="197">
        <v>1</v>
      </c>
      <c r="AQ95" s="197">
        <v>1.2</v>
      </c>
      <c r="AR95" s="197">
        <v>1</v>
      </c>
      <c r="AS95" s="197">
        <v>0</v>
      </c>
      <c r="AT95" s="197">
        <v>0.8</v>
      </c>
      <c r="AU95" s="197">
        <v>1</v>
      </c>
      <c r="AV95" s="197">
        <v>1.2</v>
      </c>
      <c r="AW95" s="197">
        <v>1</v>
      </c>
      <c r="AX95" s="197">
        <v>0</v>
      </c>
      <c r="AY95" s="197">
        <v>0</v>
      </c>
      <c r="AZ95" s="197">
        <v>0</v>
      </c>
      <c r="BA95" s="197">
        <v>0</v>
      </c>
      <c r="BB95" s="197">
        <v>1</v>
      </c>
      <c r="BC95" s="197">
        <v>0</v>
      </c>
      <c r="BD95" s="197">
        <v>0.8</v>
      </c>
      <c r="BE95" s="197">
        <v>1</v>
      </c>
      <c r="BF95" s="197">
        <v>1.2</v>
      </c>
      <c r="BG95" s="197">
        <v>1</v>
      </c>
      <c r="BH95" s="197">
        <v>0</v>
      </c>
      <c r="BI95" s="197">
        <v>0.8</v>
      </c>
      <c r="BJ95" s="197">
        <v>1</v>
      </c>
      <c r="BK95" s="197">
        <v>1.2</v>
      </c>
      <c r="BL95" s="197">
        <v>1</v>
      </c>
      <c r="BM95" s="197">
        <v>0</v>
      </c>
      <c r="BN95" s="197">
        <v>0</v>
      </c>
      <c r="BO95" s="197">
        <v>0</v>
      </c>
      <c r="BP95" s="197">
        <v>0</v>
      </c>
      <c r="BQ95" s="197">
        <v>1</v>
      </c>
      <c r="BR95" s="197">
        <v>0</v>
      </c>
      <c r="BS95" s="197">
        <v>0.8</v>
      </c>
      <c r="BT95" s="197">
        <v>1</v>
      </c>
      <c r="BU95" s="197">
        <v>1.2</v>
      </c>
      <c r="BV95" s="197">
        <v>1</v>
      </c>
      <c r="BW95" s="197">
        <v>0</v>
      </c>
      <c r="BX95" s="197">
        <v>0.8</v>
      </c>
      <c r="BY95" s="197">
        <v>1</v>
      </c>
      <c r="BZ95" s="197">
        <v>1.2</v>
      </c>
      <c r="CA95" s="197">
        <v>1</v>
      </c>
      <c r="CB95" s="197">
        <v>0</v>
      </c>
      <c r="CC95" s="197">
        <v>0</v>
      </c>
      <c r="CD95" s="197">
        <v>0</v>
      </c>
      <c r="CE95" s="197">
        <v>0</v>
      </c>
      <c r="CF95" s="197">
        <v>1</v>
      </c>
      <c r="CG95" s="197">
        <v>0</v>
      </c>
      <c r="CH95" s="197">
        <v>0.8</v>
      </c>
      <c r="CI95" s="197">
        <v>1</v>
      </c>
      <c r="CJ95" s="197">
        <v>1.2</v>
      </c>
      <c r="CK95" s="197">
        <v>1</v>
      </c>
      <c r="CL95" s="197">
        <v>0</v>
      </c>
      <c r="CM95" s="197">
        <v>0.8</v>
      </c>
      <c r="CN95" s="197">
        <v>1</v>
      </c>
      <c r="CO95" s="197">
        <v>1.2</v>
      </c>
      <c r="CP95" s="197">
        <v>1</v>
      </c>
      <c r="CQ95" s="197">
        <v>0</v>
      </c>
      <c r="CR95" s="197">
        <v>0</v>
      </c>
      <c r="CS95" s="197">
        <v>0</v>
      </c>
      <c r="CT95" s="197">
        <v>0</v>
      </c>
      <c r="CU95" s="197">
        <v>1</v>
      </c>
      <c r="CV95" s="197">
        <v>0</v>
      </c>
      <c r="CW95" s="197">
        <v>0.8</v>
      </c>
      <c r="CX95" s="197">
        <v>1</v>
      </c>
      <c r="CY95" s="197">
        <v>1.2</v>
      </c>
      <c r="CZ95" s="197">
        <v>1</v>
      </c>
      <c r="DA95" s="197">
        <v>0</v>
      </c>
      <c r="DB95" s="197">
        <v>0.8</v>
      </c>
      <c r="DC95" s="197">
        <v>1</v>
      </c>
      <c r="DD95" s="197">
        <v>1.2</v>
      </c>
      <c r="DE95" s="197">
        <v>1</v>
      </c>
      <c r="DF95" s="197">
        <v>0</v>
      </c>
      <c r="DG95" s="197">
        <v>0</v>
      </c>
      <c r="DH95" s="197">
        <v>0</v>
      </c>
      <c r="DI95" s="197">
        <v>0</v>
      </c>
      <c r="DJ95" s="197">
        <v>1</v>
      </c>
      <c r="DK95" s="197">
        <v>0</v>
      </c>
      <c r="DL95" s="197">
        <v>0.8</v>
      </c>
      <c r="DM95" s="197">
        <v>1</v>
      </c>
      <c r="DN95" s="197">
        <v>1.2</v>
      </c>
      <c r="DO95" s="197">
        <v>1</v>
      </c>
      <c r="DP95" s="197">
        <v>0</v>
      </c>
      <c r="DQ95" s="197">
        <v>0.8</v>
      </c>
      <c r="DR95" s="197">
        <v>1</v>
      </c>
      <c r="DS95" s="197">
        <v>1.2</v>
      </c>
      <c r="DT95" s="197">
        <v>1</v>
      </c>
      <c r="DU95" s="197">
        <v>0</v>
      </c>
      <c r="DV95" s="197">
        <v>0</v>
      </c>
      <c r="DW95" s="197">
        <v>0</v>
      </c>
      <c r="DX95" s="197">
        <v>0</v>
      </c>
      <c r="DY95" s="197">
        <v>1</v>
      </c>
      <c r="DZ95" s="197">
        <v>0</v>
      </c>
      <c r="EA95" s="197">
        <v>0.8</v>
      </c>
      <c r="EB95" s="197">
        <v>1</v>
      </c>
      <c r="EC95" s="197">
        <v>1.2</v>
      </c>
      <c r="ED95" s="197">
        <v>1</v>
      </c>
      <c r="EE95" s="197">
        <v>0</v>
      </c>
      <c r="EF95" s="197">
        <v>0.8</v>
      </c>
      <c r="EG95" s="197">
        <v>1</v>
      </c>
      <c r="EH95" s="197">
        <v>1.2</v>
      </c>
      <c r="EI95" s="197">
        <v>1</v>
      </c>
      <c r="EJ95" s="197">
        <v>0</v>
      </c>
      <c r="EK95" s="197">
        <v>0</v>
      </c>
      <c r="EL95" s="197">
        <v>0</v>
      </c>
      <c r="EM95" s="197">
        <v>0</v>
      </c>
      <c r="EN95" s="197">
        <v>1</v>
      </c>
      <c r="EO95" s="197">
        <v>0</v>
      </c>
      <c r="EP95" s="197">
        <v>0.8</v>
      </c>
      <c r="EQ95" s="197">
        <v>1</v>
      </c>
      <c r="ER95" s="197">
        <v>1.2</v>
      </c>
      <c r="ES95" s="197">
        <v>1</v>
      </c>
      <c r="ET95" s="197">
        <v>0</v>
      </c>
      <c r="EU95" s="197">
        <v>0.8</v>
      </c>
      <c r="EV95" s="197">
        <v>1</v>
      </c>
      <c r="EW95" s="197">
        <v>1.2</v>
      </c>
      <c r="EX95" s="197">
        <v>1</v>
      </c>
      <c r="EY95" s="197">
        <v>0</v>
      </c>
      <c r="EZ95" s="197">
        <v>0</v>
      </c>
      <c r="FA95" s="197">
        <v>0</v>
      </c>
      <c r="FB95" s="197">
        <v>0</v>
      </c>
      <c r="FC95" s="197">
        <v>1</v>
      </c>
      <c r="FD95" s="197">
        <v>0</v>
      </c>
      <c r="FE95" s="197">
        <v>0.8</v>
      </c>
      <c r="FF95" s="197">
        <v>1</v>
      </c>
      <c r="FG95" s="197">
        <v>1.2</v>
      </c>
      <c r="FH95" s="197">
        <v>1</v>
      </c>
      <c r="FI95" s="197">
        <v>0</v>
      </c>
      <c r="FJ95" s="197">
        <v>0.8</v>
      </c>
      <c r="FK95" s="197">
        <v>1</v>
      </c>
      <c r="FL95" s="197">
        <v>1.2</v>
      </c>
      <c r="FM95" s="197">
        <v>1</v>
      </c>
      <c r="FN95" s="197">
        <v>0</v>
      </c>
      <c r="FO95" s="197">
        <v>0</v>
      </c>
      <c r="FP95" s="197">
        <v>0</v>
      </c>
      <c r="FQ95" s="197">
        <v>0</v>
      </c>
      <c r="FR95" s="197">
        <v>1</v>
      </c>
      <c r="FS95" s="197">
        <v>0</v>
      </c>
      <c r="FT95" s="197">
        <v>0.8</v>
      </c>
      <c r="FU95" s="197">
        <v>1</v>
      </c>
      <c r="FV95" s="197">
        <v>1.2</v>
      </c>
      <c r="FW95" s="197">
        <v>1</v>
      </c>
      <c r="FX95" s="197">
        <v>0</v>
      </c>
      <c r="FY95" s="197">
        <v>0.8</v>
      </c>
      <c r="FZ95" s="197">
        <v>1</v>
      </c>
      <c r="GA95" s="197">
        <v>1.2</v>
      </c>
      <c r="GB95" s="197">
        <v>1</v>
      </c>
      <c r="GC95" s="197">
        <v>0</v>
      </c>
      <c r="GD95" s="197">
        <v>0</v>
      </c>
      <c r="GE95" s="197">
        <v>0</v>
      </c>
      <c r="GF95" s="197">
        <v>0</v>
      </c>
      <c r="GG95" s="197">
        <v>1</v>
      </c>
      <c r="GH95" s="197">
        <v>0</v>
      </c>
      <c r="GI95" s="197">
        <v>0.8</v>
      </c>
      <c r="GJ95" s="197">
        <v>1</v>
      </c>
      <c r="GK95" s="197">
        <v>1.2</v>
      </c>
      <c r="GL95" s="197">
        <v>1</v>
      </c>
      <c r="GM95" s="197">
        <v>0</v>
      </c>
      <c r="GN95" s="197">
        <v>0.8</v>
      </c>
      <c r="GO95" s="197">
        <v>1</v>
      </c>
      <c r="GP95" s="197">
        <v>1.2</v>
      </c>
      <c r="GQ95" s="197">
        <v>1</v>
      </c>
    </row>
    <row r="96" spans="1:199">
      <c r="A96" s="209"/>
      <c r="B96" s="211"/>
      <c r="C96" s="211"/>
      <c r="D96" s="384" t="s">
        <v>943</v>
      </c>
      <c r="E96" s="386">
        <v>0</v>
      </c>
      <c r="F96" s="201">
        <v>0</v>
      </c>
      <c r="G96" s="201">
        <v>0</v>
      </c>
      <c r="H96" s="201">
        <v>0</v>
      </c>
      <c r="I96" s="383">
        <v>1</v>
      </c>
      <c r="J96" s="201">
        <v>0</v>
      </c>
      <c r="K96" s="201">
        <v>0</v>
      </c>
      <c r="L96" s="201">
        <v>0</v>
      </c>
      <c r="M96" s="201">
        <v>0</v>
      </c>
      <c r="N96" s="383">
        <v>1</v>
      </c>
      <c r="O96" s="201">
        <v>0</v>
      </c>
      <c r="P96" s="201">
        <v>0</v>
      </c>
      <c r="Q96" s="201">
        <v>0</v>
      </c>
      <c r="R96" s="201">
        <v>0</v>
      </c>
      <c r="S96" s="383">
        <v>1</v>
      </c>
      <c r="T96" s="386">
        <v>0</v>
      </c>
      <c r="U96" s="201">
        <v>0</v>
      </c>
      <c r="V96" s="201">
        <v>0</v>
      </c>
      <c r="W96" s="201">
        <v>0</v>
      </c>
      <c r="X96" s="383">
        <v>1</v>
      </c>
      <c r="Y96" s="201">
        <v>0</v>
      </c>
      <c r="Z96" s="201">
        <v>0</v>
      </c>
      <c r="AA96" s="201">
        <v>0</v>
      </c>
      <c r="AB96" s="201">
        <v>0</v>
      </c>
      <c r="AC96" s="383">
        <v>1</v>
      </c>
      <c r="AD96" s="201">
        <v>0</v>
      </c>
      <c r="AE96" s="201">
        <v>0</v>
      </c>
      <c r="AF96" s="201">
        <v>0</v>
      </c>
      <c r="AG96" s="201">
        <v>0</v>
      </c>
      <c r="AH96" s="383">
        <v>1</v>
      </c>
      <c r="AI96" s="201">
        <v>0</v>
      </c>
      <c r="AJ96" s="201">
        <v>0</v>
      </c>
      <c r="AK96" s="201">
        <v>0</v>
      </c>
      <c r="AL96" s="201">
        <v>0</v>
      </c>
      <c r="AM96" s="383">
        <v>1</v>
      </c>
      <c r="AN96" s="201">
        <v>0</v>
      </c>
      <c r="AO96" s="201">
        <v>0</v>
      </c>
      <c r="AP96" s="201">
        <v>0</v>
      </c>
      <c r="AQ96" s="201">
        <v>0</v>
      </c>
      <c r="AR96" s="383">
        <v>1</v>
      </c>
      <c r="AS96" s="201">
        <v>0</v>
      </c>
      <c r="AT96" s="201">
        <v>0</v>
      </c>
      <c r="AU96" s="201">
        <v>0</v>
      </c>
      <c r="AV96" s="201">
        <v>0</v>
      </c>
      <c r="AW96" s="383">
        <v>1</v>
      </c>
      <c r="AX96" s="201">
        <v>0</v>
      </c>
      <c r="AY96" s="201">
        <v>0</v>
      </c>
      <c r="AZ96" s="201">
        <v>0</v>
      </c>
      <c r="BA96" s="201">
        <v>0</v>
      </c>
      <c r="BB96" s="383">
        <v>1</v>
      </c>
      <c r="BC96" s="201">
        <v>0</v>
      </c>
      <c r="BD96" s="201">
        <v>0</v>
      </c>
      <c r="BE96" s="201">
        <v>0</v>
      </c>
      <c r="BF96" s="201">
        <v>0</v>
      </c>
      <c r="BG96" s="383">
        <v>1</v>
      </c>
      <c r="BH96" s="201">
        <v>0</v>
      </c>
      <c r="BI96" s="201">
        <v>0</v>
      </c>
      <c r="BJ96" s="201">
        <v>0</v>
      </c>
      <c r="BK96" s="201">
        <v>0</v>
      </c>
      <c r="BL96" s="383">
        <v>1</v>
      </c>
      <c r="BM96" s="201">
        <v>0</v>
      </c>
      <c r="BN96" s="201">
        <v>0</v>
      </c>
      <c r="BO96" s="201">
        <v>0</v>
      </c>
      <c r="BP96" s="201">
        <v>0</v>
      </c>
      <c r="BQ96" s="383">
        <v>1</v>
      </c>
      <c r="BR96" s="201">
        <v>0</v>
      </c>
      <c r="BS96" s="201">
        <v>0</v>
      </c>
      <c r="BT96" s="201">
        <v>0</v>
      </c>
      <c r="BU96" s="201">
        <v>0</v>
      </c>
      <c r="BV96" s="383">
        <v>1</v>
      </c>
      <c r="BW96" s="201">
        <v>0</v>
      </c>
      <c r="BX96" s="201">
        <v>0</v>
      </c>
      <c r="BY96" s="201">
        <v>0</v>
      </c>
      <c r="BZ96" s="201">
        <v>0</v>
      </c>
      <c r="CA96" s="383">
        <v>1</v>
      </c>
      <c r="CB96" s="201">
        <v>0</v>
      </c>
      <c r="CC96" s="201">
        <v>0</v>
      </c>
      <c r="CD96" s="201">
        <v>0</v>
      </c>
      <c r="CE96" s="201">
        <v>0</v>
      </c>
      <c r="CF96" s="383">
        <v>1</v>
      </c>
      <c r="CG96" s="201">
        <v>0</v>
      </c>
      <c r="CH96" s="201">
        <v>0</v>
      </c>
      <c r="CI96" s="201">
        <v>0</v>
      </c>
      <c r="CJ96" s="201">
        <v>0</v>
      </c>
      <c r="CK96" s="383">
        <v>1</v>
      </c>
      <c r="CL96" s="201">
        <v>0</v>
      </c>
      <c r="CM96" s="201">
        <v>0</v>
      </c>
      <c r="CN96" s="201">
        <v>0</v>
      </c>
      <c r="CO96" s="201">
        <v>0</v>
      </c>
      <c r="CP96" s="383">
        <v>1</v>
      </c>
      <c r="CQ96" s="201">
        <v>0</v>
      </c>
      <c r="CR96" s="201">
        <v>0</v>
      </c>
      <c r="CS96" s="201">
        <v>0</v>
      </c>
      <c r="CT96" s="201">
        <v>0</v>
      </c>
      <c r="CU96" s="383">
        <v>1</v>
      </c>
      <c r="CV96" s="201">
        <v>0</v>
      </c>
      <c r="CW96" s="201">
        <v>0</v>
      </c>
      <c r="CX96" s="201">
        <v>0</v>
      </c>
      <c r="CY96" s="201">
        <v>0</v>
      </c>
      <c r="CZ96" s="383">
        <v>1</v>
      </c>
      <c r="DA96" s="201">
        <v>0</v>
      </c>
      <c r="DB96" s="201">
        <v>0</v>
      </c>
      <c r="DC96" s="201">
        <v>0</v>
      </c>
      <c r="DD96" s="201">
        <v>0</v>
      </c>
      <c r="DE96" s="383">
        <v>1</v>
      </c>
      <c r="DF96" s="201">
        <v>0</v>
      </c>
      <c r="DG96" s="201">
        <v>0</v>
      </c>
      <c r="DH96" s="201">
        <v>0</v>
      </c>
      <c r="DI96" s="201">
        <v>0</v>
      </c>
      <c r="DJ96" s="383">
        <v>1</v>
      </c>
      <c r="DK96" s="201">
        <v>0</v>
      </c>
      <c r="DL96" s="201">
        <v>0</v>
      </c>
      <c r="DM96" s="201">
        <v>0</v>
      </c>
      <c r="DN96" s="201">
        <v>0</v>
      </c>
      <c r="DO96" s="383">
        <v>1</v>
      </c>
      <c r="DP96" s="201">
        <v>0</v>
      </c>
      <c r="DQ96" s="201">
        <v>0</v>
      </c>
      <c r="DR96" s="201">
        <v>0</v>
      </c>
      <c r="DS96" s="201">
        <v>0</v>
      </c>
      <c r="DT96" s="383">
        <v>1</v>
      </c>
      <c r="DU96" s="201">
        <v>0</v>
      </c>
      <c r="DV96" s="201">
        <v>0</v>
      </c>
      <c r="DW96" s="201">
        <v>0</v>
      </c>
      <c r="DX96" s="201">
        <v>0</v>
      </c>
      <c r="DY96" s="383">
        <v>1</v>
      </c>
      <c r="DZ96" s="201">
        <v>0</v>
      </c>
      <c r="EA96" s="201">
        <v>0</v>
      </c>
      <c r="EB96" s="201">
        <v>0</v>
      </c>
      <c r="EC96" s="201">
        <v>0</v>
      </c>
      <c r="ED96" s="383">
        <v>1</v>
      </c>
      <c r="EE96" s="201">
        <v>0</v>
      </c>
      <c r="EF96" s="201">
        <v>0</v>
      </c>
      <c r="EG96" s="201">
        <v>0</v>
      </c>
      <c r="EH96" s="201">
        <v>0</v>
      </c>
      <c r="EI96" s="383">
        <v>1</v>
      </c>
      <c r="EJ96" s="201">
        <v>0</v>
      </c>
      <c r="EK96" s="201">
        <v>0</v>
      </c>
      <c r="EL96" s="201">
        <v>0</v>
      </c>
      <c r="EM96" s="201">
        <v>0</v>
      </c>
      <c r="EN96" s="383">
        <v>1</v>
      </c>
      <c r="EO96" s="201">
        <v>0</v>
      </c>
      <c r="EP96" s="201">
        <v>0</v>
      </c>
      <c r="EQ96" s="201">
        <v>0</v>
      </c>
      <c r="ER96" s="201">
        <v>0</v>
      </c>
      <c r="ES96" s="383">
        <v>1</v>
      </c>
      <c r="ET96" s="201">
        <v>0</v>
      </c>
      <c r="EU96" s="201">
        <v>0</v>
      </c>
      <c r="EV96" s="201">
        <v>0</v>
      </c>
      <c r="EW96" s="201">
        <v>0</v>
      </c>
      <c r="EX96" s="383">
        <v>1</v>
      </c>
      <c r="EY96" s="201">
        <v>0</v>
      </c>
      <c r="EZ96" s="201">
        <v>0</v>
      </c>
      <c r="FA96" s="201">
        <v>0</v>
      </c>
      <c r="FB96" s="201">
        <v>0</v>
      </c>
      <c r="FC96" s="383">
        <v>1</v>
      </c>
      <c r="FD96" s="201">
        <v>0</v>
      </c>
      <c r="FE96" s="201">
        <v>0</v>
      </c>
      <c r="FF96" s="201">
        <v>0</v>
      </c>
      <c r="FG96" s="201">
        <v>0</v>
      </c>
      <c r="FH96" s="383">
        <v>1</v>
      </c>
      <c r="FI96" s="201">
        <v>0</v>
      </c>
      <c r="FJ96" s="201">
        <v>0</v>
      </c>
      <c r="FK96" s="201">
        <v>0</v>
      </c>
      <c r="FL96" s="201">
        <v>0</v>
      </c>
      <c r="FM96" s="383">
        <v>1</v>
      </c>
      <c r="FN96" s="201">
        <v>0</v>
      </c>
      <c r="FO96" s="201">
        <v>0</v>
      </c>
      <c r="FP96" s="201">
        <v>0</v>
      </c>
      <c r="FQ96" s="201">
        <v>0</v>
      </c>
      <c r="FR96" s="383">
        <v>1</v>
      </c>
      <c r="FS96" s="201">
        <v>0</v>
      </c>
      <c r="FT96" s="201">
        <v>0</v>
      </c>
      <c r="FU96" s="201">
        <v>0</v>
      </c>
      <c r="FV96" s="201">
        <v>0</v>
      </c>
      <c r="FW96" s="383">
        <v>1</v>
      </c>
      <c r="FX96" s="201">
        <v>0</v>
      </c>
      <c r="FY96" s="201">
        <v>0</v>
      </c>
      <c r="FZ96" s="201">
        <v>0</v>
      </c>
      <c r="GA96" s="201">
        <v>0</v>
      </c>
      <c r="GB96" s="383">
        <v>1</v>
      </c>
      <c r="GC96" s="201">
        <v>0</v>
      </c>
      <c r="GD96" s="201">
        <v>0</v>
      </c>
      <c r="GE96" s="201">
        <v>0</v>
      </c>
      <c r="GF96" s="201">
        <v>0</v>
      </c>
      <c r="GG96" s="383">
        <v>1</v>
      </c>
      <c r="GH96" s="201">
        <v>0</v>
      </c>
      <c r="GI96" s="201">
        <v>0</v>
      </c>
      <c r="GJ96" s="201">
        <v>0</v>
      </c>
      <c r="GK96" s="201">
        <v>0</v>
      </c>
      <c r="GL96" s="383">
        <v>1</v>
      </c>
      <c r="GM96" s="201">
        <v>0</v>
      </c>
      <c r="GN96" s="201">
        <v>0</v>
      </c>
      <c r="GO96" s="201">
        <v>0</v>
      </c>
      <c r="GP96" s="201">
        <v>0</v>
      </c>
      <c r="GQ96" s="383">
        <v>1</v>
      </c>
    </row>
    <row r="98" spans="1:199">
      <c r="A98" s="195"/>
      <c r="B98" s="195" t="s">
        <v>1009</v>
      </c>
    </row>
    <row r="99" spans="1:199">
      <c r="B99" s="196"/>
      <c r="C99" s="196" t="s">
        <v>1010</v>
      </c>
      <c r="D99" s="196" t="s">
        <v>944</v>
      </c>
      <c r="E99" s="199">
        <v>0</v>
      </c>
      <c r="F99" s="197">
        <v>0.8</v>
      </c>
      <c r="G99" s="197">
        <v>1</v>
      </c>
      <c r="H99" s="197">
        <v>1.2</v>
      </c>
      <c r="I99" s="197">
        <v>1</v>
      </c>
      <c r="J99" s="197">
        <v>0</v>
      </c>
      <c r="K99" s="197">
        <v>0</v>
      </c>
      <c r="L99" s="197">
        <v>0</v>
      </c>
      <c r="M99" s="197">
        <v>0</v>
      </c>
      <c r="N99" s="197">
        <v>1</v>
      </c>
      <c r="O99" s="197">
        <v>0</v>
      </c>
      <c r="P99" s="197">
        <v>0.8</v>
      </c>
      <c r="Q99" s="197">
        <v>1</v>
      </c>
      <c r="R99" s="197">
        <v>1.2</v>
      </c>
      <c r="S99" s="197">
        <v>1</v>
      </c>
      <c r="T99" s="199">
        <v>0</v>
      </c>
      <c r="U99" s="197">
        <v>0.8</v>
      </c>
      <c r="V99" s="197">
        <v>1</v>
      </c>
      <c r="W99" s="197">
        <v>1.2</v>
      </c>
      <c r="X99" s="197">
        <v>1</v>
      </c>
      <c r="Y99" s="197">
        <v>0</v>
      </c>
      <c r="Z99" s="197">
        <v>0</v>
      </c>
      <c r="AA99" s="197">
        <v>1</v>
      </c>
      <c r="AB99" s="197">
        <v>1.2</v>
      </c>
      <c r="AC99" s="197">
        <v>1</v>
      </c>
      <c r="AD99" s="197">
        <v>0</v>
      </c>
      <c r="AE99" s="197">
        <v>0.8</v>
      </c>
      <c r="AF99" s="197">
        <v>1</v>
      </c>
      <c r="AG99" s="197">
        <v>1.2</v>
      </c>
      <c r="AH99" s="197">
        <v>1</v>
      </c>
      <c r="AI99" s="197">
        <v>0</v>
      </c>
      <c r="AJ99" s="197">
        <v>0.8</v>
      </c>
      <c r="AK99" s="197">
        <v>1</v>
      </c>
      <c r="AL99" s="197">
        <v>1.2</v>
      </c>
      <c r="AM99" s="197">
        <v>1</v>
      </c>
      <c r="AN99" s="197">
        <v>0</v>
      </c>
      <c r="AO99" s="197">
        <v>0</v>
      </c>
      <c r="AP99" s="197">
        <v>1</v>
      </c>
      <c r="AQ99" s="197">
        <v>1.2</v>
      </c>
      <c r="AR99" s="197">
        <v>1</v>
      </c>
      <c r="AS99" s="197">
        <v>0</v>
      </c>
      <c r="AT99" s="197">
        <v>0.8</v>
      </c>
      <c r="AU99" s="197">
        <v>1</v>
      </c>
      <c r="AV99" s="197">
        <v>1.2</v>
      </c>
      <c r="AW99" s="197">
        <v>1</v>
      </c>
      <c r="AX99" s="197">
        <v>0</v>
      </c>
      <c r="AY99" s="197">
        <v>0.8</v>
      </c>
      <c r="AZ99" s="197">
        <v>1</v>
      </c>
      <c r="BA99" s="197">
        <v>1.2</v>
      </c>
      <c r="BB99" s="197">
        <v>1</v>
      </c>
      <c r="BC99" s="197">
        <v>0</v>
      </c>
      <c r="BD99" s="197">
        <v>0</v>
      </c>
      <c r="BE99" s="197">
        <v>1</v>
      </c>
      <c r="BF99" s="197">
        <v>1.2</v>
      </c>
      <c r="BG99" s="197">
        <v>1</v>
      </c>
      <c r="BH99" s="197">
        <v>0</v>
      </c>
      <c r="BI99" s="197">
        <v>0.8</v>
      </c>
      <c r="BJ99" s="197">
        <v>1</v>
      </c>
      <c r="BK99" s="197">
        <v>1.2</v>
      </c>
      <c r="BL99" s="197">
        <v>1</v>
      </c>
      <c r="BM99" s="197">
        <v>0</v>
      </c>
      <c r="BN99" s="197">
        <v>0.8</v>
      </c>
      <c r="BO99" s="197">
        <v>1</v>
      </c>
      <c r="BP99" s="197">
        <v>1.2</v>
      </c>
      <c r="BQ99" s="197">
        <v>1</v>
      </c>
      <c r="BR99" s="197">
        <v>0</v>
      </c>
      <c r="BS99" s="197">
        <v>0</v>
      </c>
      <c r="BT99" s="197">
        <v>1</v>
      </c>
      <c r="BU99" s="197">
        <v>1.2</v>
      </c>
      <c r="BV99" s="197">
        <v>1</v>
      </c>
      <c r="BW99" s="197">
        <v>0</v>
      </c>
      <c r="BX99" s="197">
        <v>0.8</v>
      </c>
      <c r="BY99" s="197">
        <v>1</v>
      </c>
      <c r="BZ99" s="197">
        <v>1.2</v>
      </c>
      <c r="CA99" s="197">
        <v>1</v>
      </c>
      <c r="CB99" s="197">
        <v>0</v>
      </c>
      <c r="CC99" s="197">
        <v>0.8</v>
      </c>
      <c r="CD99" s="197">
        <v>1</v>
      </c>
      <c r="CE99" s="197">
        <v>1.2</v>
      </c>
      <c r="CF99" s="197">
        <v>1</v>
      </c>
      <c r="CG99" s="197">
        <v>0</v>
      </c>
      <c r="CH99" s="197">
        <v>0</v>
      </c>
      <c r="CI99" s="197">
        <v>1</v>
      </c>
      <c r="CJ99" s="197">
        <v>1.2</v>
      </c>
      <c r="CK99" s="197">
        <v>1</v>
      </c>
      <c r="CL99" s="197">
        <v>0</v>
      </c>
      <c r="CM99" s="197">
        <v>0.8</v>
      </c>
      <c r="CN99" s="197">
        <v>1</v>
      </c>
      <c r="CO99" s="197">
        <v>1.2</v>
      </c>
      <c r="CP99" s="197">
        <v>1</v>
      </c>
      <c r="CQ99" s="197">
        <v>0</v>
      </c>
      <c r="CR99" s="197">
        <v>0.8</v>
      </c>
      <c r="CS99" s="197">
        <v>1</v>
      </c>
      <c r="CT99" s="197">
        <v>1.2</v>
      </c>
      <c r="CU99" s="197">
        <v>1</v>
      </c>
      <c r="CV99" s="197">
        <v>0</v>
      </c>
      <c r="CW99" s="197">
        <v>0</v>
      </c>
      <c r="CX99" s="197">
        <v>1</v>
      </c>
      <c r="CY99" s="197">
        <v>1.2</v>
      </c>
      <c r="CZ99" s="197">
        <v>1</v>
      </c>
      <c r="DA99" s="197">
        <v>0</v>
      </c>
      <c r="DB99" s="197">
        <v>0.8</v>
      </c>
      <c r="DC99" s="197">
        <v>1</v>
      </c>
      <c r="DD99" s="197">
        <v>1.2</v>
      </c>
      <c r="DE99" s="197">
        <v>1</v>
      </c>
      <c r="DF99" s="197">
        <v>0</v>
      </c>
      <c r="DG99" s="197">
        <v>0.8</v>
      </c>
      <c r="DH99" s="197">
        <v>1</v>
      </c>
      <c r="DI99" s="197">
        <v>1.2</v>
      </c>
      <c r="DJ99" s="197">
        <v>1</v>
      </c>
      <c r="DK99" s="197">
        <v>0</v>
      </c>
      <c r="DL99" s="197">
        <v>0</v>
      </c>
      <c r="DM99" s="197">
        <v>1</v>
      </c>
      <c r="DN99" s="197">
        <v>1.2</v>
      </c>
      <c r="DO99" s="197">
        <v>1</v>
      </c>
      <c r="DP99" s="197">
        <v>0</v>
      </c>
      <c r="DQ99" s="197">
        <v>0.8</v>
      </c>
      <c r="DR99" s="197">
        <v>1</v>
      </c>
      <c r="DS99" s="197">
        <v>1.2</v>
      </c>
      <c r="DT99" s="197">
        <v>1</v>
      </c>
      <c r="DU99" s="197">
        <v>0</v>
      </c>
      <c r="DV99" s="197">
        <v>0.8</v>
      </c>
      <c r="DW99" s="197">
        <v>1</v>
      </c>
      <c r="DX99" s="197">
        <v>1.2</v>
      </c>
      <c r="DY99" s="197">
        <v>1</v>
      </c>
      <c r="DZ99" s="197">
        <v>0</v>
      </c>
      <c r="EA99" s="197">
        <v>0</v>
      </c>
      <c r="EB99" s="197">
        <v>1</v>
      </c>
      <c r="EC99" s="197">
        <v>1.2</v>
      </c>
      <c r="ED99" s="197">
        <v>1</v>
      </c>
      <c r="EE99" s="197">
        <v>0</v>
      </c>
      <c r="EF99" s="197">
        <v>0.8</v>
      </c>
      <c r="EG99" s="197">
        <v>1</v>
      </c>
      <c r="EH99" s="197">
        <v>1.2</v>
      </c>
      <c r="EI99" s="197">
        <v>1</v>
      </c>
      <c r="EJ99" s="197">
        <v>0</v>
      </c>
      <c r="EK99" s="197">
        <v>0.8</v>
      </c>
      <c r="EL99" s="197">
        <v>1</v>
      </c>
      <c r="EM99" s="197">
        <v>1.2</v>
      </c>
      <c r="EN99" s="197">
        <v>1</v>
      </c>
      <c r="EO99" s="197">
        <v>0</v>
      </c>
      <c r="EP99" s="197">
        <v>0</v>
      </c>
      <c r="EQ99" s="197">
        <v>1</v>
      </c>
      <c r="ER99" s="197">
        <v>1.2</v>
      </c>
      <c r="ES99" s="197">
        <v>1</v>
      </c>
      <c r="ET99" s="197">
        <v>0</v>
      </c>
      <c r="EU99" s="197">
        <v>0.8</v>
      </c>
      <c r="EV99" s="197">
        <v>1</v>
      </c>
      <c r="EW99" s="197">
        <v>1.2</v>
      </c>
      <c r="EX99" s="197">
        <v>1</v>
      </c>
      <c r="EY99" s="197">
        <v>0</v>
      </c>
      <c r="EZ99" s="197">
        <v>0.8</v>
      </c>
      <c r="FA99" s="197">
        <v>1</v>
      </c>
      <c r="FB99" s="197">
        <v>1.2</v>
      </c>
      <c r="FC99" s="197">
        <v>1</v>
      </c>
      <c r="FD99" s="197">
        <v>0</v>
      </c>
      <c r="FE99" s="197">
        <v>0</v>
      </c>
      <c r="FF99" s="197">
        <v>1</v>
      </c>
      <c r="FG99" s="197">
        <v>1.2</v>
      </c>
      <c r="FH99" s="197">
        <v>1</v>
      </c>
      <c r="FI99" s="197">
        <v>0</v>
      </c>
      <c r="FJ99" s="197">
        <v>0.8</v>
      </c>
      <c r="FK99" s="197">
        <v>1</v>
      </c>
      <c r="FL99" s="197">
        <v>1.2</v>
      </c>
      <c r="FM99" s="197">
        <v>1</v>
      </c>
      <c r="FN99" s="197">
        <v>0</v>
      </c>
      <c r="FO99" s="197">
        <v>0.8</v>
      </c>
      <c r="FP99" s="197">
        <v>1</v>
      </c>
      <c r="FQ99" s="197">
        <v>1.2</v>
      </c>
      <c r="FR99" s="197">
        <v>1</v>
      </c>
      <c r="FS99" s="197">
        <v>0</v>
      </c>
      <c r="FT99" s="197">
        <v>0</v>
      </c>
      <c r="FU99" s="197">
        <v>1</v>
      </c>
      <c r="FV99" s="197">
        <v>1.2</v>
      </c>
      <c r="FW99" s="197">
        <v>1</v>
      </c>
      <c r="FX99" s="197">
        <v>0</v>
      </c>
      <c r="FY99" s="197">
        <v>0.8</v>
      </c>
      <c r="FZ99" s="197">
        <v>1</v>
      </c>
      <c r="GA99" s="197">
        <v>1.2</v>
      </c>
      <c r="GB99" s="197">
        <v>1</v>
      </c>
      <c r="GC99" s="197">
        <v>0</v>
      </c>
      <c r="GD99" s="197">
        <v>0.8</v>
      </c>
      <c r="GE99" s="197">
        <v>1</v>
      </c>
      <c r="GF99" s="197">
        <v>1.2</v>
      </c>
      <c r="GG99" s="197">
        <v>1</v>
      </c>
      <c r="GH99" s="197">
        <v>0</v>
      </c>
      <c r="GI99" s="197">
        <v>0</v>
      </c>
      <c r="GJ99" s="197">
        <v>1</v>
      </c>
      <c r="GK99" s="197">
        <v>1.2</v>
      </c>
      <c r="GL99" s="197">
        <v>1</v>
      </c>
      <c r="GM99" s="197">
        <v>0</v>
      </c>
      <c r="GN99" s="197">
        <v>0.8</v>
      </c>
      <c r="GO99" s="197">
        <v>1</v>
      </c>
      <c r="GP99" s="198">
        <v>1.2</v>
      </c>
      <c r="GQ99" s="197">
        <v>1</v>
      </c>
    </row>
    <row r="100" spans="1:199">
      <c r="B100" s="188"/>
      <c r="C100" s="188"/>
      <c r="D100" s="188" t="s">
        <v>1011</v>
      </c>
      <c r="E100" s="190">
        <v>0</v>
      </c>
      <c r="F100" s="193">
        <v>0.8</v>
      </c>
      <c r="G100" s="193">
        <v>1</v>
      </c>
      <c r="H100" s="193">
        <v>1.5</v>
      </c>
      <c r="I100" s="193">
        <v>1</v>
      </c>
      <c r="J100" s="193">
        <v>0</v>
      </c>
      <c r="K100" s="193">
        <v>0</v>
      </c>
      <c r="L100" s="193">
        <v>0</v>
      </c>
      <c r="M100" s="193">
        <v>0</v>
      </c>
      <c r="N100" s="193">
        <v>1</v>
      </c>
      <c r="O100" s="193">
        <v>0</v>
      </c>
      <c r="P100" s="193">
        <v>0.8</v>
      </c>
      <c r="Q100" s="193">
        <v>1</v>
      </c>
      <c r="R100" s="193">
        <v>1.5</v>
      </c>
      <c r="S100" s="193">
        <v>1</v>
      </c>
      <c r="T100" s="190">
        <v>0</v>
      </c>
      <c r="U100" s="193">
        <v>0.8</v>
      </c>
      <c r="V100" s="193">
        <v>1</v>
      </c>
      <c r="W100" s="193">
        <v>1.5</v>
      </c>
      <c r="X100" s="193">
        <v>1</v>
      </c>
      <c r="Y100" s="193">
        <v>0</v>
      </c>
      <c r="Z100" s="193">
        <v>0</v>
      </c>
      <c r="AA100" s="193">
        <v>1</v>
      </c>
      <c r="AB100" s="193">
        <v>1.5</v>
      </c>
      <c r="AC100" s="193">
        <v>1</v>
      </c>
      <c r="AD100" s="193">
        <v>0</v>
      </c>
      <c r="AE100" s="193">
        <v>0.8</v>
      </c>
      <c r="AF100" s="193">
        <v>1</v>
      </c>
      <c r="AG100" s="193">
        <v>1.5</v>
      </c>
      <c r="AH100" s="193">
        <v>1</v>
      </c>
      <c r="AI100" s="193">
        <v>0</v>
      </c>
      <c r="AJ100" s="193">
        <v>0.8</v>
      </c>
      <c r="AK100" s="193">
        <v>1</v>
      </c>
      <c r="AL100" s="193">
        <v>1.5</v>
      </c>
      <c r="AM100" s="193">
        <v>1</v>
      </c>
      <c r="AN100" s="193">
        <v>0</v>
      </c>
      <c r="AO100" s="193">
        <v>0</v>
      </c>
      <c r="AP100" s="193">
        <v>1</v>
      </c>
      <c r="AQ100" s="193">
        <v>1.5</v>
      </c>
      <c r="AR100" s="193">
        <v>1</v>
      </c>
      <c r="AS100" s="193">
        <v>0</v>
      </c>
      <c r="AT100" s="193">
        <v>0.8</v>
      </c>
      <c r="AU100" s="193">
        <v>1</v>
      </c>
      <c r="AV100" s="193">
        <v>1.5</v>
      </c>
      <c r="AW100" s="193">
        <v>1</v>
      </c>
      <c r="AX100" s="193">
        <v>0</v>
      </c>
      <c r="AY100" s="193">
        <v>0.8</v>
      </c>
      <c r="AZ100" s="193">
        <v>1</v>
      </c>
      <c r="BA100" s="193">
        <v>1.5</v>
      </c>
      <c r="BB100" s="193">
        <v>1</v>
      </c>
      <c r="BC100" s="193">
        <v>0</v>
      </c>
      <c r="BD100" s="193">
        <v>0</v>
      </c>
      <c r="BE100" s="193">
        <v>1</v>
      </c>
      <c r="BF100" s="193">
        <v>1.5</v>
      </c>
      <c r="BG100" s="193">
        <v>1</v>
      </c>
      <c r="BH100" s="193">
        <v>0</v>
      </c>
      <c r="BI100" s="193">
        <v>0.8</v>
      </c>
      <c r="BJ100" s="193">
        <v>1</v>
      </c>
      <c r="BK100" s="193">
        <v>1.5</v>
      </c>
      <c r="BL100" s="193">
        <v>1</v>
      </c>
      <c r="BM100" s="193">
        <v>0</v>
      </c>
      <c r="BN100" s="193">
        <v>0.8</v>
      </c>
      <c r="BO100" s="193">
        <v>1</v>
      </c>
      <c r="BP100" s="193">
        <v>1.5</v>
      </c>
      <c r="BQ100" s="193">
        <v>1</v>
      </c>
      <c r="BR100" s="193">
        <v>0</v>
      </c>
      <c r="BS100" s="193">
        <v>0</v>
      </c>
      <c r="BT100" s="193">
        <v>1</v>
      </c>
      <c r="BU100" s="193">
        <v>1.5</v>
      </c>
      <c r="BV100" s="193">
        <v>1</v>
      </c>
      <c r="BW100" s="193">
        <v>0</v>
      </c>
      <c r="BX100" s="193">
        <v>0.8</v>
      </c>
      <c r="BY100" s="193">
        <v>1</v>
      </c>
      <c r="BZ100" s="193">
        <v>1.5</v>
      </c>
      <c r="CA100" s="193">
        <v>1</v>
      </c>
      <c r="CB100" s="193">
        <v>0</v>
      </c>
      <c r="CC100" s="193">
        <v>0.8</v>
      </c>
      <c r="CD100" s="193">
        <v>1</v>
      </c>
      <c r="CE100" s="193">
        <v>1.5</v>
      </c>
      <c r="CF100" s="193">
        <v>1</v>
      </c>
      <c r="CG100" s="193">
        <v>0</v>
      </c>
      <c r="CH100" s="193">
        <v>0</v>
      </c>
      <c r="CI100" s="193">
        <v>1</v>
      </c>
      <c r="CJ100" s="193">
        <v>1.5</v>
      </c>
      <c r="CK100" s="193">
        <v>1</v>
      </c>
      <c r="CL100" s="193">
        <v>0</v>
      </c>
      <c r="CM100" s="193">
        <v>0.8</v>
      </c>
      <c r="CN100" s="193">
        <v>1</v>
      </c>
      <c r="CO100" s="193">
        <v>1.5</v>
      </c>
      <c r="CP100" s="193">
        <v>1</v>
      </c>
      <c r="CQ100" s="193">
        <v>0</v>
      </c>
      <c r="CR100" s="193">
        <v>0.8</v>
      </c>
      <c r="CS100" s="193">
        <v>1</v>
      </c>
      <c r="CT100" s="193">
        <v>1.5</v>
      </c>
      <c r="CU100" s="193">
        <v>1</v>
      </c>
      <c r="CV100" s="193">
        <v>0</v>
      </c>
      <c r="CW100" s="193">
        <v>0</v>
      </c>
      <c r="CX100" s="193">
        <v>1</v>
      </c>
      <c r="CY100" s="193">
        <v>1.5</v>
      </c>
      <c r="CZ100" s="193">
        <v>1</v>
      </c>
      <c r="DA100" s="193">
        <v>0</v>
      </c>
      <c r="DB100" s="193">
        <v>0.8</v>
      </c>
      <c r="DC100" s="193">
        <v>1</v>
      </c>
      <c r="DD100" s="193">
        <v>1.5</v>
      </c>
      <c r="DE100" s="193">
        <v>1</v>
      </c>
      <c r="DF100" s="193">
        <v>0</v>
      </c>
      <c r="DG100" s="193">
        <v>0.8</v>
      </c>
      <c r="DH100" s="193">
        <v>1</v>
      </c>
      <c r="DI100" s="193">
        <v>1.5</v>
      </c>
      <c r="DJ100" s="193">
        <v>1</v>
      </c>
      <c r="DK100" s="193">
        <v>0</v>
      </c>
      <c r="DL100" s="193">
        <v>0</v>
      </c>
      <c r="DM100" s="193">
        <v>1</v>
      </c>
      <c r="DN100" s="193">
        <v>1.5</v>
      </c>
      <c r="DO100" s="193">
        <v>1</v>
      </c>
      <c r="DP100" s="193">
        <v>0</v>
      </c>
      <c r="DQ100" s="193">
        <v>0.8</v>
      </c>
      <c r="DR100" s="193">
        <v>1</v>
      </c>
      <c r="DS100" s="193">
        <v>1.5</v>
      </c>
      <c r="DT100" s="193">
        <v>1</v>
      </c>
      <c r="DU100" s="193">
        <v>0</v>
      </c>
      <c r="DV100" s="193">
        <v>0.8</v>
      </c>
      <c r="DW100" s="193">
        <v>1</v>
      </c>
      <c r="DX100" s="193">
        <v>1.5</v>
      </c>
      <c r="DY100" s="193">
        <v>1</v>
      </c>
      <c r="DZ100" s="193">
        <v>0</v>
      </c>
      <c r="EA100" s="193">
        <v>0</v>
      </c>
      <c r="EB100" s="193">
        <v>1</v>
      </c>
      <c r="EC100" s="193">
        <v>1.5</v>
      </c>
      <c r="ED100" s="193">
        <v>1</v>
      </c>
      <c r="EE100" s="193">
        <v>0</v>
      </c>
      <c r="EF100" s="193">
        <v>0.8</v>
      </c>
      <c r="EG100" s="193">
        <v>1</v>
      </c>
      <c r="EH100" s="193">
        <v>1.5</v>
      </c>
      <c r="EI100" s="193">
        <v>1</v>
      </c>
      <c r="EJ100" s="193">
        <v>0</v>
      </c>
      <c r="EK100" s="193">
        <v>0.8</v>
      </c>
      <c r="EL100" s="193">
        <v>1</v>
      </c>
      <c r="EM100" s="193">
        <v>1.5</v>
      </c>
      <c r="EN100" s="193">
        <v>1</v>
      </c>
      <c r="EO100" s="193">
        <v>0</v>
      </c>
      <c r="EP100" s="193">
        <v>0</v>
      </c>
      <c r="EQ100" s="193">
        <v>1</v>
      </c>
      <c r="ER100" s="193">
        <v>1.5</v>
      </c>
      <c r="ES100" s="193">
        <v>1</v>
      </c>
      <c r="ET100" s="193">
        <v>0</v>
      </c>
      <c r="EU100" s="193">
        <v>0.8</v>
      </c>
      <c r="EV100" s="193">
        <v>1</v>
      </c>
      <c r="EW100" s="193">
        <v>1.5</v>
      </c>
      <c r="EX100" s="193">
        <v>1</v>
      </c>
      <c r="EY100" s="193">
        <v>0</v>
      </c>
      <c r="EZ100" s="193">
        <v>0.8</v>
      </c>
      <c r="FA100" s="193">
        <v>1</v>
      </c>
      <c r="FB100" s="193">
        <v>1.5</v>
      </c>
      <c r="FC100" s="193">
        <v>1</v>
      </c>
      <c r="FD100" s="193">
        <v>0</v>
      </c>
      <c r="FE100" s="193">
        <v>0</v>
      </c>
      <c r="FF100" s="193">
        <v>1</v>
      </c>
      <c r="FG100" s="193">
        <v>1.5</v>
      </c>
      <c r="FH100" s="193">
        <v>1</v>
      </c>
      <c r="FI100" s="193">
        <v>0</v>
      </c>
      <c r="FJ100" s="193">
        <v>0.8</v>
      </c>
      <c r="FK100" s="193">
        <v>1</v>
      </c>
      <c r="FL100" s="193">
        <v>1.5</v>
      </c>
      <c r="FM100" s="193">
        <v>1</v>
      </c>
      <c r="FN100" s="193">
        <v>0</v>
      </c>
      <c r="FO100" s="193">
        <v>0.8</v>
      </c>
      <c r="FP100" s="193">
        <v>1</v>
      </c>
      <c r="FQ100" s="193">
        <v>1.5</v>
      </c>
      <c r="FR100" s="193">
        <v>1</v>
      </c>
      <c r="FS100" s="193">
        <v>0</v>
      </c>
      <c r="FT100" s="193">
        <v>0</v>
      </c>
      <c r="FU100" s="193">
        <v>1</v>
      </c>
      <c r="FV100" s="193">
        <v>1.5</v>
      </c>
      <c r="FW100" s="193">
        <v>1</v>
      </c>
      <c r="FX100" s="193">
        <v>0</v>
      </c>
      <c r="FY100" s="193">
        <v>0.8</v>
      </c>
      <c r="FZ100" s="193">
        <v>1</v>
      </c>
      <c r="GA100" s="193">
        <v>1.5</v>
      </c>
      <c r="GB100" s="193">
        <v>1</v>
      </c>
      <c r="GC100" s="193">
        <v>0</v>
      </c>
      <c r="GD100" s="193">
        <v>0.8</v>
      </c>
      <c r="GE100" s="193">
        <v>1</v>
      </c>
      <c r="GF100" s="193">
        <v>1.5</v>
      </c>
      <c r="GG100" s="193">
        <v>1</v>
      </c>
      <c r="GH100" s="193">
        <v>0</v>
      </c>
      <c r="GI100" s="193">
        <v>0</v>
      </c>
      <c r="GJ100" s="193">
        <v>1</v>
      </c>
      <c r="GK100" s="193">
        <v>1.5</v>
      </c>
      <c r="GL100" s="193">
        <v>1</v>
      </c>
      <c r="GM100" s="193">
        <v>0</v>
      </c>
      <c r="GN100" s="193">
        <v>0.8</v>
      </c>
      <c r="GO100" s="193">
        <v>1</v>
      </c>
      <c r="GP100" s="187">
        <v>1.5</v>
      </c>
      <c r="GQ100" s="193">
        <v>1</v>
      </c>
    </row>
    <row r="101" spans="1:199">
      <c r="B101" s="188"/>
      <c r="C101" s="188" t="s">
        <v>1012</v>
      </c>
      <c r="D101" s="188" t="s">
        <v>946</v>
      </c>
      <c r="E101" s="190">
        <v>0</v>
      </c>
      <c r="F101" s="193">
        <v>0</v>
      </c>
      <c r="G101" s="193">
        <v>0</v>
      </c>
      <c r="H101" s="193">
        <v>0</v>
      </c>
      <c r="I101" s="193">
        <v>1</v>
      </c>
      <c r="J101" s="193">
        <v>0</v>
      </c>
      <c r="K101" s="193">
        <v>0</v>
      </c>
      <c r="L101" s="193">
        <v>0</v>
      </c>
      <c r="M101" s="193">
        <v>2</v>
      </c>
      <c r="N101" s="193">
        <v>1</v>
      </c>
      <c r="O101" s="193">
        <v>0</v>
      </c>
      <c r="P101" s="193">
        <v>0</v>
      </c>
      <c r="Q101" s="193">
        <v>0</v>
      </c>
      <c r="R101" s="193">
        <v>0</v>
      </c>
      <c r="S101" s="193">
        <v>1</v>
      </c>
      <c r="T101" s="190">
        <v>0</v>
      </c>
      <c r="U101" s="193">
        <v>0</v>
      </c>
      <c r="V101" s="193">
        <v>0</v>
      </c>
      <c r="W101" s="193">
        <v>0</v>
      </c>
      <c r="X101" s="193">
        <v>1</v>
      </c>
      <c r="Y101" s="193">
        <v>0</v>
      </c>
      <c r="Z101" s="193">
        <v>0</v>
      </c>
      <c r="AA101" s="193">
        <v>0</v>
      </c>
      <c r="AB101" s="193">
        <v>0</v>
      </c>
      <c r="AC101" s="193">
        <v>1</v>
      </c>
      <c r="AD101" s="193">
        <v>0</v>
      </c>
      <c r="AE101" s="193">
        <v>0</v>
      </c>
      <c r="AF101" s="193">
        <v>0</v>
      </c>
      <c r="AG101" s="193">
        <v>0</v>
      </c>
      <c r="AH101" s="193">
        <v>1</v>
      </c>
      <c r="AI101" s="193">
        <v>0</v>
      </c>
      <c r="AJ101" s="193">
        <v>0</v>
      </c>
      <c r="AK101" s="193">
        <v>0</v>
      </c>
      <c r="AL101" s="193">
        <v>0</v>
      </c>
      <c r="AM101" s="193">
        <v>1</v>
      </c>
      <c r="AN101" s="193">
        <v>0</v>
      </c>
      <c r="AO101" s="193">
        <v>0</v>
      </c>
      <c r="AP101" s="193">
        <v>0</v>
      </c>
      <c r="AQ101" s="193">
        <v>0</v>
      </c>
      <c r="AR101" s="193">
        <v>1</v>
      </c>
      <c r="AS101" s="193">
        <v>0</v>
      </c>
      <c r="AT101" s="193">
        <v>0</v>
      </c>
      <c r="AU101" s="193">
        <v>0</v>
      </c>
      <c r="AV101" s="193">
        <v>0</v>
      </c>
      <c r="AW101" s="193">
        <v>1</v>
      </c>
      <c r="AX101" s="193">
        <v>0</v>
      </c>
      <c r="AY101" s="193">
        <v>0.8</v>
      </c>
      <c r="AZ101" s="193">
        <v>1</v>
      </c>
      <c r="BA101" s="193">
        <v>1.2</v>
      </c>
      <c r="BB101" s="193">
        <v>1</v>
      </c>
      <c r="BC101" s="193">
        <v>0</v>
      </c>
      <c r="BD101" s="193">
        <v>0</v>
      </c>
      <c r="BE101" s="193">
        <v>0</v>
      </c>
      <c r="BF101" s="193">
        <v>1.2</v>
      </c>
      <c r="BG101" s="193">
        <v>1</v>
      </c>
      <c r="BH101" s="193">
        <v>0</v>
      </c>
      <c r="BI101" s="193">
        <v>0</v>
      </c>
      <c r="BJ101" s="193">
        <v>0</v>
      </c>
      <c r="BK101" s="193">
        <v>1.2</v>
      </c>
      <c r="BL101" s="193">
        <v>1</v>
      </c>
      <c r="BM101" s="193">
        <v>0</v>
      </c>
      <c r="BN101" s="193">
        <v>0.8</v>
      </c>
      <c r="BO101" s="193">
        <v>1</v>
      </c>
      <c r="BP101" s="193">
        <v>1.2</v>
      </c>
      <c r="BQ101" s="193">
        <v>1</v>
      </c>
      <c r="BR101" s="193">
        <v>0</v>
      </c>
      <c r="BS101" s="193">
        <v>0</v>
      </c>
      <c r="BT101" s="193">
        <v>0</v>
      </c>
      <c r="BU101" s="193">
        <v>1.2</v>
      </c>
      <c r="BV101" s="193">
        <v>1</v>
      </c>
      <c r="BW101" s="193">
        <v>0</v>
      </c>
      <c r="BX101" s="193">
        <v>0</v>
      </c>
      <c r="BY101" s="193">
        <v>0</v>
      </c>
      <c r="BZ101" s="193">
        <v>1.2</v>
      </c>
      <c r="CA101" s="193">
        <v>1</v>
      </c>
      <c r="CB101" s="193">
        <v>0</v>
      </c>
      <c r="CC101" s="193">
        <v>0.8</v>
      </c>
      <c r="CD101" s="193">
        <v>1</v>
      </c>
      <c r="CE101" s="193">
        <v>1.2</v>
      </c>
      <c r="CF101" s="193">
        <v>1</v>
      </c>
      <c r="CG101" s="193">
        <v>0</v>
      </c>
      <c r="CH101" s="193">
        <v>0</v>
      </c>
      <c r="CI101" s="193">
        <v>0</v>
      </c>
      <c r="CJ101" s="193">
        <v>1.2</v>
      </c>
      <c r="CK101" s="193">
        <v>1</v>
      </c>
      <c r="CL101" s="193">
        <v>0</v>
      </c>
      <c r="CM101" s="193">
        <v>0</v>
      </c>
      <c r="CN101" s="193">
        <v>0</v>
      </c>
      <c r="CO101" s="193">
        <v>1.2</v>
      </c>
      <c r="CP101" s="193">
        <v>1</v>
      </c>
      <c r="CQ101" s="193">
        <v>0</v>
      </c>
      <c r="CR101" s="193">
        <v>0.8</v>
      </c>
      <c r="CS101" s="193">
        <v>1</v>
      </c>
      <c r="CT101" s="193">
        <v>1.2</v>
      </c>
      <c r="CU101" s="193">
        <v>1</v>
      </c>
      <c r="CV101" s="193">
        <v>0</v>
      </c>
      <c r="CW101" s="193">
        <v>0</v>
      </c>
      <c r="CX101" s="193">
        <v>0</v>
      </c>
      <c r="CY101" s="193">
        <v>1.2</v>
      </c>
      <c r="CZ101" s="193">
        <v>1</v>
      </c>
      <c r="DA101" s="193">
        <v>0</v>
      </c>
      <c r="DB101" s="193">
        <v>0</v>
      </c>
      <c r="DC101" s="193">
        <v>0</v>
      </c>
      <c r="DD101" s="193">
        <v>1.2</v>
      </c>
      <c r="DE101" s="193">
        <v>1</v>
      </c>
      <c r="DF101" s="193">
        <v>0</v>
      </c>
      <c r="DG101" s="193">
        <v>0.8</v>
      </c>
      <c r="DH101" s="193">
        <v>1</v>
      </c>
      <c r="DI101" s="193">
        <v>1.2</v>
      </c>
      <c r="DJ101" s="193">
        <v>1</v>
      </c>
      <c r="DK101" s="193">
        <v>0</v>
      </c>
      <c r="DL101" s="193">
        <v>0</v>
      </c>
      <c r="DM101" s="193">
        <v>0</v>
      </c>
      <c r="DN101" s="193">
        <v>1.2</v>
      </c>
      <c r="DO101" s="193">
        <v>1</v>
      </c>
      <c r="DP101" s="193">
        <v>0</v>
      </c>
      <c r="DQ101" s="193">
        <v>0</v>
      </c>
      <c r="DR101" s="193">
        <v>0</v>
      </c>
      <c r="DS101" s="193">
        <v>1.2</v>
      </c>
      <c r="DT101" s="193">
        <v>1</v>
      </c>
      <c r="DU101" s="193">
        <v>0</v>
      </c>
      <c r="DV101" s="193">
        <v>0.8</v>
      </c>
      <c r="DW101" s="193">
        <v>1</v>
      </c>
      <c r="DX101" s="193">
        <v>1.2</v>
      </c>
      <c r="DY101" s="193">
        <v>1</v>
      </c>
      <c r="DZ101" s="193">
        <v>0</v>
      </c>
      <c r="EA101" s="193">
        <v>0</v>
      </c>
      <c r="EB101" s="193">
        <v>0</v>
      </c>
      <c r="EC101" s="193">
        <v>1.2</v>
      </c>
      <c r="ED101" s="193">
        <v>1</v>
      </c>
      <c r="EE101" s="193">
        <v>0</v>
      </c>
      <c r="EF101" s="193">
        <v>0</v>
      </c>
      <c r="EG101" s="193">
        <v>0</v>
      </c>
      <c r="EH101" s="193">
        <v>1.2</v>
      </c>
      <c r="EI101" s="193">
        <v>1</v>
      </c>
      <c r="EJ101" s="193">
        <v>0</v>
      </c>
      <c r="EK101" s="193">
        <v>0.8</v>
      </c>
      <c r="EL101" s="193">
        <v>1</v>
      </c>
      <c r="EM101" s="193">
        <v>1.2</v>
      </c>
      <c r="EN101" s="193">
        <v>1</v>
      </c>
      <c r="EO101" s="193">
        <v>0</v>
      </c>
      <c r="EP101" s="193">
        <v>0</v>
      </c>
      <c r="EQ101" s="193">
        <v>0</v>
      </c>
      <c r="ER101" s="193">
        <v>1.2</v>
      </c>
      <c r="ES101" s="193">
        <v>1</v>
      </c>
      <c r="ET101" s="193">
        <v>0</v>
      </c>
      <c r="EU101" s="193">
        <v>0</v>
      </c>
      <c r="EV101" s="193">
        <v>0</v>
      </c>
      <c r="EW101" s="193">
        <v>1.2</v>
      </c>
      <c r="EX101" s="193">
        <v>1</v>
      </c>
      <c r="EY101" s="193">
        <v>0</v>
      </c>
      <c r="EZ101" s="193">
        <v>0.8</v>
      </c>
      <c r="FA101" s="193">
        <v>1</v>
      </c>
      <c r="FB101" s="193">
        <v>1.2</v>
      </c>
      <c r="FC101" s="193">
        <v>1</v>
      </c>
      <c r="FD101" s="193">
        <v>0</v>
      </c>
      <c r="FE101" s="193">
        <v>0</v>
      </c>
      <c r="FF101" s="193">
        <v>0</v>
      </c>
      <c r="FG101" s="193">
        <v>1.2</v>
      </c>
      <c r="FH101" s="193">
        <v>1</v>
      </c>
      <c r="FI101" s="193">
        <v>0</v>
      </c>
      <c r="FJ101" s="193">
        <v>0</v>
      </c>
      <c r="FK101" s="193">
        <v>0</v>
      </c>
      <c r="FL101" s="193">
        <v>1.2</v>
      </c>
      <c r="FM101" s="193">
        <v>1</v>
      </c>
      <c r="FN101" s="193">
        <v>0</v>
      </c>
      <c r="FO101" s="193">
        <v>0.8</v>
      </c>
      <c r="FP101" s="193">
        <v>1</v>
      </c>
      <c r="FQ101" s="193">
        <v>1.2</v>
      </c>
      <c r="FR101" s="193">
        <v>1</v>
      </c>
      <c r="FS101" s="193">
        <v>0</v>
      </c>
      <c r="FT101" s="193">
        <v>0</v>
      </c>
      <c r="FU101" s="193">
        <v>0</v>
      </c>
      <c r="FV101" s="193">
        <v>1.2</v>
      </c>
      <c r="FW101" s="193">
        <v>1</v>
      </c>
      <c r="FX101" s="193">
        <v>0</v>
      </c>
      <c r="FY101" s="193">
        <v>0</v>
      </c>
      <c r="FZ101" s="193">
        <v>0</v>
      </c>
      <c r="GA101" s="193">
        <v>1.2</v>
      </c>
      <c r="GB101" s="193">
        <v>1</v>
      </c>
      <c r="GC101" s="193">
        <v>0</v>
      </c>
      <c r="GD101" s="193">
        <v>0.8</v>
      </c>
      <c r="GE101" s="193">
        <v>1</v>
      </c>
      <c r="GF101" s="193">
        <v>1.2</v>
      </c>
      <c r="GG101" s="193">
        <v>1</v>
      </c>
      <c r="GH101" s="193">
        <v>0</v>
      </c>
      <c r="GI101" s="193">
        <v>0</v>
      </c>
      <c r="GJ101" s="193">
        <v>0</v>
      </c>
      <c r="GK101" s="193">
        <v>1.2</v>
      </c>
      <c r="GL101" s="193">
        <v>1</v>
      </c>
      <c r="GM101" s="193">
        <v>0</v>
      </c>
      <c r="GN101" s="193">
        <v>0</v>
      </c>
      <c r="GO101" s="193">
        <v>0</v>
      </c>
      <c r="GP101" s="187">
        <v>1.2</v>
      </c>
      <c r="GQ101" s="193">
        <v>1</v>
      </c>
    </row>
    <row r="102" spans="1:199">
      <c r="B102" s="188"/>
      <c r="C102" s="188"/>
      <c r="D102" s="188" t="s">
        <v>947</v>
      </c>
      <c r="E102" s="190">
        <v>0</v>
      </c>
      <c r="F102" s="193">
        <v>0</v>
      </c>
      <c r="G102" s="193">
        <v>0</v>
      </c>
      <c r="H102" s="193">
        <v>0</v>
      </c>
      <c r="I102" s="193">
        <v>1</v>
      </c>
      <c r="J102" s="193">
        <v>0</v>
      </c>
      <c r="K102" s="193">
        <v>0</v>
      </c>
      <c r="L102" s="193">
        <v>0</v>
      </c>
      <c r="M102" s="193">
        <v>0</v>
      </c>
      <c r="N102" s="193">
        <v>1</v>
      </c>
      <c r="O102" s="193">
        <v>0</v>
      </c>
      <c r="P102" s="193">
        <v>0</v>
      </c>
      <c r="Q102" s="193">
        <v>0</v>
      </c>
      <c r="R102" s="193">
        <v>0</v>
      </c>
      <c r="S102" s="193">
        <v>1</v>
      </c>
      <c r="T102" s="190">
        <v>0</v>
      </c>
      <c r="U102" s="193">
        <v>0</v>
      </c>
      <c r="V102" s="193">
        <v>0</v>
      </c>
      <c r="W102" s="193">
        <v>0</v>
      </c>
      <c r="X102" s="193">
        <v>1</v>
      </c>
      <c r="Y102" s="193">
        <v>0</v>
      </c>
      <c r="Z102" s="193">
        <v>0</v>
      </c>
      <c r="AA102" s="193">
        <v>0</v>
      </c>
      <c r="AB102" s="193">
        <v>0</v>
      </c>
      <c r="AC102" s="193">
        <v>1</v>
      </c>
      <c r="AD102" s="193">
        <v>0</v>
      </c>
      <c r="AE102" s="193">
        <v>0</v>
      </c>
      <c r="AF102" s="193">
        <v>0</v>
      </c>
      <c r="AG102" s="193">
        <v>0</v>
      </c>
      <c r="AH102" s="193">
        <v>1</v>
      </c>
      <c r="AI102" s="193">
        <v>0</v>
      </c>
      <c r="AJ102" s="193">
        <v>0</v>
      </c>
      <c r="AK102" s="193">
        <v>0</v>
      </c>
      <c r="AL102" s="193">
        <v>0</v>
      </c>
      <c r="AM102" s="193">
        <v>1</v>
      </c>
      <c r="AN102" s="193">
        <v>0</v>
      </c>
      <c r="AO102" s="193">
        <v>0</v>
      </c>
      <c r="AP102" s="193">
        <v>0</v>
      </c>
      <c r="AQ102" s="193">
        <v>0</v>
      </c>
      <c r="AR102" s="193">
        <v>1</v>
      </c>
      <c r="AS102" s="193">
        <v>0</v>
      </c>
      <c r="AT102" s="193">
        <v>0</v>
      </c>
      <c r="AU102" s="193">
        <v>0</v>
      </c>
      <c r="AV102" s="193">
        <v>0</v>
      </c>
      <c r="AW102" s="193">
        <v>1</v>
      </c>
      <c r="AX102" s="193">
        <v>0</v>
      </c>
      <c r="AY102" s="193">
        <v>0</v>
      </c>
      <c r="AZ102" s="193">
        <v>0</v>
      </c>
      <c r="BA102" s="193">
        <v>0</v>
      </c>
      <c r="BB102" s="193">
        <v>1</v>
      </c>
      <c r="BC102" s="193">
        <v>0</v>
      </c>
      <c r="BD102" s="193">
        <v>0</v>
      </c>
      <c r="BE102" s="193">
        <v>0</v>
      </c>
      <c r="BF102" s="193">
        <v>0</v>
      </c>
      <c r="BG102" s="193">
        <v>1</v>
      </c>
      <c r="BH102" s="193">
        <v>0</v>
      </c>
      <c r="BI102" s="193">
        <v>0</v>
      </c>
      <c r="BJ102" s="193">
        <v>0</v>
      </c>
      <c r="BK102" s="193">
        <v>0</v>
      </c>
      <c r="BL102" s="193">
        <v>1</v>
      </c>
      <c r="BM102" s="193">
        <v>0</v>
      </c>
      <c r="BN102" s="193">
        <v>0</v>
      </c>
      <c r="BO102" s="193">
        <v>0</v>
      </c>
      <c r="BP102" s="193">
        <v>0</v>
      </c>
      <c r="BQ102" s="193">
        <v>1</v>
      </c>
      <c r="BR102" s="193">
        <v>0</v>
      </c>
      <c r="BS102" s="193">
        <v>0</v>
      </c>
      <c r="BT102" s="193">
        <v>0</v>
      </c>
      <c r="BU102" s="193">
        <v>0</v>
      </c>
      <c r="BV102" s="193">
        <v>1</v>
      </c>
      <c r="BW102" s="193">
        <v>0</v>
      </c>
      <c r="BX102" s="193">
        <v>0</v>
      </c>
      <c r="BY102" s="193">
        <v>0</v>
      </c>
      <c r="BZ102" s="193">
        <v>0</v>
      </c>
      <c r="CA102" s="193">
        <v>1</v>
      </c>
      <c r="CB102" s="193">
        <v>0</v>
      </c>
      <c r="CC102" s="193">
        <v>0</v>
      </c>
      <c r="CD102" s="193">
        <v>0</v>
      </c>
      <c r="CE102" s="193">
        <v>0</v>
      </c>
      <c r="CF102" s="193">
        <v>1</v>
      </c>
      <c r="CG102" s="193">
        <v>0</v>
      </c>
      <c r="CH102" s="193">
        <v>0</v>
      </c>
      <c r="CI102" s="193">
        <v>0</v>
      </c>
      <c r="CJ102" s="193">
        <v>0</v>
      </c>
      <c r="CK102" s="193">
        <v>1</v>
      </c>
      <c r="CL102" s="193">
        <v>0</v>
      </c>
      <c r="CM102" s="193">
        <v>0</v>
      </c>
      <c r="CN102" s="193">
        <v>0</v>
      </c>
      <c r="CO102" s="193">
        <v>0</v>
      </c>
      <c r="CP102" s="193">
        <v>1</v>
      </c>
      <c r="CQ102" s="193">
        <v>0</v>
      </c>
      <c r="CR102" s="193">
        <v>0</v>
      </c>
      <c r="CS102" s="193">
        <v>0</v>
      </c>
      <c r="CT102" s="193">
        <v>0</v>
      </c>
      <c r="CU102" s="193">
        <v>1</v>
      </c>
      <c r="CV102" s="193">
        <v>0</v>
      </c>
      <c r="CW102" s="193">
        <v>0</v>
      </c>
      <c r="CX102" s="193">
        <v>0</v>
      </c>
      <c r="CY102" s="193">
        <v>0</v>
      </c>
      <c r="CZ102" s="193">
        <v>1</v>
      </c>
      <c r="DA102" s="193">
        <v>0</v>
      </c>
      <c r="DB102" s="193">
        <v>0</v>
      </c>
      <c r="DC102" s="193">
        <v>0</v>
      </c>
      <c r="DD102" s="193">
        <v>0</v>
      </c>
      <c r="DE102" s="193">
        <v>1</v>
      </c>
      <c r="DF102" s="193">
        <v>0</v>
      </c>
      <c r="DG102" s="193">
        <v>0</v>
      </c>
      <c r="DH102" s="193">
        <v>0</v>
      </c>
      <c r="DI102" s="193">
        <v>0</v>
      </c>
      <c r="DJ102" s="193">
        <v>1</v>
      </c>
      <c r="DK102" s="193">
        <v>0</v>
      </c>
      <c r="DL102" s="193">
        <v>0</v>
      </c>
      <c r="DM102" s="193">
        <v>0</v>
      </c>
      <c r="DN102" s="193">
        <v>0</v>
      </c>
      <c r="DO102" s="193">
        <v>1</v>
      </c>
      <c r="DP102" s="193">
        <v>0</v>
      </c>
      <c r="DQ102" s="193">
        <v>0</v>
      </c>
      <c r="DR102" s="193">
        <v>0</v>
      </c>
      <c r="DS102" s="193">
        <v>0</v>
      </c>
      <c r="DT102" s="193">
        <v>1</v>
      </c>
      <c r="DU102" s="193">
        <v>0</v>
      </c>
      <c r="DV102" s="193">
        <v>0</v>
      </c>
      <c r="DW102" s="193">
        <v>0</v>
      </c>
      <c r="DX102" s="193">
        <v>0</v>
      </c>
      <c r="DY102" s="193">
        <v>1</v>
      </c>
      <c r="DZ102" s="193">
        <v>0</v>
      </c>
      <c r="EA102" s="193">
        <v>0</v>
      </c>
      <c r="EB102" s="193">
        <v>0</v>
      </c>
      <c r="EC102" s="193">
        <v>0</v>
      </c>
      <c r="ED102" s="193">
        <v>1</v>
      </c>
      <c r="EE102" s="193">
        <v>0</v>
      </c>
      <c r="EF102" s="193">
        <v>0</v>
      </c>
      <c r="EG102" s="193">
        <v>0</v>
      </c>
      <c r="EH102" s="193">
        <v>0</v>
      </c>
      <c r="EI102" s="193">
        <v>1</v>
      </c>
      <c r="EJ102" s="193">
        <v>0</v>
      </c>
      <c r="EK102" s="193">
        <v>0</v>
      </c>
      <c r="EL102" s="193">
        <v>0</v>
      </c>
      <c r="EM102" s="193">
        <v>0</v>
      </c>
      <c r="EN102" s="193">
        <v>1</v>
      </c>
      <c r="EO102" s="193">
        <v>0</v>
      </c>
      <c r="EP102" s="193">
        <v>0</v>
      </c>
      <c r="EQ102" s="193">
        <v>0</v>
      </c>
      <c r="ER102" s="193">
        <v>0</v>
      </c>
      <c r="ES102" s="193">
        <v>1</v>
      </c>
      <c r="ET102" s="193">
        <v>0</v>
      </c>
      <c r="EU102" s="193">
        <v>0</v>
      </c>
      <c r="EV102" s="193">
        <v>0</v>
      </c>
      <c r="EW102" s="193">
        <v>0</v>
      </c>
      <c r="EX102" s="193">
        <v>1</v>
      </c>
      <c r="EY102" s="193">
        <v>0</v>
      </c>
      <c r="EZ102" s="193">
        <v>0</v>
      </c>
      <c r="FA102" s="193">
        <v>0</v>
      </c>
      <c r="FB102" s="193">
        <v>0</v>
      </c>
      <c r="FC102" s="193">
        <v>1</v>
      </c>
      <c r="FD102" s="193">
        <v>0</v>
      </c>
      <c r="FE102" s="193">
        <v>0</v>
      </c>
      <c r="FF102" s="193">
        <v>0</v>
      </c>
      <c r="FG102" s="193">
        <v>0</v>
      </c>
      <c r="FH102" s="193">
        <v>1</v>
      </c>
      <c r="FI102" s="193">
        <v>0</v>
      </c>
      <c r="FJ102" s="193">
        <v>0</v>
      </c>
      <c r="FK102" s="193">
        <v>0</v>
      </c>
      <c r="FL102" s="193">
        <v>0</v>
      </c>
      <c r="FM102" s="193">
        <v>1</v>
      </c>
      <c r="FN102" s="193">
        <v>0</v>
      </c>
      <c r="FO102" s="193">
        <v>0</v>
      </c>
      <c r="FP102" s="193">
        <v>0</v>
      </c>
      <c r="FQ102" s="193">
        <v>0</v>
      </c>
      <c r="FR102" s="193">
        <v>1</v>
      </c>
      <c r="FS102" s="193">
        <v>0</v>
      </c>
      <c r="FT102" s="193">
        <v>0</v>
      </c>
      <c r="FU102" s="193">
        <v>0</v>
      </c>
      <c r="FV102" s="193">
        <v>0</v>
      </c>
      <c r="FW102" s="193">
        <v>1</v>
      </c>
      <c r="FX102" s="193">
        <v>0</v>
      </c>
      <c r="FY102" s="193">
        <v>0</v>
      </c>
      <c r="FZ102" s="193">
        <v>0</v>
      </c>
      <c r="GA102" s="193">
        <v>0</v>
      </c>
      <c r="GB102" s="193">
        <v>1</v>
      </c>
      <c r="GC102" s="193">
        <v>0</v>
      </c>
      <c r="GD102" s="193">
        <v>0</v>
      </c>
      <c r="GE102" s="193">
        <v>0</v>
      </c>
      <c r="GF102" s="193">
        <v>0</v>
      </c>
      <c r="GG102" s="193">
        <v>1</v>
      </c>
      <c r="GH102" s="193">
        <v>0</v>
      </c>
      <c r="GI102" s="193">
        <v>0</v>
      </c>
      <c r="GJ102" s="193">
        <v>0</v>
      </c>
      <c r="GK102" s="193">
        <v>0</v>
      </c>
      <c r="GL102" s="193">
        <v>1</v>
      </c>
      <c r="GM102" s="193">
        <v>0</v>
      </c>
      <c r="GN102" s="193">
        <v>0</v>
      </c>
      <c r="GO102" s="193">
        <v>0</v>
      </c>
      <c r="GP102" s="187">
        <v>0</v>
      </c>
      <c r="GQ102" s="193">
        <v>1</v>
      </c>
    </row>
    <row r="103" spans="1:199">
      <c r="B103" s="188"/>
      <c r="C103" s="188"/>
      <c r="D103" s="188" t="s">
        <v>948</v>
      </c>
      <c r="E103" s="190">
        <v>0</v>
      </c>
      <c r="F103" s="193">
        <v>0</v>
      </c>
      <c r="G103" s="193">
        <v>0</v>
      </c>
      <c r="H103" s="193">
        <v>0</v>
      </c>
      <c r="I103" s="193">
        <v>1</v>
      </c>
      <c r="J103" s="193">
        <v>0</v>
      </c>
      <c r="K103" s="193">
        <v>0</v>
      </c>
      <c r="L103" s="193">
        <v>0</v>
      </c>
      <c r="M103" s="193">
        <v>0</v>
      </c>
      <c r="N103" s="193">
        <v>1</v>
      </c>
      <c r="O103" s="193">
        <v>0</v>
      </c>
      <c r="P103" s="193">
        <v>0</v>
      </c>
      <c r="Q103" s="193">
        <v>0</v>
      </c>
      <c r="R103" s="193">
        <v>0</v>
      </c>
      <c r="S103" s="193">
        <v>1</v>
      </c>
      <c r="T103" s="190">
        <v>0</v>
      </c>
      <c r="U103" s="193">
        <v>0</v>
      </c>
      <c r="V103" s="193">
        <v>0</v>
      </c>
      <c r="W103" s="193">
        <v>0</v>
      </c>
      <c r="X103" s="193">
        <v>1</v>
      </c>
      <c r="Y103" s="193">
        <v>0</v>
      </c>
      <c r="Z103" s="193">
        <v>0</v>
      </c>
      <c r="AA103" s="193">
        <v>0</v>
      </c>
      <c r="AB103" s="193">
        <v>0</v>
      </c>
      <c r="AC103" s="193">
        <v>1</v>
      </c>
      <c r="AD103" s="193">
        <v>0</v>
      </c>
      <c r="AE103" s="193">
        <v>0</v>
      </c>
      <c r="AF103" s="193">
        <v>0</v>
      </c>
      <c r="AG103" s="193">
        <v>0</v>
      </c>
      <c r="AH103" s="193">
        <v>1</v>
      </c>
      <c r="AI103" s="193">
        <v>0</v>
      </c>
      <c r="AJ103" s="193">
        <v>0</v>
      </c>
      <c r="AK103" s="193">
        <v>0</v>
      </c>
      <c r="AL103" s="193">
        <v>0</v>
      </c>
      <c r="AM103" s="193">
        <v>1</v>
      </c>
      <c r="AN103" s="193">
        <v>0</v>
      </c>
      <c r="AO103" s="193">
        <v>0</v>
      </c>
      <c r="AP103" s="193">
        <v>0</v>
      </c>
      <c r="AQ103" s="193">
        <v>0</v>
      </c>
      <c r="AR103" s="193">
        <v>1</v>
      </c>
      <c r="AS103" s="193">
        <v>0</v>
      </c>
      <c r="AT103" s="193">
        <v>0</v>
      </c>
      <c r="AU103" s="193">
        <v>0</v>
      </c>
      <c r="AV103" s="193">
        <v>0</v>
      </c>
      <c r="AW103" s="193">
        <v>1</v>
      </c>
      <c r="AX103" s="193">
        <v>0</v>
      </c>
      <c r="AY103" s="193">
        <v>0</v>
      </c>
      <c r="AZ103" s="193">
        <v>0</v>
      </c>
      <c r="BA103" s="193">
        <v>0</v>
      </c>
      <c r="BB103" s="193">
        <v>1</v>
      </c>
      <c r="BC103" s="193">
        <v>0</v>
      </c>
      <c r="BD103" s="193">
        <v>0</v>
      </c>
      <c r="BE103" s="193">
        <v>0</v>
      </c>
      <c r="BF103" s="193">
        <v>0</v>
      </c>
      <c r="BG103" s="193">
        <v>1</v>
      </c>
      <c r="BH103" s="193">
        <v>0</v>
      </c>
      <c r="BI103" s="193">
        <v>0</v>
      </c>
      <c r="BJ103" s="193">
        <v>0</v>
      </c>
      <c r="BK103" s="193">
        <v>0</v>
      </c>
      <c r="BL103" s="193">
        <v>1</v>
      </c>
      <c r="BM103" s="193">
        <v>0</v>
      </c>
      <c r="BN103" s="193">
        <v>0</v>
      </c>
      <c r="BO103" s="193">
        <v>0</v>
      </c>
      <c r="BP103" s="193">
        <v>0</v>
      </c>
      <c r="BQ103" s="193">
        <v>1</v>
      </c>
      <c r="BR103" s="193">
        <v>0</v>
      </c>
      <c r="BS103" s="193">
        <v>0</v>
      </c>
      <c r="BT103" s="193">
        <v>0</v>
      </c>
      <c r="BU103" s="193">
        <v>0</v>
      </c>
      <c r="BV103" s="193">
        <v>1</v>
      </c>
      <c r="BW103" s="193">
        <v>0</v>
      </c>
      <c r="BX103" s="193">
        <v>0</v>
      </c>
      <c r="BY103" s="193">
        <v>0</v>
      </c>
      <c r="BZ103" s="193">
        <v>0</v>
      </c>
      <c r="CA103" s="193">
        <v>1</v>
      </c>
      <c r="CB103" s="193">
        <v>0</v>
      </c>
      <c r="CC103" s="193">
        <v>0</v>
      </c>
      <c r="CD103" s="193">
        <v>0</v>
      </c>
      <c r="CE103" s="193">
        <v>0</v>
      </c>
      <c r="CF103" s="193">
        <v>1</v>
      </c>
      <c r="CG103" s="193">
        <v>0</v>
      </c>
      <c r="CH103" s="193">
        <v>0</v>
      </c>
      <c r="CI103" s="193">
        <v>0</v>
      </c>
      <c r="CJ103" s="193">
        <v>0</v>
      </c>
      <c r="CK103" s="193">
        <v>1</v>
      </c>
      <c r="CL103" s="193">
        <v>0</v>
      </c>
      <c r="CM103" s="193">
        <v>0</v>
      </c>
      <c r="CN103" s="193">
        <v>0</v>
      </c>
      <c r="CO103" s="193">
        <v>0</v>
      </c>
      <c r="CP103" s="193">
        <v>1</v>
      </c>
      <c r="CQ103" s="193">
        <v>0</v>
      </c>
      <c r="CR103" s="193">
        <v>0</v>
      </c>
      <c r="CS103" s="193">
        <v>0</v>
      </c>
      <c r="CT103" s="193">
        <v>0</v>
      </c>
      <c r="CU103" s="193">
        <v>1</v>
      </c>
      <c r="CV103" s="193">
        <v>0</v>
      </c>
      <c r="CW103" s="193">
        <v>0</v>
      </c>
      <c r="CX103" s="193">
        <v>0</v>
      </c>
      <c r="CY103" s="193">
        <v>0</v>
      </c>
      <c r="CZ103" s="193">
        <v>1</v>
      </c>
      <c r="DA103" s="193">
        <v>0</v>
      </c>
      <c r="DB103" s="193">
        <v>0</v>
      </c>
      <c r="DC103" s="193">
        <v>0</v>
      </c>
      <c r="DD103" s="193">
        <v>0</v>
      </c>
      <c r="DE103" s="193">
        <v>1</v>
      </c>
      <c r="DF103" s="193">
        <v>0</v>
      </c>
      <c r="DG103" s="193">
        <v>0</v>
      </c>
      <c r="DH103" s="193">
        <v>0</v>
      </c>
      <c r="DI103" s="193">
        <v>0</v>
      </c>
      <c r="DJ103" s="193">
        <v>1</v>
      </c>
      <c r="DK103" s="193">
        <v>0</v>
      </c>
      <c r="DL103" s="193">
        <v>0</v>
      </c>
      <c r="DM103" s="193">
        <v>0</v>
      </c>
      <c r="DN103" s="193">
        <v>0</v>
      </c>
      <c r="DO103" s="193">
        <v>1</v>
      </c>
      <c r="DP103" s="193">
        <v>0</v>
      </c>
      <c r="DQ103" s="193">
        <v>0</v>
      </c>
      <c r="DR103" s="193">
        <v>0</v>
      </c>
      <c r="DS103" s="193">
        <v>0</v>
      </c>
      <c r="DT103" s="193">
        <v>1</v>
      </c>
      <c r="DU103" s="193">
        <v>0</v>
      </c>
      <c r="DV103" s="193">
        <v>0</v>
      </c>
      <c r="DW103" s="193">
        <v>0</v>
      </c>
      <c r="DX103" s="193">
        <v>0</v>
      </c>
      <c r="DY103" s="193">
        <v>1</v>
      </c>
      <c r="DZ103" s="193">
        <v>0</v>
      </c>
      <c r="EA103" s="193">
        <v>0</v>
      </c>
      <c r="EB103" s="193">
        <v>0</v>
      </c>
      <c r="EC103" s="193">
        <v>0</v>
      </c>
      <c r="ED103" s="193">
        <v>1</v>
      </c>
      <c r="EE103" s="193">
        <v>0</v>
      </c>
      <c r="EF103" s="193">
        <v>0</v>
      </c>
      <c r="EG103" s="193">
        <v>0</v>
      </c>
      <c r="EH103" s="193">
        <v>0</v>
      </c>
      <c r="EI103" s="193">
        <v>1</v>
      </c>
      <c r="EJ103" s="193">
        <v>0</v>
      </c>
      <c r="EK103" s="193">
        <v>0</v>
      </c>
      <c r="EL103" s="193">
        <v>0</v>
      </c>
      <c r="EM103" s="193">
        <v>0</v>
      </c>
      <c r="EN103" s="193">
        <v>1</v>
      </c>
      <c r="EO103" s="193">
        <v>0</v>
      </c>
      <c r="EP103" s="193">
        <v>0</v>
      </c>
      <c r="EQ103" s="193">
        <v>0</v>
      </c>
      <c r="ER103" s="193">
        <v>0</v>
      </c>
      <c r="ES103" s="193">
        <v>1</v>
      </c>
      <c r="ET103" s="193">
        <v>0</v>
      </c>
      <c r="EU103" s="193">
        <v>0</v>
      </c>
      <c r="EV103" s="193">
        <v>0</v>
      </c>
      <c r="EW103" s="193">
        <v>0</v>
      </c>
      <c r="EX103" s="193">
        <v>1</v>
      </c>
      <c r="EY103" s="193">
        <v>0</v>
      </c>
      <c r="EZ103" s="193">
        <v>0</v>
      </c>
      <c r="FA103" s="193">
        <v>0</v>
      </c>
      <c r="FB103" s="193">
        <v>0</v>
      </c>
      <c r="FC103" s="193">
        <v>1</v>
      </c>
      <c r="FD103" s="193">
        <v>0</v>
      </c>
      <c r="FE103" s="193">
        <v>0</v>
      </c>
      <c r="FF103" s="193">
        <v>0</v>
      </c>
      <c r="FG103" s="193">
        <v>0</v>
      </c>
      <c r="FH103" s="193">
        <v>1</v>
      </c>
      <c r="FI103" s="193">
        <v>0</v>
      </c>
      <c r="FJ103" s="193">
        <v>0</v>
      </c>
      <c r="FK103" s="193">
        <v>0</v>
      </c>
      <c r="FL103" s="193">
        <v>0</v>
      </c>
      <c r="FM103" s="193">
        <v>1</v>
      </c>
      <c r="FN103" s="193">
        <v>0</v>
      </c>
      <c r="FO103" s="193">
        <v>0</v>
      </c>
      <c r="FP103" s="193">
        <v>0</v>
      </c>
      <c r="FQ103" s="193">
        <v>0</v>
      </c>
      <c r="FR103" s="193">
        <v>1</v>
      </c>
      <c r="FS103" s="193">
        <v>0</v>
      </c>
      <c r="FT103" s="193">
        <v>0</v>
      </c>
      <c r="FU103" s="193">
        <v>0</v>
      </c>
      <c r="FV103" s="193">
        <v>0</v>
      </c>
      <c r="FW103" s="193">
        <v>1</v>
      </c>
      <c r="FX103" s="193">
        <v>0</v>
      </c>
      <c r="FY103" s="193">
        <v>0</v>
      </c>
      <c r="FZ103" s="193">
        <v>0</v>
      </c>
      <c r="GA103" s="193">
        <v>0</v>
      </c>
      <c r="GB103" s="193">
        <v>1</v>
      </c>
      <c r="GC103" s="193">
        <v>0</v>
      </c>
      <c r="GD103" s="193">
        <v>0</v>
      </c>
      <c r="GE103" s="193">
        <v>0</v>
      </c>
      <c r="GF103" s="193">
        <v>0</v>
      </c>
      <c r="GG103" s="193">
        <v>1</v>
      </c>
      <c r="GH103" s="193">
        <v>0</v>
      </c>
      <c r="GI103" s="193">
        <v>0</v>
      </c>
      <c r="GJ103" s="193">
        <v>0</v>
      </c>
      <c r="GK103" s="193">
        <v>0</v>
      </c>
      <c r="GL103" s="193">
        <v>1</v>
      </c>
      <c r="GM103" s="193">
        <v>0</v>
      </c>
      <c r="GN103" s="193">
        <v>0</v>
      </c>
      <c r="GO103" s="193">
        <v>0</v>
      </c>
      <c r="GP103" s="187">
        <v>0</v>
      </c>
      <c r="GQ103" s="193">
        <v>1</v>
      </c>
    </row>
    <row r="104" spans="1:199">
      <c r="B104" s="188"/>
      <c r="C104" s="188" t="s">
        <v>1013</v>
      </c>
      <c r="D104" s="188" t="s">
        <v>1014</v>
      </c>
      <c r="E104" s="190">
        <v>0</v>
      </c>
      <c r="F104" s="193">
        <v>0</v>
      </c>
      <c r="G104" s="193">
        <v>0</v>
      </c>
      <c r="H104" s="193">
        <v>0</v>
      </c>
      <c r="I104" s="193">
        <v>1</v>
      </c>
      <c r="J104" s="193">
        <v>0</v>
      </c>
      <c r="K104" s="193">
        <v>0</v>
      </c>
      <c r="L104" s="193">
        <v>1</v>
      </c>
      <c r="M104" s="193">
        <v>2</v>
      </c>
      <c r="N104" s="193">
        <v>1</v>
      </c>
      <c r="O104" s="193">
        <v>0</v>
      </c>
      <c r="P104" s="193">
        <v>0</v>
      </c>
      <c r="Q104" s="193">
        <v>0</v>
      </c>
      <c r="R104" s="193">
        <v>0</v>
      </c>
      <c r="S104" s="193">
        <v>1</v>
      </c>
      <c r="T104" s="190">
        <v>0</v>
      </c>
      <c r="U104" s="193">
        <v>0</v>
      </c>
      <c r="V104" s="193">
        <v>0</v>
      </c>
      <c r="W104" s="193">
        <v>0</v>
      </c>
      <c r="X104" s="193">
        <v>1</v>
      </c>
      <c r="Y104" s="193">
        <v>0</v>
      </c>
      <c r="Z104" s="193">
        <v>0</v>
      </c>
      <c r="AA104" s="193">
        <v>0</v>
      </c>
      <c r="AB104" s="193">
        <v>0</v>
      </c>
      <c r="AC104" s="193">
        <v>1</v>
      </c>
      <c r="AD104" s="193">
        <v>0</v>
      </c>
      <c r="AE104" s="193">
        <v>0</v>
      </c>
      <c r="AF104" s="193">
        <v>0</v>
      </c>
      <c r="AG104" s="193">
        <v>0</v>
      </c>
      <c r="AH104" s="193">
        <v>1</v>
      </c>
      <c r="AI104" s="193">
        <v>0</v>
      </c>
      <c r="AJ104" s="193">
        <v>0</v>
      </c>
      <c r="AK104" s="193">
        <v>0</v>
      </c>
      <c r="AL104" s="193">
        <v>0</v>
      </c>
      <c r="AM104" s="193">
        <v>1</v>
      </c>
      <c r="AN104" s="193">
        <v>0</v>
      </c>
      <c r="AO104" s="193">
        <v>0</v>
      </c>
      <c r="AP104" s="193">
        <v>0</v>
      </c>
      <c r="AQ104" s="193">
        <v>0</v>
      </c>
      <c r="AR104" s="193">
        <v>1</v>
      </c>
      <c r="AS104" s="193">
        <v>0</v>
      </c>
      <c r="AT104" s="193">
        <v>0</v>
      </c>
      <c r="AU104" s="193">
        <v>0</v>
      </c>
      <c r="AV104" s="193">
        <v>0</v>
      </c>
      <c r="AW104" s="193">
        <v>1</v>
      </c>
      <c r="AX104" s="193">
        <v>0</v>
      </c>
      <c r="AY104" s="193">
        <v>0</v>
      </c>
      <c r="AZ104" s="193">
        <v>0</v>
      </c>
      <c r="BA104" s="193">
        <v>0</v>
      </c>
      <c r="BB104" s="193">
        <v>1</v>
      </c>
      <c r="BC104" s="193">
        <v>0</v>
      </c>
      <c r="BD104" s="193">
        <v>0</v>
      </c>
      <c r="BE104" s="193">
        <v>0</v>
      </c>
      <c r="BF104" s="193">
        <v>0</v>
      </c>
      <c r="BG104" s="193">
        <v>1</v>
      </c>
      <c r="BH104" s="193">
        <v>0</v>
      </c>
      <c r="BI104" s="193">
        <v>0</v>
      </c>
      <c r="BJ104" s="193">
        <v>0</v>
      </c>
      <c r="BK104" s="193">
        <v>0</v>
      </c>
      <c r="BL104" s="193">
        <v>1</v>
      </c>
      <c r="BM104" s="193">
        <v>0</v>
      </c>
      <c r="BN104" s="193">
        <v>0</v>
      </c>
      <c r="BO104" s="193">
        <v>0</v>
      </c>
      <c r="BP104" s="193">
        <v>0</v>
      </c>
      <c r="BQ104" s="193">
        <v>1</v>
      </c>
      <c r="BR104" s="193">
        <v>0</v>
      </c>
      <c r="BS104" s="193">
        <v>0</v>
      </c>
      <c r="BT104" s="193">
        <v>0</v>
      </c>
      <c r="BU104" s="193">
        <v>0</v>
      </c>
      <c r="BV104" s="193">
        <v>1</v>
      </c>
      <c r="BW104" s="193">
        <v>0</v>
      </c>
      <c r="BX104" s="193">
        <v>0</v>
      </c>
      <c r="BY104" s="193">
        <v>0</v>
      </c>
      <c r="BZ104" s="193">
        <v>0</v>
      </c>
      <c r="CA104" s="193">
        <v>1</v>
      </c>
      <c r="CB104" s="193">
        <v>0</v>
      </c>
      <c r="CC104" s="193">
        <v>0</v>
      </c>
      <c r="CD104" s="193">
        <v>0</v>
      </c>
      <c r="CE104" s="193">
        <v>0</v>
      </c>
      <c r="CF104" s="193">
        <v>1</v>
      </c>
      <c r="CG104" s="193">
        <v>0</v>
      </c>
      <c r="CH104" s="193">
        <v>0</v>
      </c>
      <c r="CI104" s="193">
        <v>0</v>
      </c>
      <c r="CJ104" s="193">
        <v>0</v>
      </c>
      <c r="CK104" s="193">
        <v>1</v>
      </c>
      <c r="CL104" s="193">
        <v>0</v>
      </c>
      <c r="CM104" s="193">
        <v>0</v>
      </c>
      <c r="CN104" s="193">
        <v>0</v>
      </c>
      <c r="CO104" s="193">
        <v>0</v>
      </c>
      <c r="CP104" s="193">
        <v>1</v>
      </c>
      <c r="CQ104" s="193">
        <v>0</v>
      </c>
      <c r="CR104" s="193">
        <v>0</v>
      </c>
      <c r="CS104" s="193">
        <v>1</v>
      </c>
      <c r="CT104" s="193">
        <v>1.5</v>
      </c>
      <c r="CU104" s="193">
        <v>1</v>
      </c>
      <c r="CV104" s="193">
        <v>0</v>
      </c>
      <c r="CW104" s="193">
        <v>0</v>
      </c>
      <c r="CX104" s="193">
        <v>1</v>
      </c>
      <c r="CY104" s="193">
        <v>1.5</v>
      </c>
      <c r="CZ104" s="193">
        <v>1</v>
      </c>
      <c r="DA104" s="193">
        <v>0</v>
      </c>
      <c r="DB104" s="193">
        <v>0</v>
      </c>
      <c r="DC104" s="193">
        <v>1</v>
      </c>
      <c r="DD104" s="193">
        <v>1.5</v>
      </c>
      <c r="DE104" s="193">
        <v>1</v>
      </c>
      <c r="DF104" s="193">
        <v>0</v>
      </c>
      <c r="DG104" s="193">
        <v>0</v>
      </c>
      <c r="DH104" s="193">
        <v>1</v>
      </c>
      <c r="DI104" s="193">
        <v>1.5</v>
      </c>
      <c r="DJ104" s="193">
        <v>1</v>
      </c>
      <c r="DK104" s="193">
        <v>0</v>
      </c>
      <c r="DL104" s="193">
        <v>0</v>
      </c>
      <c r="DM104" s="193">
        <v>1</v>
      </c>
      <c r="DN104" s="193">
        <v>1.5</v>
      </c>
      <c r="DO104" s="193">
        <v>1</v>
      </c>
      <c r="DP104" s="193">
        <v>0</v>
      </c>
      <c r="DQ104" s="193">
        <v>0</v>
      </c>
      <c r="DR104" s="193">
        <v>1</v>
      </c>
      <c r="DS104" s="193">
        <v>1.5</v>
      </c>
      <c r="DT104" s="193">
        <v>1</v>
      </c>
      <c r="DU104" s="193">
        <v>0</v>
      </c>
      <c r="DV104" s="193">
        <v>0.5</v>
      </c>
      <c r="DW104" s="193">
        <v>1</v>
      </c>
      <c r="DX104" s="193">
        <v>1.5</v>
      </c>
      <c r="DY104" s="193">
        <v>1</v>
      </c>
      <c r="DZ104" s="193">
        <v>0</v>
      </c>
      <c r="EA104" s="193">
        <v>0</v>
      </c>
      <c r="EB104" s="193">
        <v>1</v>
      </c>
      <c r="EC104" s="193">
        <v>1.5</v>
      </c>
      <c r="ED104" s="193">
        <v>1</v>
      </c>
      <c r="EE104" s="193">
        <v>0</v>
      </c>
      <c r="EF104" s="193">
        <v>0.5</v>
      </c>
      <c r="EG104" s="193">
        <v>1</v>
      </c>
      <c r="EH104" s="193">
        <v>1.5</v>
      </c>
      <c r="EI104" s="193">
        <v>1</v>
      </c>
      <c r="EJ104" s="193">
        <v>0</v>
      </c>
      <c r="EK104" s="193">
        <v>0.5</v>
      </c>
      <c r="EL104" s="193">
        <v>1</v>
      </c>
      <c r="EM104" s="193">
        <v>1.5</v>
      </c>
      <c r="EN104" s="193">
        <v>1</v>
      </c>
      <c r="EO104" s="193">
        <v>0</v>
      </c>
      <c r="EP104" s="193">
        <v>0</v>
      </c>
      <c r="EQ104" s="193">
        <v>1</v>
      </c>
      <c r="ER104" s="193">
        <v>1.5</v>
      </c>
      <c r="ES104" s="193">
        <v>1</v>
      </c>
      <c r="ET104" s="193">
        <v>0</v>
      </c>
      <c r="EU104" s="193">
        <v>0.5</v>
      </c>
      <c r="EV104" s="193">
        <v>1</v>
      </c>
      <c r="EW104" s="193">
        <v>1.5</v>
      </c>
      <c r="EX104" s="193">
        <v>1</v>
      </c>
      <c r="EY104" s="193">
        <v>0</v>
      </c>
      <c r="EZ104" s="193">
        <v>0.5</v>
      </c>
      <c r="FA104" s="193">
        <v>1</v>
      </c>
      <c r="FB104" s="193">
        <v>1.5</v>
      </c>
      <c r="FC104" s="193">
        <v>1</v>
      </c>
      <c r="FD104" s="193">
        <v>0</v>
      </c>
      <c r="FE104" s="193">
        <v>0</v>
      </c>
      <c r="FF104" s="193">
        <v>1</v>
      </c>
      <c r="FG104" s="193">
        <v>1.5</v>
      </c>
      <c r="FH104" s="193">
        <v>1</v>
      </c>
      <c r="FI104" s="193">
        <v>0</v>
      </c>
      <c r="FJ104" s="193">
        <v>0.5</v>
      </c>
      <c r="FK104" s="193">
        <v>1</v>
      </c>
      <c r="FL104" s="193">
        <v>1.5</v>
      </c>
      <c r="FM104" s="193">
        <v>1</v>
      </c>
      <c r="FN104" s="193">
        <v>0</v>
      </c>
      <c r="FO104" s="193">
        <v>0.5</v>
      </c>
      <c r="FP104" s="193">
        <v>1</v>
      </c>
      <c r="FQ104" s="193">
        <v>1.5</v>
      </c>
      <c r="FR104" s="193">
        <v>1</v>
      </c>
      <c r="FS104" s="193">
        <v>0</v>
      </c>
      <c r="FT104" s="193">
        <v>0</v>
      </c>
      <c r="FU104" s="193">
        <v>1</v>
      </c>
      <c r="FV104" s="193">
        <v>1.5</v>
      </c>
      <c r="FW104" s="193">
        <v>1</v>
      </c>
      <c r="FX104" s="193">
        <v>0</v>
      </c>
      <c r="FY104" s="193">
        <v>0.5</v>
      </c>
      <c r="FZ104" s="193">
        <v>1</v>
      </c>
      <c r="GA104" s="193">
        <v>1.5</v>
      </c>
      <c r="GB104" s="193">
        <v>1</v>
      </c>
      <c r="GC104" s="193">
        <v>0</v>
      </c>
      <c r="GD104" s="193">
        <v>0.5</v>
      </c>
      <c r="GE104" s="193">
        <v>1</v>
      </c>
      <c r="GF104" s="193">
        <v>1.5</v>
      </c>
      <c r="GG104" s="193">
        <v>1</v>
      </c>
      <c r="GH104" s="193">
        <v>0</v>
      </c>
      <c r="GI104" s="193">
        <v>0</v>
      </c>
      <c r="GJ104" s="193">
        <v>1</v>
      </c>
      <c r="GK104" s="193">
        <v>1.5</v>
      </c>
      <c r="GL104" s="193">
        <v>1</v>
      </c>
      <c r="GM104" s="193">
        <v>0</v>
      </c>
      <c r="GN104" s="193">
        <v>0.5</v>
      </c>
      <c r="GO104" s="193">
        <v>1</v>
      </c>
      <c r="GP104" s="187">
        <v>1.5</v>
      </c>
      <c r="GQ104" s="193">
        <v>1</v>
      </c>
    </row>
    <row r="105" spans="1:199">
      <c r="B105" s="212"/>
      <c r="C105" s="188" t="s">
        <v>949</v>
      </c>
      <c r="D105" s="188" t="s">
        <v>1016</v>
      </c>
      <c r="E105" s="190">
        <v>0</v>
      </c>
      <c r="F105" s="193">
        <v>0</v>
      </c>
      <c r="G105" s="193">
        <v>1</v>
      </c>
      <c r="H105" s="193">
        <v>1.2</v>
      </c>
      <c r="I105" s="193">
        <v>1</v>
      </c>
      <c r="J105" s="193">
        <v>0</v>
      </c>
      <c r="K105" s="193">
        <v>0</v>
      </c>
      <c r="L105" s="193">
        <v>1</v>
      </c>
      <c r="M105" s="193">
        <v>2</v>
      </c>
      <c r="N105" s="193">
        <v>1</v>
      </c>
      <c r="O105" s="193">
        <v>0</v>
      </c>
      <c r="P105" s="193">
        <v>0</v>
      </c>
      <c r="Q105" s="193">
        <v>1</v>
      </c>
      <c r="R105" s="193">
        <v>1.2</v>
      </c>
      <c r="S105" s="193">
        <v>1</v>
      </c>
      <c r="T105" s="190">
        <v>0</v>
      </c>
      <c r="U105" s="193">
        <v>0</v>
      </c>
      <c r="V105" s="193">
        <v>1</v>
      </c>
      <c r="W105" s="193">
        <v>1.2</v>
      </c>
      <c r="X105" s="193">
        <v>1</v>
      </c>
      <c r="Y105" s="193">
        <v>0</v>
      </c>
      <c r="Z105" s="193">
        <v>0</v>
      </c>
      <c r="AA105" s="193">
        <v>1</v>
      </c>
      <c r="AB105" s="193">
        <v>1.2</v>
      </c>
      <c r="AC105" s="193">
        <v>1</v>
      </c>
      <c r="AD105" s="193">
        <v>0</v>
      </c>
      <c r="AE105" s="193">
        <v>0</v>
      </c>
      <c r="AF105" s="193">
        <v>1</v>
      </c>
      <c r="AG105" s="193">
        <v>1.2</v>
      </c>
      <c r="AH105" s="193">
        <v>1</v>
      </c>
      <c r="AI105" s="193">
        <v>0</v>
      </c>
      <c r="AJ105" s="193">
        <v>0</v>
      </c>
      <c r="AK105" s="193">
        <v>1</v>
      </c>
      <c r="AL105" s="193">
        <v>1.2</v>
      </c>
      <c r="AM105" s="193">
        <v>1</v>
      </c>
      <c r="AN105" s="193">
        <v>0</v>
      </c>
      <c r="AO105" s="193">
        <v>0</v>
      </c>
      <c r="AP105" s="193">
        <v>1</v>
      </c>
      <c r="AQ105" s="193">
        <v>1.2</v>
      </c>
      <c r="AR105" s="193">
        <v>1</v>
      </c>
      <c r="AS105" s="193">
        <v>0</v>
      </c>
      <c r="AT105" s="193">
        <v>0</v>
      </c>
      <c r="AU105" s="193">
        <v>1</v>
      </c>
      <c r="AV105" s="193">
        <v>1.2</v>
      </c>
      <c r="AW105" s="193">
        <v>1</v>
      </c>
      <c r="AX105" s="193">
        <v>0</v>
      </c>
      <c r="AY105" s="193">
        <v>0</v>
      </c>
      <c r="AZ105" s="193">
        <v>1</v>
      </c>
      <c r="BA105" s="193">
        <v>1.2</v>
      </c>
      <c r="BB105" s="193">
        <v>1</v>
      </c>
      <c r="BC105" s="193">
        <v>0</v>
      </c>
      <c r="BD105" s="193">
        <v>0</v>
      </c>
      <c r="BE105" s="193">
        <v>1</v>
      </c>
      <c r="BF105" s="193">
        <v>1.2</v>
      </c>
      <c r="BG105" s="193">
        <v>1</v>
      </c>
      <c r="BH105" s="193">
        <v>0</v>
      </c>
      <c r="BI105" s="193">
        <v>0</v>
      </c>
      <c r="BJ105" s="193">
        <v>1</v>
      </c>
      <c r="BK105" s="193">
        <v>1.2</v>
      </c>
      <c r="BL105" s="193">
        <v>1</v>
      </c>
      <c r="BM105" s="193">
        <v>0</v>
      </c>
      <c r="BN105" s="193">
        <v>0</v>
      </c>
      <c r="BO105" s="193">
        <v>1</v>
      </c>
      <c r="BP105" s="193">
        <v>1.2</v>
      </c>
      <c r="BQ105" s="193">
        <v>1</v>
      </c>
      <c r="BR105" s="193">
        <v>0</v>
      </c>
      <c r="BS105" s="193">
        <v>0</v>
      </c>
      <c r="BT105" s="193">
        <v>1</v>
      </c>
      <c r="BU105" s="193">
        <v>1.2</v>
      </c>
      <c r="BV105" s="193">
        <v>1</v>
      </c>
      <c r="BW105" s="193">
        <v>0</v>
      </c>
      <c r="BX105" s="193">
        <v>0</v>
      </c>
      <c r="BY105" s="193">
        <v>1</v>
      </c>
      <c r="BZ105" s="193">
        <v>1.2</v>
      </c>
      <c r="CA105" s="193">
        <v>1</v>
      </c>
      <c r="CB105" s="193">
        <v>0</v>
      </c>
      <c r="CC105" s="193">
        <v>0</v>
      </c>
      <c r="CD105" s="193">
        <v>1</v>
      </c>
      <c r="CE105" s="193">
        <v>1.2</v>
      </c>
      <c r="CF105" s="193">
        <v>1</v>
      </c>
      <c r="CG105" s="193">
        <v>0</v>
      </c>
      <c r="CH105" s="193">
        <v>0</v>
      </c>
      <c r="CI105" s="193">
        <v>1</v>
      </c>
      <c r="CJ105" s="193">
        <v>1.2</v>
      </c>
      <c r="CK105" s="193">
        <v>1</v>
      </c>
      <c r="CL105" s="193">
        <v>0</v>
      </c>
      <c r="CM105" s="193">
        <v>0</v>
      </c>
      <c r="CN105" s="193">
        <v>1</v>
      </c>
      <c r="CO105" s="193">
        <v>1.2</v>
      </c>
      <c r="CP105" s="193">
        <v>1</v>
      </c>
      <c r="CQ105" s="193">
        <v>0</v>
      </c>
      <c r="CR105" s="193">
        <v>0</v>
      </c>
      <c r="CS105" s="193">
        <v>1</v>
      </c>
      <c r="CT105" s="193">
        <v>1.2</v>
      </c>
      <c r="CU105" s="193">
        <v>1</v>
      </c>
      <c r="CV105" s="193">
        <v>0</v>
      </c>
      <c r="CW105" s="193">
        <v>0</v>
      </c>
      <c r="CX105" s="193">
        <v>1</v>
      </c>
      <c r="CY105" s="193">
        <v>1.2</v>
      </c>
      <c r="CZ105" s="193">
        <v>1</v>
      </c>
      <c r="DA105" s="193">
        <v>0</v>
      </c>
      <c r="DB105" s="193">
        <v>0</v>
      </c>
      <c r="DC105" s="193">
        <v>1</v>
      </c>
      <c r="DD105" s="193">
        <v>1.2</v>
      </c>
      <c r="DE105" s="193">
        <v>1</v>
      </c>
      <c r="DF105" s="193">
        <v>0</v>
      </c>
      <c r="DG105" s="193">
        <v>0</v>
      </c>
      <c r="DH105" s="193">
        <v>1</v>
      </c>
      <c r="DI105" s="193">
        <v>1.2</v>
      </c>
      <c r="DJ105" s="193">
        <v>1</v>
      </c>
      <c r="DK105" s="193">
        <v>0</v>
      </c>
      <c r="DL105" s="193">
        <v>0</v>
      </c>
      <c r="DM105" s="193">
        <v>1</v>
      </c>
      <c r="DN105" s="193">
        <v>1.2</v>
      </c>
      <c r="DO105" s="193">
        <v>1</v>
      </c>
      <c r="DP105" s="193">
        <v>0</v>
      </c>
      <c r="DQ105" s="193">
        <v>0</v>
      </c>
      <c r="DR105" s="193">
        <v>1</v>
      </c>
      <c r="DS105" s="193">
        <v>1.2</v>
      </c>
      <c r="DT105" s="193">
        <v>1</v>
      </c>
      <c r="DU105" s="193">
        <v>0</v>
      </c>
      <c r="DV105" s="193">
        <v>0</v>
      </c>
      <c r="DW105" s="193">
        <v>1</v>
      </c>
      <c r="DX105" s="193">
        <v>1.2</v>
      </c>
      <c r="DY105" s="193">
        <v>1</v>
      </c>
      <c r="DZ105" s="193">
        <v>0</v>
      </c>
      <c r="EA105" s="193">
        <v>0</v>
      </c>
      <c r="EB105" s="193">
        <v>1</v>
      </c>
      <c r="EC105" s="193">
        <v>1.2</v>
      </c>
      <c r="ED105" s="193">
        <v>1</v>
      </c>
      <c r="EE105" s="193">
        <v>0</v>
      </c>
      <c r="EF105" s="193">
        <v>0</v>
      </c>
      <c r="EG105" s="193">
        <v>1</v>
      </c>
      <c r="EH105" s="193">
        <v>1.2</v>
      </c>
      <c r="EI105" s="193">
        <v>1</v>
      </c>
      <c r="EJ105" s="193">
        <v>0</v>
      </c>
      <c r="EK105" s="193">
        <v>0</v>
      </c>
      <c r="EL105" s="193">
        <v>1</v>
      </c>
      <c r="EM105" s="193">
        <v>1.2</v>
      </c>
      <c r="EN105" s="193">
        <v>1</v>
      </c>
      <c r="EO105" s="193">
        <v>0</v>
      </c>
      <c r="EP105" s="193">
        <v>0</v>
      </c>
      <c r="EQ105" s="193">
        <v>1</v>
      </c>
      <c r="ER105" s="193">
        <v>1.2</v>
      </c>
      <c r="ES105" s="193">
        <v>1</v>
      </c>
      <c r="ET105" s="193">
        <v>0</v>
      </c>
      <c r="EU105" s="193">
        <v>0</v>
      </c>
      <c r="EV105" s="193">
        <v>1</v>
      </c>
      <c r="EW105" s="193">
        <v>1.2</v>
      </c>
      <c r="EX105" s="193">
        <v>1</v>
      </c>
      <c r="EY105" s="193">
        <v>0</v>
      </c>
      <c r="EZ105" s="193">
        <v>0</v>
      </c>
      <c r="FA105" s="193">
        <v>1</v>
      </c>
      <c r="FB105" s="193">
        <v>1.2</v>
      </c>
      <c r="FC105" s="193">
        <v>1</v>
      </c>
      <c r="FD105" s="193">
        <v>0</v>
      </c>
      <c r="FE105" s="193">
        <v>0</v>
      </c>
      <c r="FF105" s="193">
        <v>1</v>
      </c>
      <c r="FG105" s="193">
        <v>1.2</v>
      </c>
      <c r="FH105" s="193">
        <v>1</v>
      </c>
      <c r="FI105" s="193">
        <v>0</v>
      </c>
      <c r="FJ105" s="193">
        <v>0</v>
      </c>
      <c r="FK105" s="193">
        <v>1</v>
      </c>
      <c r="FL105" s="193">
        <v>1.2</v>
      </c>
      <c r="FM105" s="193">
        <v>1</v>
      </c>
      <c r="FN105" s="193">
        <v>0</v>
      </c>
      <c r="FO105" s="193">
        <v>0</v>
      </c>
      <c r="FP105" s="193">
        <v>1</v>
      </c>
      <c r="FQ105" s="193">
        <v>1.2</v>
      </c>
      <c r="FR105" s="193">
        <v>1</v>
      </c>
      <c r="FS105" s="193">
        <v>0</v>
      </c>
      <c r="FT105" s="193">
        <v>0</v>
      </c>
      <c r="FU105" s="193">
        <v>1</v>
      </c>
      <c r="FV105" s="193">
        <v>1.2</v>
      </c>
      <c r="FW105" s="193">
        <v>1</v>
      </c>
      <c r="FX105" s="193">
        <v>0</v>
      </c>
      <c r="FY105" s="193">
        <v>0</v>
      </c>
      <c r="FZ105" s="193">
        <v>1</v>
      </c>
      <c r="GA105" s="193">
        <v>1.2</v>
      </c>
      <c r="GB105" s="193">
        <v>1</v>
      </c>
      <c r="GC105" s="193">
        <v>0</v>
      </c>
      <c r="GD105" s="193">
        <v>0</v>
      </c>
      <c r="GE105" s="193">
        <v>1</v>
      </c>
      <c r="GF105" s="193">
        <v>1.2</v>
      </c>
      <c r="GG105" s="193">
        <v>1</v>
      </c>
      <c r="GH105" s="193">
        <v>0</v>
      </c>
      <c r="GI105" s="193">
        <v>0</v>
      </c>
      <c r="GJ105" s="193">
        <v>1</v>
      </c>
      <c r="GK105" s="193">
        <v>1.2</v>
      </c>
      <c r="GL105" s="193">
        <v>1</v>
      </c>
      <c r="GM105" s="193">
        <v>0</v>
      </c>
      <c r="GN105" s="193">
        <v>0</v>
      </c>
      <c r="GO105" s="193">
        <v>1</v>
      </c>
      <c r="GP105" s="187">
        <v>1.2</v>
      </c>
      <c r="GQ105" s="193">
        <v>1</v>
      </c>
    </row>
    <row r="106" spans="1:199">
      <c r="B106" s="188"/>
      <c r="C106" s="188"/>
      <c r="D106" s="188" t="s">
        <v>1018</v>
      </c>
      <c r="E106" s="190">
        <v>0</v>
      </c>
      <c r="F106" s="193">
        <v>0</v>
      </c>
      <c r="G106" s="193">
        <v>0</v>
      </c>
      <c r="H106" s="193">
        <v>0</v>
      </c>
      <c r="I106" s="193">
        <v>1</v>
      </c>
      <c r="J106" s="193">
        <v>0</v>
      </c>
      <c r="K106" s="193">
        <v>0</v>
      </c>
      <c r="L106" s="193">
        <v>0</v>
      </c>
      <c r="M106" s="193">
        <v>0</v>
      </c>
      <c r="N106" s="193">
        <v>1</v>
      </c>
      <c r="O106" s="193">
        <v>0</v>
      </c>
      <c r="P106" s="193">
        <v>0</v>
      </c>
      <c r="Q106" s="193">
        <v>0</v>
      </c>
      <c r="R106" s="193">
        <v>0</v>
      </c>
      <c r="S106" s="193">
        <v>1</v>
      </c>
      <c r="T106" s="190">
        <v>0</v>
      </c>
      <c r="U106" s="193">
        <v>0</v>
      </c>
      <c r="V106" s="193">
        <v>0</v>
      </c>
      <c r="W106" s="193">
        <v>0</v>
      </c>
      <c r="X106" s="193">
        <v>1</v>
      </c>
      <c r="Y106" s="193">
        <v>0</v>
      </c>
      <c r="Z106" s="193">
        <v>0</v>
      </c>
      <c r="AA106" s="193">
        <v>0</v>
      </c>
      <c r="AB106" s="193">
        <v>0</v>
      </c>
      <c r="AC106" s="193">
        <v>1</v>
      </c>
      <c r="AD106" s="193">
        <v>0</v>
      </c>
      <c r="AE106" s="193">
        <v>0</v>
      </c>
      <c r="AF106" s="193">
        <v>0</v>
      </c>
      <c r="AG106" s="193">
        <v>0</v>
      </c>
      <c r="AH106" s="193">
        <v>1</v>
      </c>
      <c r="AI106" s="193">
        <v>0</v>
      </c>
      <c r="AJ106" s="193">
        <v>0</v>
      </c>
      <c r="AK106" s="193">
        <v>0</v>
      </c>
      <c r="AL106" s="193">
        <v>0</v>
      </c>
      <c r="AM106" s="193">
        <v>1</v>
      </c>
      <c r="AN106" s="193">
        <v>0</v>
      </c>
      <c r="AO106" s="193">
        <v>0</v>
      </c>
      <c r="AP106" s="193">
        <v>0</v>
      </c>
      <c r="AQ106" s="193">
        <v>0</v>
      </c>
      <c r="AR106" s="193">
        <v>1</v>
      </c>
      <c r="AS106" s="193">
        <v>0</v>
      </c>
      <c r="AT106" s="193">
        <v>0</v>
      </c>
      <c r="AU106" s="193">
        <v>0</v>
      </c>
      <c r="AV106" s="193">
        <v>0</v>
      </c>
      <c r="AW106" s="193">
        <v>1</v>
      </c>
      <c r="AX106" s="193">
        <v>0</v>
      </c>
      <c r="AY106" s="193">
        <v>0</v>
      </c>
      <c r="AZ106" s="193">
        <v>0</v>
      </c>
      <c r="BA106" s="193">
        <v>0</v>
      </c>
      <c r="BB106" s="193">
        <v>1</v>
      </c>
      <c r="BC106" s="193">
        <v>0</v>
      </c>
      <c r="BD106" s="193">
        <v>0</v>
      </c>
      <c r="BE106" s="193">
        <v>0</v>
      </c>
      <c r="BF106" s="193">
        <v>0</v>
      </c>
      <c r="BG106" s="193">
        <v>1</v>
      </c>
      <c r="BH106" s="193">
        <v>0</v>
      </c>
      <c r="BI106" s="193">
        <v>0</v>
      </c>
      <c r="BJ106" s="193">
        <v>0</v>
      </c>
      <c r="BK106" s="193">
        <v>0</v>
      </c>
      <c r="BL106" s="193">
        <v>1</v>
      </c>
      <c r="BM106" s="193">
        <v>0</v>
      </c>
      <c r="BN106" s="193">
        <v>0</v>
      </c>
      <c r="BO106" s="193">
        <v>0</v>
      </c>
      <c r="BP106" s="193">
        <v>0</v>
      </c>
      <c r="BQ106" s="193">
        <v>1</v>
      </c>
      <c r="BR106" s="193">
        <v>0</v>
      </c>
      <c r="BS106" s="193">
        <v>0</v>
      </c>
      <c r="BT106" s="193">
        <v>0</v>
      </c>
      <c r="BU106" s="193">
        <v>0</v>
      </c>
      <c r="BV106" s="193">
        <v>1</v>
      </c>
      <c r="BW106" s="193">
        <v>0</v>
      </c>
      <c r="BX106" s="193">
        <v>0</v>
      </c>
      <c r="BY106" s="193">
        <v>0</v>
      </c>
      <c r="BZ106" s="193">
        <v>0</v>
      </c>
      <c r="CA106" s="193">
        <v>1</v>
      </c>
      <c r="CB106" s="193">
        <v>0</v>
      </c>
      <c r="CC106" s="193">
        <v>0</v>
      </c>
      <c r="CD106" s="193">
        <v>0</v>
      </c>
      <c r="CE106" s="193">
        <v>0</v>
      </c>
      <c r="CF106" s="193">
        <v>1</v>
      </c>
      <c r="CG106" s="193">
        <v>0</v>
      </c>
      <c r="CH106" s="193">
        <v>0</v>
      </c>
      <c r="CI106" s="193">
        <v>0</v>
      </c>
      <c r="CJ106" s="193">
        <v>0</v>
      </c>
      <c r="CK106" s="193">
        <v>1</v>
      </c>
      <c r="CL106" s="193">
        <v>0</v>
      </c>
      <c r="CM106" s="193">
        <v>0</v>
      </c>
      <c r="CN106" s="193">
        <v>0</v>
      </c>
      <c r="CO106" s="193">
        <v>0</v>
      </c>
      <c r="CP106" s="193">
        <v>1</v>
      </c>
      <c r="CQ106" s="193">
        <v>0</v>
      </c>
      <c r="CR106" s="193">
        <v>0</v>
      </c>
      <c r="CS106" s="193">
        <v>0</v>
      </c>
      <c r="CT106" s="193">
        <v>0</v>
      </c>
      <c r="CU106" s="193">
        <v>1</v>
      </c>
      <c r="CV106" s="193">
        <v>0</v>
      </c>
      <c r="CW106" s="193">
        <v>0</v>
      </c>
      <c r="CX106" s="193">
        <v>0</v>
      </c>
      <c r="CY106" s="193">
        <v>0</v>
      </c>
      <c r="CZ106" s="193">
        <v>1</v>
      </c>
      <c r="DA106" s="193">
        <v>0</v>
      </c>
      <c r="DB106" s="193">
        <v>0</v>
      </c>
      <c r="DC106" s="193">
        <v>0</v>
      </c>
      <c r="DD106" s="193">
        <v>0</v>
      </c>
      <c r="DE106" s="193">
        <v>1</v>
      </c>
      <c r="DF106" s="193">
        <v>0</v>
      </c>
      <c r="DG106" s="193">
        <v>0</v>
      </c>
      <c r="DH106" s="193">
        <v>0</v>
      </c>
      <c r="DI106" s="193">
        <v>0</v>
      </c>
      <c r="DJ106" s="193">
        <v>1</v>
      </c>
      <c r="DK106" s="193">
        <v>0</v>
      </c>
      <c r="DL106" s="193">
        <v>0</v>
      </c>
      <c r="DM106" s="193">
        <v>0</v>
      </c>
      <c r="DN106" s="193">
        <v>0</v>
      </c>
      <c r="DO106" s="193">
        <v>1</v>
      </c>
      <c r="DP106" s="193">
        <v>0</v>
      </c>
      <c r="DQ106" s="193">
        <v>0</v>
      </c>
      <c r="DR106" s="193">
        <v>0</v>
      </c>
      <c r="DS106" s="193">
        <v>0</v>
      </c>
      <c r="DT106" s="193">
        <v>1</v>
      </c>
      <c r="DU106" s="193">
        <v>0</v>
      </c>
      <c r="DV106" s="193">
        <v>0</v>
      </c>
      <c r="DW106" s="193">
        <v>0</v>
      </c>
      <c r="DX106" s="193">
        <v>0</v>
      </c>
      <c r="DY106" s="193">
        <v>1</v>
      </c>
      <c r="DZ106" s="193">
        <v>0</v>
      </c>
      <c r="EA106" s="193">
        <v>0</v>
      </c>
      <c r="EB106" s="193">
        <v>0</v>
      </c>
      <c r="EC106" s="193">
        <v>0</v>
      </c>
      <c r="ED106" s="193">
        <v>1</v>
      </c>
      <c r="EE106" s="193">
        <v>0</v>
      </c>
      <c r="EF106" s="193">
        <v>0</v>
      </c>
      <c r="EG106" s="193">
        <v>0</v>
      </c>
      <c r="EH106" s="193">
        <v>0</v>
      </c>
      <c r="EI106" s="193">
        <v>1</v>
      </c>
      <c r="EJ106" s="193">
        <v>0</v>
      </c>
      <c r="EK106" s="193">
        <v>0</v>
      </c>
      <c r="EL106" s="193">
        <v>0</v>
      </c>
      <c r="EM106" s="193">
        <v>0</v>
      </c>
      <c r="EN106" s="193">
        <v>1</v>
      </c>
      <c r="EO106" s="193">
        <v>0</v>
      </c>
      <c r="EP106" s="193">
        <v>0</v>
      </c>
      <c r="EQ106" s="193">
        <v>0</v>
      </c>
      <c r="ER106" s="193">
        <v>0</v>
      </c>
      <c r="ES106" s="193">
        <v>1</v>
      </c>
      <c r="ET106" s="193">
        <v>0</v>
      </c>
      <c r="EU106" s="193">
        <v>0</v>
      </c>
      <c r="EV106" s="193">
        <v>0</v>
      </c>
      <c r="EW106" s="193">
        <v>0</v>
      </c>
      <c r="EX106" s="193">
        <v>1</v>
      </c>
      <c r="EY106" s="193">
        <v>0</v>
      </c>
      <c r="EZ106" s="193">
        <v>0</v>
      </c>
      <c r="FA106" s="193">
        <v>0</v>
      </c>
      <c r="FB106" s="193">
        <v>0</v>
      </c>
      <c r="FC106" s="193">
        <v>1</v>
      </c>
      <c r="FD106" s="193">
        <v>0</v>
      </c>
      <c r="FE106" s="193">
        <v>0</v>
      </c>
      <c r="FF106" s="193">
        <v>0</v>
      </c>
      <c r="FG106" s="193">
        <v>0</v>
      </c>
      <c r="FH106" s="193">
        <v>1</v>
      </c>
      <c r="FI106" s="193">
        <v>0</v>
      </c>
      <c r="FJ106" s="193">
        <v>0</v>
      </c>
      <c r="FK106" s="193">
        <v>0</v>
      </c>
      <c r="FL106" s="193">
        <v>0</v>
      </c>
      <c r="FM106" s="193">
        <v>1</v>
      </c>
      <c r="FN106" s="193">
        <v>0</v>
      </c>
      <c r="FO106" s="193">
        <v>0</v>
      </c>
      <c r="FP106" s="193">
        <v>0</v>
      </c>
      <c r="FQ106" s="193">
        <v>0</v>
      </c>
      <c r="FR106" s="193">
        <v>1</v>
      </c>
      <c r="FS106" s="193">
        <v>0</v>
      </c>
      <c r="FT106" s="193">
        <v>0</v>
      </c>
      <c r="FU106" s="193">
        <v>0</v>
      </c>
      <c r="FV106" s="193">
        <v>0</v>
      </c>
      <c r="FW106" s="193">
        <v>1</v>
      </c>
      <c r="FX106" s="193">
        <v>0</v>
      </c>
      <c r="FY106" s="193">
        <v>0</v>
      </c>
      <c r="FZ106" s="193">
        <v>0</v>
      </c>
      <c r="GA106" s="193">
        <v>0</v>
      </c>
      <c r="GB106" s="193">
        <v>1</v>
      </c>
      <c r="GC106" s="193">
        <v>0</v>
      </c>
      <c r="GD106" s="193">
        <v>0</v>
      </c>
      <c r="GE106" s="193">
        <v>0</v>
      </c>
      <c r="GF106" s="193">
        <v>0</v>
      </c>
      <c r="GG106" s="193">
        <v>1</v>
      </c>
      <c r="GH106" s="193">
        <v>0</v>
      </c>
      <c r="GI106" s="193">
        <v>0</v>
      </c>
      <c r="GJ106" s="193">
        <v>0</v>
      </c>
      <c r="GK106" s="193">
        <v>0</v>
      </c>
      <c r="GL106" s="193">
        <v>1</v>
      </c>
      <c r="GM106" s="193">
        <v>0</v>
      </c>
      <c r="GN106" s="193">
        <v>0</v>
      </c>
      <c r="GO106" s="193">
        <v>0</v>
      </c>
      <c r="GP106" s="187">
        <v>0</v>
      </c>
      <c r="GQ106" s="193">
        <v>1</v>
      </c>
    </row>
    <row r="107" spans="1:199">
      <c r="B107" s="188"/>
      <c r="C107" s="188"/>
      <c r="D107" s="188" t="s">
        <v>1019</v>
      </c>
      <c r="E107" s="190">
        <v>0</v>
      </c>
      <c r="F107" s="193">
        <v>0</v>
      </c>
      <c r="G107" s="193">
        <v>0</v>
      </c>
      <c r="H107" s="193">
        <v>0</v>
      </c>
      <c r="I107" s="193">
        <v>1</v>
      </c>
      <c r="J107" s="193">
        <v>0</v>
      </c>
      <c r="K107" s="193">
        <v>0</v>
      </c>
      <c r="L107" s="193">
        <v>0</v>
      </c>
      <c r="M107" s="193">
        <v>0</v>
      </c>
      <c r="N107" s="193">
        <v>1</v>
      </c>
      <c r="O107" s="193">
        <v>0</v>
      </c>
      <c r="P107" s="193">
        <v>0</v>
      </c>
      <c r="Q107" s="193">
        <v>0</v>
      </c>
      <c r="R107" s="193">
        <v>0</v>
      </c>
      <c r="S107" s="193">
        <v>1</v>
      </c>
      <c r="T107" s="190">
        <v>0</v>
      </c>
      <c r="U107" s="193">
        <v>0</v>
      </c>
      <c r="V107" s="193">
        <v>0</v>
      </c>
      <c r="W107" s="193">
        <v>0</v>
      </c>
      <c r="X107" s="193">
        <v>1</v>
      </c>
      <c r="Y107" s="193">
        <v>0</v>
      </c>
      <c r="Z107" s="193">
        <v>0</v>
      </c>
      <c r="AA107" s="193">
        <v>0</v>
      </c>
      <c r="AB107" s="193">
        <v>0</v>
      </c>
      <c r="AC107" s="193">
        <v>1</v>
      </c>
      <c r="AD107" s="193">
        <v>0</v>
      </c>
      <c r="AE107" s="193">
        <v>0</v>
      </c>
      <c r="AF107" s="193">
        <v>0</v>
      </c>
      <c r="AG107" s="193">
        <v>0</v>
      </c>
      <c r="AH107" s="193">
        <v>1</v>
      </c>
      <c r="AI107" s="193">
        <v>0</v>
      </c>
      <c r="AJ107" s="193">
        <v>0</v>
      </c>
      <c r="AK107" s="193">
        <v>0</v>
      </c>
      <c r="AL107" s="193">
        <v>0</v>
      </c>
      <c r="AM107" s="193">
        <v>1</v>
      </c>
      <c r="AN107" s="193">
        <v>0</v>
      </c>
      <c r="AO107" s="193">
        <v>0</v>
      </c>
      <c r="AP107" s="193">
        <v>0</v>
      </c>
      <c r="AQ107" s="193">
        <v>0</v>
      </c>
      <c r="AR107" s="193">
        <v>1</v>
      </c>
      <c r="AS107" s="193">
        <v>0</v>
      </c>
      <c r="AT107" s="193">
        <v>0</v>
      </c>
      <c r="AU107" s="193">
        <v>0</v>
      </c>
      <c r="AV107" s="193">
        <v>0</v>
      </c>
      <c r="AW107" s="193">
        <v>1</v>
      </c>
      <c r="AX107" s="193">
        <v>0</v>
      </c>
      <c r="AY107" s="193">
        <v>0</v>
      </c>
      <c r="AZ107" s="193">
        <v>0</v>
      </c>
      <c r="BA107" s="193">
        <v>0</v>
      </c>
      <c r="BB107" s="193">
        <v>1</v>
      </c>
      <c r="BC107" s="193">
        <v>0</v>
      </c>
      <c r="BD107" s="193">
        <v>0</v>
      </c>
      <c r="BE107" s="193">
        <v>0</v>
      </c>
      <c r="BF107" s="193">
        <v>0</v>
      </c>
      <c r="BG107" s="193">
        <v>1</v>
      </c>
      <c r="BH107" s="193">
        <v>0</v>
      </c>
      <c r="BI107" s="193">
        <v>0</v>
      </c>
      <c r="BJ107" s="193">
        <v>0</v>
      </c>
      <c r="BK107" s="193">
        <v>0</v>
      </c>
      <c r="BL107" s="193">
        <v>1</v>
      </c>
      <c r="BM107" s="193">
        <v>0</v>
      </c>
      <c r="BN107" s="193">
        <v>0</v>
      </c>
      <c r="BO107" s="193">
        <v>0</v>
      </c>
      <c r="BP107" s="193">
        <v>0</v>
      </c>
      <c r="BQ107" s="193">
        <v>1</v>
      </c>
      <c r="BR107" s="193">
        <v>0</v>
      </c>
      <c r="BS107" s="193">
        <v>0</v>
      </c>
      <c r="BT107" s="193">
        <v>0</v>
      </c>
      <c r="BU107" s="193">
        <v>0</v>
      </c>
      <c r="BV107" s="193">
        <v>1</v>
      </c>
      <c r="BW107" s="193">
        <v>0</v>
      </c>
      <c r="BX107" s="193">
        <v>0</v>
      </c>
      <c r="BY107" s="193">
        <v>0</v>
      </c>
      <c r="BZ107" s="193">
        <v>0</v>
      </c>
      <c r="CA107" s="193">
        <v>1</v>
      </c>
      <c r="CB107" s="193">
        <v>0</v>
      </c>
      <c r="CC107" s="193">
        <v>0</v>
      </c>
      <c r="CD107" s="193">
        <v>0</v>
      </c>
      <c r="CE107" s="193">
        <v>0</v>
      </c>
      <c r="CF107" s="193">
        <v>1</v>
      </c>
      <c r="CG107" s="193">
        <v>0</v>
      </c>
      <c r="CH107" s="193">
        <v>0</v>
      </c>
      <c r="CI107" s="193">
        <v>0</v>
      </c>
      <c r="CJ107" s="193">
        <v>0</v>
      </c>
      <c r="CK107" s="193">
        <v>1</v>
      </c>
      <c r="CL107" s="193">
        <v>0</v>
      </c>
      <c r="CM107" s="193">
        <v>0</v>
      </c>
      <c r="CN107" s="193">
        <v>0</v>
      </c>
      <c r="CO107" s="193">
        <v>0</v>
      </c>
      <c r="CP107" s="193">
        <v>1</v>
      </c>
      <c r="CQ107" s="193">
        <v>0</v>
      </c>
      <c r="CR107" s="193">
        <v>0</v>
      </c>
      <c r="CS107" s="193">
        <v>0</v>
      </c>
      <c r="CT107" s="193">
        <v>0</v>
      </c>
      <c r="CU107" s="193">
        <v>1</v>
      </c>
      <c r="CV107" s="193">
        <v>0</v>
      </c>
      <c r="CW107" s="193">
        <v>0</v>
      </c>
      <c r="CX107" s="193">
        <v>0</v>
      </c>
      <c r="CY107" s="193">
        <v>0</v>
      </c>
      <c r="CZ107" s="193">
        <v>1</v>
      </c>
      <c r="DA107" s="193">
        <v>0</v>
      </c>
      <c r="DB107" s="193">
        <v>0</v>
      </c>
      <c r="DC107" s="193">
        <v>0</v>
      </c>
      <c r="DD107" s="193">
        <v>0</v>
      </c>
      <c r="DE107" s="193">
        <v>1</v>
      </c>
      <c r="DF107" s="193">
        <v>0</v>
      </c>
      <c r="DG107" s="193">
        <v>0</v>
      </c>
      <c r="DH107" s="193">
        <v>0</v>
      </c>
      <c r="DI107" s="193">
        <v>0</v>
      </c>
      <c r="DJ107" s="193">
        <v>1</v>
      </c>
      <c r="DK107" s="193">
        <v>0</v>
      </c>
      <c r="DL107" s="193">
        <v>0</v>
      </c>
      <c r="DM107" s="193">
        <v>0</v>
      </c>
      <c r="DN107" s="193">
        <v>0</v>
      </c>
      <c r="DO107" s="193">
        <v>1</v>
      </c>
      <c r="DP107" s="193">
        <v>0</v>
      </c>
      <c r="DQ107" s="193">
        <v>0</v>
      </c>
      <c r="DR107" s="193">
        <v>0</v>
      </c>
      <c r="DS107" s="193">
        <v>0</v>
      </c>
      <c r="DT107" s="193">
        <v>1</v>
      </c>
      <c r="DU107" s="193">
        <v>0</v>
      </c>
      <c r="DV107" s="193">
        <v>0</v>
      </c>
      <c r="DW107" s="193">
        <v>0</v>
      </c>
      <c r="DX107" s="193">
        <v>0</v>
      </c>
      <c r="DY107" s="193">
        <v>1</v>
      </c>
      <c r="DZ107" s="193">
        <v>0</v>
      </c>
      <c r="EA107" s="193">
        <v>0</v>
      </c>
      <c r="EB107" s="193">
        <v>0</v>
      </c>
      <c r="EC107" s="193">
        <v>0</v>
      </c>
      <c r="ED107" s="193">
        <v>1</v>
      </c>
      <c r="EE107" s="193">
        <v>0</v>
      </c>
      <c r="EF107" s="193">
        <v>0</v>
      </c>
      <c r="EG107" s="193">
        <v>0</v>
      </c>
      <c r="EH107" s="193">
        <v>0</v>
      </c>
      <c r="EI107" s="193">
        <v>1</v>
      </c>
      <c r="EJ107" s="193">
        <v>0</v>
      </c>
      <c r="EK107" s="193">
        <v>0</v>
      </c>
      <c r="EL107" s="193">
        <v>0</v>
      </c>
      <c r="EM107" s="193">
        <v>0</v>
      </c>
      <c r="EN107" s="193">
        <v>1</v>
      </c>
      <c r="EO107" s="193">
        <v>0</v>
      </c>
      <c r="EP107" s="193">
        <v>0</v>
      </c>
      <c r="EQ107" s="193">
        <v>0</v>
      </c>
      <c r="ER107" s="193">
        <v>0</v>
      </c>
      <c r="ES107" s="193">
        <v>1</v>
      </c>
      <c r="ET107" s="193">
        <v>0</v>
      </c>
      <c r="EU107" s="193">
        <v>0</v>
      </c>
      <c r="EV107" s="193">
        <v>0</v>
      </c>
      <c r="EW107" s="193">
        <v>0</v>
      </c>
      <c r="EX107" s="193">
        <v>1</v>
      </c>
      <c r="EY107" s="193">
        <v>0</v>
      </c>
      <c r="EZ107" s="193">
        <v>0</v>
      </c>
      <c r="FA107" s="193">
        <v>0</v>
      </c>
      <c r="FB107" s="193">
        <v>0</v>
      </c>
      <c r="FC107" s="193">
        <v>1</v>
      </c>
      <c r="FD107" s="193">
        <v>0</v>
      </c>
      <c r="FE107" s="193">
        <v>0</v>
      </c>
      <c r="FF107" s="193">
        <v>0</v>
      </c>
      <c r="FG107" s="193">
        <v>0</v>
      </c>
      <c r="FH107" s="193">
        <v>1</v>
      </c>
      <c r="FI107" s="193">
        <v>0</v>
      </c>
      <c r="FJ107" s="193">
        <v>0</v>
      </c>
      <c r="FK107" s="193">
        <v>0</v>
      </c>
      <c r="FL107" s="193">
        <v>0</v>
      </c>
      <c r="FM107" s="193">
        <v>1</v>
      </c>
      <c r="FN107" s="193">
        <v>0</v>
      </c>
      <c r="FO107" s="193">
        <v>0</v>
      </c>
      <c r="FP107" s="193">
        <v>0</v>
      </c>
      <c r="FQ107" s="193">
        <v>0</v>
      </c>
      <c r="FR107" s="193">
        <v>1</v>
      </c>
      <c r="FS107" s="193">
        <v>0</v>
      </c>
      <c r="FT107" s="193">
        <v>0</v>
      </c>
      <c r="FU107" s="193">
        <v>0</v>
      </c>
      <c r="FV107" s="193">
        <v>0</v>
      </c>
      <c r="FW107" s="193">
        <v>1</v>
      </c>
      <c r="FX107" s="193">
        <v>0</v>
      </c>
      <c r="FY107" s="193">
        <v>0</v>
      </c>
      <c r="FZ107" s="193">
        <v>0</v>
      </c>
      <c r="GA107" s="193">
        <v>0</v>
      </c>
      <c r="GB107" s="193">
        <v>1</v>
      </c>
      <c r="GC107" s="193">
        <v>0</v>
      </c>
      <c r="GD107" s="193">
        <v>0</v>
      </c>
      <c r="GE107" s="193">
        <v>0</v>
      </c>
      <c r="GF107" s="193">
        <v>0</v>
      </c>
      <c r="GG107" s="193">
        <v>1</v>
      </c>
      <c r="GH107" s="193">
        <v>0</v>
      </c>
      <c r="GI107" s="193">
        <v>0</v>
      </c>
      <c r="GJ107" s="193">
        <v>0</v>
      </c>
      <c r="GK107" s="193">
        <v>0</v>
      </c>
      <c r="GL107" s="193">
        <v>1</v>
      </c>
      <c r="GM107" s="193">
        <v>0</v>
      </c>
      <c r="GN107" s="193">
        <v>0</v>
      </c>
      <c r="GO107" s="193">
        <v>0</v>
      </c>
      <c r="GP107" s="187">
        <v>0</v>
      </c>
      <c r="GQ107" s="193">
        <v>1</v>
      </c>
    </row>
    <row r="108" spans="1:199">
      <c r="B108" s="200"/>
      <c r="C108" s="200" t="s">
        <v>1020</v>
      </c>
      <c r="D108" s="382" t="s">
        <v>1021</v>
      </c>
      <c r="E108" s="386">
        <v>0</v>
      </c>
      <c r="F108" s="201">
        <v>0</v>
      </c>
      <c r="G108" s="201">
        <v>0</v>
      </c>
      <c r="H108" s="201">
        <v>0</v>
      </c>
      <c r="I108" s="383">
        <v>1</v>
      </c>
      <c r="J108" s="201">
        <v>0</v>
      </c>
      <c r="K108" s="201">
        <v>0</v>
      </c>
      <c r="L108" s="201">
        <v>0</v>
      </c>
      <c r="M108" s="201">
        <v>0</v>
      </c>
      <c r="N108" s="383">
        <v>1</v>
      </c>
      <c r="O108" s="201">
        <v>0</v>
      </c>
      <c r="P108" s="201">
        <v>0</v>
      </c>
      <c r="Q108" s="201">
        <v>0</v>
      </c>
      <c r="R108" s="201">
        <v>0</v>
      </c>
      <c r="S108" s="383">
        <v>1</v>
      </c>
      <c r="T108" s="386">
        <v>0</v>
      </c>
      <c r="U108" s="201">
        <v>0</v>
      </c>
      <c r="V108" s="201">
        <v>0</v>
      </c>
      <c r="W108" s="201">
        <v>0</v>
      </c>
      <c r="X108" s="383">
        <v>1</v>
      </c>
      <c r="Y108" s="201">
        <v>0</v>
      </c>
      <c r="Z108" s="201">
        <v>0</v>
      </c>
      <c r="AA108" s="201">
        <v>0</v>
      </c>
      <c r="AB108" s="201">
        <v>0</v>
      </c>
      <c r="AC108" s="383">
        <v>1</v>
      </c>
      <c r="AD108" s="201">
        <v>0</v>
      </c>
      <c r="AE108" s="201">
        <v>0</v>
      </c>
      <c r="AF108" s="201">
        <v>0</v>
      </c>
      <c r="AG108" s="201">
        <v>0</v>
      </c>
      <c r="AH108" s="383">
        <v>1</v>
      </c>
      <c r="AI108" s="201">
        <v>0</v>
      </c>
      <c r="AJ108" s="201">
        <v>0</v>
      </c>
      <c r="AK108" s="201">
        <v>0</v>
      </c>
      <c r="AL108" s="201">
        <v>0</v>
      </c>
      <c r="AM108" s="383">
        <v>1</v>
      </c>
      <c r="AN108" s="201">
        <v>0</v>
      </c>
      <c r="AO108" s="201">
        <v>0</v>
      </c>
      <c r="AP108" s="201">
        <v>0</v>
      </c>
      <c r="AQ108" s="201">
        <v>0</v>
      </c>
      <c r="AR108" s="383">
        <v>1</v>
      </c>
      <c r="AS108" s="201">
        <v>0</v>
      </c>
      <c r="AT108" s="201">
        <v>0</v>
      </c>
      <c r="AU108" s="201">
        <v>0</v>
      </c>
      <c r="AV108" s="201">
        <v>0</v>
      </c>
      <c r="AW108" s="383">
        <v>1</v>
      </c>
      <c r="AX108" s="201">
        <v>0</v>
      </c>
      <c r="AY108" s="201">
        <v>0</v>
      </c>
      <c r="AZ108" s="201">
        <v>0</v>
      </c>
      <c r="BA108" s="201">
        <v>0</v>
      </c>
      <c r="BB108" s="383">
        <v>1</v>
      </c>
      <c r="BC108" s="201">
        <v>0</v>
      </c>
      <c r="BD108" s="201">
        <v>0</v>
      </c>
      <c r="BE108" s="201">
        <v>0</v>
      </c>
      <c r="BF108" s="201">
        <v>0</v>
      </c>
      <c r="BG108" s="383">
        <v>1</v>
      </c>
      <c r="BH108" s="201">
        <v>0</v>
      </c>
      <c r="BI108" s="201">
        <v>0</v>
      </c>
      <c r="BJ108" s="201">
        <v>0</v>
      </c>
      <c r="BK108" s="201">
        <v>0</v>
      </c>
      <c r="BL108" s="383">
        <v>1</v>
      </c>
      <c r="BM108" s="201">
        <v>0</v>
      </c>
      <c r="BN108" s="201">
        <v>0</v>
      </c>
      <c r="BO108" s="201">
        <v>0</v>
      </c>
      <c r="BP108" s="201">
        <v>0</v>
      </c>
      <c r="BQ108" s="383">
        <v>1</v>
      </c>
      <c r="BR108" s="201">
        <v>0</v>
      </c>
      <c r="BS108" s="201">
        <v>0</v>
      </c>
      <c r="BT108" s="201">
        <v>0</v>
      </c>
      <c r="BU108" s="201">
        <v>0</v>
      </c>
      <c r="BV108" s="383">
        <v>1</v>
      </c>
      <c r="BW108" s="201">
        <v>0</v>
      </c>
      <c r="BX108" s="201">
        <v>0</v>
      </c>
      <c r="BY108" s="201">
        <v>0</v>
      </c>
      <c r="BZ108" s="201">
        <v>0</v>
      </c>
      <c r="CA108" s="383">
        <v>1</v>
      </c>
      <c r="CB108" s="201">
        <v>0</v>
      </c>
      <c r="CC108" s="201">
        <v>0</v>
      </c>
      <c r="CD108" s="201">
        <v>0</v>
      </c>
      <c r="CE108" s="201">
        <v>0</v>
      </c>
      <c r="CF108" s="383">
        <v>1</v>
      </c>
      <c r="CG108" s="201">
        <v>0</v>
      </c>
      <c r="CH108" s="201">
        <v>0</v>
      </c>
      <c r="CI108" s="201">
        <v>0</v>
      </c>
      <c r="CJ108" s="201">
        <v>0</v>
      </c>
      <c r="CK108" s="383">
        <v>1</v>
      </c>
      <c r="CL108" s="201">
        <v>0</v>
      </c>
      <c r="CM108" s="201">
        <v>0</v>
      </c>
      <c r="CN108" s="201">
        <v>0</v>
      </c>
      <c r="CO108" s="201">
        <v>0</v>
      </c>
      <c r="CP108" s="383">
        <v>1</v>
      </c>
      <c r="CQ108" s="201">
        <v>0</v>
      </c>
      <c r="CR108" s="201">
        <v>0</v>
      </c>
      <c r="CS108" s="201">
        <v>0</v>
      </c>
      <c r="CT108" s="201">
        <v>0</v>
      </c>
      <c r="CU108" s="383">
        <v>1</v>
      </c>
      <c r="CV108" s="201">
        <v>0</v>
      </c>
      <c r="CW108" s="201">
        <v>0</v>
      </c>
      <c r="CX108" s="201">
        <v>0</v>
      </c>
      <c r="CY108" s="201">
        <v>0</v>
      </c>
      <c r="CZ108" s="383">
        <v>1</v>
      </c>
      <c r="DA108" s="201">
        <v>0</v>
      </c>
      <c r="DB108" s="201">
        <v>0</v>
      </c>
      <c r="DC108" s="201">
        <v>0</v>
      </c>
      <c r="DD108" s="201">
        <v>0</v>
      </c>
      <c r="DE108" s="383">
        <v>1</v>
      </c>
      <c r="DF108" s="201">
        <v>0</v>
      </c>
      <c r="DG108" s="201">
        <v>0</v>
      </c>
      <c r="DH108" s="201">
        <v>0</v>
      </c>
      <c r="DI108" s="201">
        <v>0</v>
      </c>
      <c r="DJ108" s="383">
        <v>1</v>
      </c>
      <c r="DK108" s="201">
        <v>0</v>
      </c>
      <c r="DL108" s="201">
        <v>0</v>
      </c>
      <c r="DM108" s="201">
        <v>0</v>
      </c>
      <c r="DN108" s="201">
        <v>0</v>
      </c>
      <c r="DO108" s="383">
        <v>1</v>
      </c>
      <c r="DP108" s="201">
        <v>0</v>
      </c>
      <c r="DQ108" s="201">
        <v>0</v>
      </c>
      <c r="DR108" s="201">
        <v>0</v>
      </c>
      <c r="DS108" s="201">
        <v>0</v>
      </c>
      <c r="DT108" s="383">
        <v>1</v>
      </c>
      <c r="DU108" s="201">
        <v>0</v>
      </c>
      <c r="DV108" s="201">
        <v>0</v>
      </c>
      <c r="DW108" s="201">
        <v>0</v>
      </c>
      <c r="DX108" s="201">
        <v>0</v>
      </c>
      <c r="DY108" s="383">
        <v>1</v>
      </c>
      <c r="DZ108" s="201">
        <v>0</v>
      </c>
      <c r="EA108" s="201">
        <v>0</v>
      </c>
      <c r="EB108" s="201">
        <v>0</v>
      </c>
      <c r="EC108" s="201">
        <v>0</v>
      </c>
      <c r="ED108" s="383">
        <v>1</v>
      </c>
      <c r="EE108" s="201">
        <v>0</v>
      </c>
      <c r="EF108" s="201">
        <v>0</v>
      </c>
      <c r="EG108" s="201">
        <v>0</v>
      </c>
      <c r="EH108" s="201">
        <v>0</v>
      </c>
      <c r="EI108" s="383">
        <v>1</v>
      </c>
      <c r="EJ108" s="201">
        <v>0</v>
      </c>
      <c r="EK108" s="201">
        <v>0</v>
      </c>
      <c r="EL108" s="201">
        <v>0</v>
      </c>
      <c r="EM108" s="201">
        <v>0</v>
      </c>
      <c r="EN108" s="383">
        <v>1</v>
      </c>
      <c r="EO108" s="201">
        <v>0</v>
      </c>
      <c r="EP108" s="201">
        <v>0</v>
      </c>
      <c r="EQ108" s="201">
        <v>0</v>
      </c>
      <c r="ER108" s="201">
        <v>0</v>
      </c>
      <c r="ES108" s="383">
        <v>1</v>
      </c>
      <c r="ET108" s="201">
        <v>0</v>
      </c>
      <c r="EU108" s="201">
        <v>0</v>
      </c>
      <c r="EV108" s="201">
        <v>0</v>
      </c>
      <c r="EW108" s="201">
        <v>0</v>
      </c>
      <c r="EX108" s="383">
        <v>1</v>
      </c>
      <c r="EY108" s="201">
        <v>0</v>
      </c>
      <c r="EZ108" s="201">
        <v>0</v>
      </c>
      <c r="FA108" s="201">
        <v>0</v>
      </c>
      <c r="FB108" s="201">
        <v>0</v>
      </c>
      <c r="FC108" s="383">
        <v>1</v>
      </c>
      <c r="FD108" s="201">
        <v>0</v>
      </c>
      <c r="FE108" s="201">
        <v>0</v>
      </c>
      <c r="FF108" s="201">
        <v>0</v>
      </c>
      <c r="FG108" s="201">
        <v>0</v>
      </c>
      <c r="FH108" s="383">
        <v>1</v>
      </c>
      <c r="FI108" s="201">
        <v>0</v>
      </c>
      <c r="FJ108" s="201">
        <v>0</v>
      </c>
      <c r="FK108" s="201">
        <v>0</v>
      </c>
      <c r="FL108" s="201">
        <v>0</v>
      </c>
      <c r="FM108" s="383">
        <v>1</v>
      </c>
      <c r="FN108" s="201">
        <v>0</v>
      </c>
      <c r="FO108" s="201">
        <v>0</v>
      </c>
      <c r="FP108" s="201">
        <v>0</v>
      </c>
      <c r="FQ108" s="201">
        <v>0</v>
      </c>
      <c r="FR108" s="383">
        <v>1</v>
      </c>
      <c r="FS108" s="201">
        <v>0</v>
      </c>
      <c r="FT108" s="201">
        <v>0</v>
      </c>
      <c r="FU108" s="201">
        <v>0</v>
      </c>
      <c r="FV108" s="201">
        <v>0</v>
      </c>
      <c r="FW108" s="383">
        <v>1</v>
      </c>
      <c r="FX108" s="201">
        <v>0</v>
      </c>
      <c r="FY108" s="201">
        <v>0</v>
      </c>
      <c r="FZ108" s="201">
        <v>0</v>
      </c>
      <c r="GA108" s="201">
        <v>0</v>
      </c>
      <c r="GB108" s="383">
        <v>1</v>
      </c>
      <c r="GC108" s="201">
        <v>0</v>
      </c>
      <c r="GD108" s="201">
        <v>0</v>
      </c>
      <c r="GE108" s="201">
        <v>0</v>
      </c>
      <c r="GF108" s="201">
        <v>0</v>
      </c>
      <c r="GG108" s="383">
        <v>1</v>
      </c>
      <c r="GH108" s="201">
        <v>0</v>
      </c>
      <c r="GI108" s="201">
        <v>0</v>
      </c>
      <c r="GJ108" s="201">
        <v>0</v>
      </c>
      <c r="GK108" s="201">
        <v>0</v>
      </c>
      <c r="GL108" s="383">
        <v>1</v>
      </c>
      <c r="GM108" s="201">
        <v>0</v>
      </c>
      <c r="GN108" s="201">
        <v>0</v>
      </c>
      <c r="GO108" s="201">
        <v>0</v>
      </c>
      <c r="GP108" s="202">
        <v>0</v>
      </c>
      <c r="GQ108" s="383">
        <v>1</v>
      </c>
    </row>
    <row r="109" spans="1:199">
      <c r="A109" s="195"/>
      <c r="E109" s="206"/>
      <c r="T109" s="206"/>
    </row>
    <row r="110" spans="1:199">
      <c r="A110" s="195"/>
      <c r="B110" s="195" t="s">
        <v>968</v>
      </c>
      <c r="E110" s="206"/>
      <c r="T110" s="206"/>
    </row>
    <row r="111" spans="1:199">
      <c r="B111" s="196"/>
      <c r="C111" s="196" t="s">
        <v>1024</v>
      </c>
      <c r="D111" s="196" t="s">
        <v>1025</v>
      </c>
      <c r="E111" s="199">
        <v>0</v>
      </c>
      <c r="F111" s="197">
        <v>0.12</v>
      </c>
      <c r="G111" s="197">
        <v>0.2</v>
      </c>
      <c r="H111" s="197">
        <v>0.4</v>
      </c>
      <c r="I111" s="197">
        <v>1</v>
      </c>
      <c r="J111" s="197">
        <v>0</v>
      </c>
      <c r="K111" s="197">
        <v>0</v>
      </c>
      <c r="L111" s="197">
        <v>0</v>
      </c>
      <c r="M111" s="197">
        <v>0</v>
      </c>
      <c r="N111" s="197">
        <v>1</v>
      </c>
      <c r="O111" s="197">
        <v>0</v>
      </c>
      <c r="P111" s="197">
        <v>0.6</v>
      </c>
      <c r="Q111" s="197">
        <v>1</v>
      </c>
      <c r="R111" s="197">
        <v>2</v>
      </c>
      <c r="S111" s="197">
        <v>1</v>
      </c>
      <c r="T111" s="199">
        <v>0</v>
      </c>
      <c r="U111" s="197">
        <v>0.12</v>
      </c>
      <c r="V111" s="197">
        <v>0.2</v>
      </c>
      <c r="W111" s="197">
        <v>0.4</v>
      </c>
      <c r="X111" s="197">
        <v>1</v>
      </c>
      <c r="Y111" s="197">
        <v>0</v>
      </c>
      <c r="Z111" s="197">
        <v>0</v>
      </c>
      <c r="AA111" s="197">
        <v>0</v>
      </c>
      <c r="AB111" s="197">
        <v>2</v>
      </c>
      <c r="AC111" s="197">
        <v>1</v>
      </c>
      <c r="AD111" s="197">
        <v>0</v>
      </c>
      <c r="AE111" s="197">
        <v>0.6</v>
      </c>
      <c r="AF111" s="197">
        <v>1</v>
      </c>
      <c r="AG111" s="197">
        <v>2</v>
      </c>
      <c r="AH111" s="197">
        <v>1</v>
      </c>
      <c r="AI111" s="197">
        <v>0</v>
      </c>
      <c r="AJ111" s="197">
        <v>0.12</v>
      </c>
      <c r="AK111" s="197">
        <v>0.2</v>
      </c>
      <c r="AL111" s="197">
        <v>0.4</v>
      </c>
      <c r="AM111" s="197">
        <v>1</v>
      </c>
      <c r="AN111" s="197">
        <v>0</v>
      </c>
      <c r="AO111" s="197">
        <v>0</v>
      </c>
      <c r="AP111" s="197">
        <v>0</v>
      </c>
      <c r="AQ111" s="197">
        <v>2</v>
      </c>
      <c r="AR111" s="197">
        <v>1</v>
      </c>
      <c r="AS111" s="197">
        <v>0</v>
      </c>
      <c r="AT111" s="197">
        <v>0.6</v>
      </c>
      <c r="AU111" s="197">
        <v>1</v>
      </c>
      <c r="AV111" s="197">
        <v>2</v>
      </c>
      <c r="AW111" s="197">
        <v>1</v>
      </c>
      <c r="AX111" s="197">
        <v>0</v>
      </c>
      <c r="AY111" s="197">
        <v>0.12</v>
      </c>
      <c r="AZ111" s="197">
        <v>0.2</v>
      </c>
      <c r="BA111" s="197">
        <v>0.4</v>
      </c>
      <c r="BB111" s="197">
        <v>1</v>
      </c>
      <c r="BC111" s="197">
        <v>0</v>
      </c>
      <c r="BD111" s="197">
        <v>0</v>
      </c>
      <c r="BE111" s="197">
        <v>0</v>
      </c>
      <c r="BF111" s="197">
        <v>2</v>
      </c>
      <c r="BG111" s="197">
        <v>1</v>
      </c>
      <c r="BH111" s="197">
        <v>0</v>
      </c>
      <c r="BI111" s="197">
        <v>0.6</v>
      </c>
      <c r="BJ111" s="197">
        <v>1</v>
      </c>
      <c r="BK111" s="197">
        <v>2</v>
      </c>
      <c r="BL111" s="197">
        <v>1</v>
      </c>
      <c r="BM111" s="197">
        <v>0</v>
      </c>
      <c r="BN111" s="197">
        <v>0.12</v>
      </c>
      <c r="BO111" s="197">
        <v>0.2</v>
      </c>
      <c r="BP111" s="197">
        <v>0.3</v>
      </c>
      <c r="BQ111" s="197">
        <v>1</v>
      </c>
      <c r="BR111" s="197">
        <v>0</v>
      </c>
      <c r="BS111" s="197">
        <v>0</v>
      </c>
      <c r="BT111" s="197">
        <v>0</v>
      </c>
      <c r="BU111" s="197">
        <v>1.5</v>
      </c>
      <c r="BV111" s="197">
        <v>1</v>
      </c>
      <c r="BW111" s="197">
        <v>0</v>
      </c>
      <c r="BX111" s="197">
        <v>0.6</v>
      </c>
      <c r="BY111" s="197">
        <v>1</v>
      </c>
      <c r="BZ111" s="197">
        <v>1.5</v>
      </c>
      <c r="CA111" s="197">
        <v>1</v>
      </c>
      <c r="CB111" s="197">
        <v>0</v>
      </c>
      <c r="CC111" s="197">
        <v>0.12</v>
      </c>
      <c r="CD111" s="197">
        <v>0.2</v>
      </c>
      <c r="CE111" s="197">
        <v>0.3</v>
      </c>
      <c r="CF111" s="197">
        <v>1</v>
      </c>
      <c r="CG111" s="197">
        <v>0</v>
      </c>
      <c r="CH111" s="197">
        <v>0</v>
      </c>
      <c r="CI111" s="197">
        <v>0</v>
      </c>
      <c r="CJ111" s="197">
        <v>1.5</v>
      </c>
      <c r="CK111" s="197">
        <v>1</v>
      </c>
      <c r="CL111" s="197">
        <v>0</v>
      </c>
      <c r="CM111" s="197">
        <v>0.6</v>
      </c>
      <c r="CN111" s="197">
        <v>1</v>
      </c>
      <c r="CO111" s="197">
        <v>1.5</v>
      </c>
      <c r="CP111" s="197">
        <v>1</v>
      </c>
      <c r="CQ111" s="197">
        <v>0</v>
      </c>
      <c r="CR111" s="197">
        <v>0.12</v>
      </c>
      <c r="CS111" s="197">
        <v>0.2</v>
      </c>
      <c r="CT111" s="197">
        <v>0.3</v>
      </c>
      <c r="CU111" s="197">
        <v>1</v>
      </c>
      <c r="CV111" s="197">
        <v>0</v>
      </c>
      <c r="CW111" s="197">
        <v>0</v>
      </c>
      <c r="CX111" s="197">
        <v>0</v>
      </c>
      <c r="CY111" s="197">
        <v>1.5</v>
      </c>
      <c r="CZ111" s="197">
        <v>1</v>
      </c>
      <c r="DA111" s="197">
        <v>0</v>
      </c>
      <c r="DB111" s="197">
        <v>0.6</v>
      </c>
      <c r="DC111" s="197">
        <v>1</v>
      </c>
      <c r="DD111" s="197">
        <v>1.5</v>
      </c>
      <c r="DE111" s="197">
        <v>1</v>
      </c>
      <c r="DF111" s="197">
        <v>0</v>
      </c>
      <c r="DG111" s="197">
        <v>0.12</v>
      </c>
      <c r="DH111" s="197">
        <v>0.2</v>
      </c>
      <c r="DI111" s="197">
        <v>0.3</v>
      </c>
      <c r="DJ111" s="197">
        <v>1</v>
      </c>
      <c r="DK111" s="197">
        <v>0</v>
      </c>
      <c r="DL111" s="197">
        <v>0</v>
      </c>
      <c r="DM111" s="197">
        <v>0</v>
      </c>
      <c r="DN111" s="197">
        <v>1.5</v>
      </c>
      <c r="DO111" s="197">
        <v>1</v>
      </c>
      <c r="DP111" s="197">
        <v>0</v>
      </c>
      <c r="DQ111" s="197">
        <v>0.6</v>
      </c>
      <c r="DR111" s="197">
        <v>1</v>
      </c>
      <c r="DS111" s="197">
        <v>1.5</v>
      </c>
      <c r="DT111" s="197">
        <v>1</v>
      </c>
      <c r="DU111" s="197">
        <v>0</v>
      </c>
      <c r="DV111" s="197">
        <v>0.12</v>
      </c>
      <c r="DW111" s="197">
        <v>0.2</v>
      </c>
      <c r="DX111" s="197">
        <v>0.3</v>
      </c>
      <c r="DY111" s="197">
        <v>1</v>
      </c>
      <c r="DZ111" s="197">
        <v>0</v>
      </c>
      <c r="EA111" s="197">
        <v>0</v>
      </c>
      <c r="EB111" s="197">
        <v>0</v>
      </c>
      <c r="EC111" s="197">
        <v>1.5</v>
      </c>
      <c r="ED111" s="197">
        <v>1</v>
      </c>
      <c r="EE111" s="197">
        <v>0</v>
      </c>
      <c r="EF111" s="197">
        <v>0.6</v>
      </c>
      <c r="EG111" s="197">
        <v>1</v>
      </c>
      <c r="EH111" s="197">
        <v>1.5</v>
      </c>
      <c r="EI111" s="197">
        <v>1</v>
      </c>
      <c r="EJ111" s="197">
        <v>0</v>
      </c>
      <c r="EK111" s="197">
        <v>0.12</v>
      </c>
      <c r="EL111" s="197">
        <v>0.2</v>
      </c>
      <c r="EM111" s="197">
        <v>0.3</v>
      </c>
      <c r="EN111" s="197">
        <v>1</v>
      </c>
      <c r="EO111" s="197">
        <v>0</v>
      </c>
      <c r="EP111" s="197">
        <v>0</v>
      </c>
      <c r="EQ111" s="197">
        <v>0</v>
      </c>
      <c r="ER111" s="197">
        <v>1.5</v>
      </c>
      <c r="ES111" s="197">
        <v>1</v>
      </c>
      <c r="ET111" s="197">
        <v>0</v>
      </c>
      <c r="EU111" s="197">
        <v>0.6</v>
      </c>
      <c r="EV111" s="197">
        <v>1</v>
      </c>
      <c r="EW111" s="197">
        <v>1.5</v>
      </c>
      <c r="EX111" s="197">
        <v>1</v>
      </c>
      <c r="EY111" s="197">
        <v>0</v>
      </c>
      <c r="EZ111" s="197">
        <v>0.12</v>
      </c>
      <c r="FA111" s="197">
        <v>0.2</v>
      </c>
      <c r="FB111" s="197">
        <v>0.3</v>
      </c>
      <c r="FC111" s="197">
        <v>1</v>
      </c>
      <c r="FD111" s="197">
        <v>0</v>
      </c>
      <c r="FE111" s="197">
        <v>0</v>
      </c>
      <c r="FF111" s="197">
        <v>0</v>
      </c>
      <c r="FG111" s="197">
        <v>1.5</v>
      </c>
      <c r="FH111" s="197">
        <v>1</v>
      </c>
      <c r="FI111" s="197">
        <v>0</v>
      </c>
      <c r="FJ111" s="197">
        <v>0.6</v>
      </c>
      <c r="FK111" s="197">
        <v>1</v>
      </c>
      <c r="FL111" s="197">
        <v>1.5</v>
      </c>
      <c r="FM111" s="197">
        <v>1</v>
      </c>
      <c r="FN111" s="197">
        <v>0</v>
      </c>
      <c r="FO111" s="197">
        <v>0.12</v>
      </c>
      <c r="FP111" s="197">
        <v>0.2</v>
      </c>
      <c r="FQ111" s="197">
        <v>0.3</v>
      </c>
      <c r="FR111" s="197">
        <v>1</v>
      </c>
      <c r="FS111" s="197">
        <v>0</v>
      </c>
      <c r="FT111" s="197">
        <v>0</v>
      </c>
      <c r="FU111" s="197">
        <v>0</v>
      </c>
      <c r="FV111" s="197">
        <v>1.5</v>
      </c>
      <c r="FW111" s="197">
        <v>1</v>
      </c>
      <c r="FX111" s="197">
        <v>0</v>
      </c>
      <c r="FY111" s="197">
        <v>0.6</v>
      </c>
      <c r="FZ111" s="197">
        <v>1</v>
      </c>
      <c r="GA111" s="197">
        <v>1.5</v>
      </c>
      <c r="GB111" s="197">
        <v>1</v>
      </c>
      <c r="GC111" s="197">
        <v>0</v>
      </c>
      <c r="GD111" s="197">
        <v>0.12</v>
      </c>
      <c r="GE111" s="197">
        <v>0.2</v>
      </c>
      <c r="GF111" s="197">
        <v>0.3</v>
      </c>
      <c r="GG111" s="197">
        <v>1</v>
      </c>
      <c r="GH111" s="197">
        <v>0</v>
      </c>
      <c r="GI111" s="197">
        <v>0</v>
      </c>
      <c r="GJ111" s="197">
        <v>0</v>
      </c>
      <c r="GK111" s="197">
        <v>1.5</v>
      </c>
      <c r="GL111" s="197">
        <v>1</v>
      </c>
      <c r="GM111" s="197">
        <v>0</v>
      </c>
      <c r="GN111" s="197">
        <v>0.6</v>
      </c>
      <c r="GO111" s="197">
        <v>1</v>
      </c>
      <c r="GP111" s="198">
        <v>1.5</v>
      </c>
      <c r="GQ111" s="197">
        <v>1</v>
      </c>
    </row>
    <row r="112" spans="1:199">
      <c r="B112" s="188"/>
      <c r="C112" s="188"/>
      <c r="D112" s="188" t="s">
        <v>1027</v>
      </c>
      <c r="E112" s="190">
        <v>0</v>
      </c>
      <c r="F112" s="193">
        <v>0</v>
      </c>
      <c r="G112" s="193">
        <v>0.7</v>
      </c>
      <c r="H112" s="193">
        <v>1.3</v>
      </c>
      <c r="I112" s="193">
        <v>1</v>
      </c>
      <c r="J112" s="193">
        <v>0</v>
      </c>
      <c r="K112" s="193">
        <v>0</v>
      </c>
      <c r="L112" s="193">
        <v>0</v>
      </c>
      <c r="M112" s="193">
        <v>0</v>
      </c>
      <c r="N112" s="193">
        <v>1</v>
      </c>
      <c r="O112" s="193">
        <v>0</v>
      </c>
      <c r="P112" s="193">
        <v>0</v>
      </c>
      <c r="Q112" s="193">
        <v>1</v>
      </c>
      <c r="R112" s="193">
        <v>2</v>
      </c>
      <c r="S112" s="193">
        <v>1</v>
      </c>
      <c r="T112" s="190">
        <v>0</v>
      </c>
      <c r="U112" s="193">
        <v>0</v>
      </c>
      <c r="V112" s="193">
        <v>0.67</v>
      </c>
      <c r="W112" s="193">
        <v>1.33</v>
      </c>
      <c r="X112" s="193">
        <v>1</v>
      </c>
      <c r="Y112" s="193">
        <v>0</v>
      </c>
      <c r="Z112" s="193">
        <v>0</v>
      </c>
      <c r="AA112" s="193">
        <v>0</v>
      </c>
      <c r="AB112" s="193">
        <v>2</v>
      </c>
      <c r="AC112" s="193">
        <v>1</v>
      </c>
      <c r="AD112" s="193">
        <v>0</v>
      </c>
      <c r="AE112" s="193">
        <v>0</v>
      </c>
      <c r="AF112" s="193">
        <v>1</v>
      </c>
      <c r="AG112" s="193">
        <v>2</v>
      </c>
      <c r="AH112" s="193">
        <v>1</v>
      </c>
      <c r="AI112" s="193">
        <v>0</v>
      </c>
      <c r="AJ112" s="193">
        <v>0</v>
      </c>
      <c r="AK112" s="193">
        <v>0.67</v>
      </c>
      <c r="AL112" s="193">
        <v>1.33</v>
      </c>
      <c r="AM112" s="193">
        <v>1</v>
      </c>
      <c r="AN112" s="193">
        <v>0</v>
      </c>
      <c r="AO112" s="193">
        <v>0</v>
      </c>
      <c r="AP112" s="193">
        <v>0</v>
      </c>
      <c r="AQ112" s="193">
        <v>2</v>
      </c>
      <c r="AR112" s="193">
        <v>1</v>
      </c>
      <c r="AS112" s="193">
        <v>0</v>
      </c>
      <c r="AT112" s="193">
        <v>0</v>
      </c>
      <c r="AU112" s="193">
        <v>1</v>
      </c>
      <c r="AV112" s="193">
        <v>2</v>
      </c>
      <c r="AW112" s="193">
        <v>1</v>
      </c>
      <c r="AX112" s="193">
        <v>0</v>
      </c>
      <c r="AY112" s="193">
        <v>0</v>
      </c>
      <c r="AZ112" s="193">
        <v>0.67</v>
      </c>
      <c r="BA112" s="193">
        <v>1.33</v>
      </c>
      <c r="BB112" s="193">
        <v>1</v>
      </c>
      <c r="BC112" s="193">
        <v>0</v>
      </c>
      <c r="BD112" s="193">
        <v>0</v>
      </c>
      <c r="BE112" s="193">
        <v>0</v>
      </c>
      <c r="BF112" s="193">
        <v>2</v>
      </c>
      <c r="BG112" s="193">
        <v>1</v>
      </c>
      <c r="BH112" s="193">
        <v>0</v>
      </c>
      <c r="BI112" s="193">
        <v>0</v>
      </c>
      <c r="BJ112" s="193">
        <v>1</v>
      </c>
      <c r="BK112" s="193">
        <v>2</v>
      </c>
      <c r="BL112" s="193">
        <v>1</v>
      </c>
      <c r="BM112" s="193">
        <v>0</v>
      </c>
      <c r="BN112" s="193">
        <v>0.37</v>
      </c>
      <c r="BO112" s="193">
        <v>0.67</v>
      </c>
      <c r="BP112" s="193">
        <v>1</v>
      </c>
      <c r="BQ112" s="193">
        <v>1</v>
      </c>
      <c r="BR112" s="193">
        <v>0</v>
      </c>
      <c r="BS112" s="193">
        <v>0</v>
      </c>
      <c r="BT112" s="193">
        <v>0</v>
      </c>
      <c r="BU112" s="193">
        <v>1.5</v>
      </c>
      <c r="BV112" s="193">
        <v>1</v>
      </c>
      <c r="BW112" s="193">
        <v>0</v>
      </c>
      <c r="BX112" s="193">
        <v>0.56000000000000005</v>
      </c>
      <c r="BY112" s="193">
        <v>1</v>
      </c>
      <c r="BZ112" s="193">
        <v>1.5</v>
      </c>
      <c r="CA112" s="193">
        <v>1</v>
      </c>
      <c r="CB112" s="193">
        <v>0</v>
      </c>
      <c r="CC112" s="193">
        <v>0.45</v>
      </c>
      <c r="CD112" s="193">
        <v>0.67</v>
      </c>
      <c r="CE112" s="193">
        <v>1</v>
      </c>
      <c r="CF112" s="193">
        <v>1</v>
      </c>
      <c r="CG112" s="193">
        <v>0</v>
      </c>
      <c r="CH112" s="193">
        <v>0</v>
      </c>
      <c r="CI112" s="193">
        <v>0</v>
      </c>
      <c r="CJ112" s="193">
        <v>1.5</v>
      </c>
      <c r="CK112" s="193">
        <v>1</v>
      </c>
      <c r="CL112" s="193">
        <v>0</v>
      </c>
      <c r="CM112" s="193">
        <v>0.68</v>
      </c>
      <c r="CN112" s="193">
        <v>1</v>
      </c>
      <c r="CO112" s="193">
        <v>1.5</v>
      </c>
      <c r="CP112" s="193">
        <v>1</v>
      </c>
      <c r="CQ112" s="193">
        <v>0</v>
      </c>
      <c r="CR112" s="193">
        <v>0.4</v>
      </c>
      <c r="CS112" s="193">
        <v>0.67</v>
      </c>
      <c r="CT112" s="193">
        <v>1</v>
      </c>
      <c r="CU112" s="193">
        <v>1</v>
      </c>
      <c r="CV112" s="193">
        <v>0</v>
      </c>
      <c r="CW112" s="193">
        <v>0</v>
      </c>
      <c r="CX112" s="193">
        <v>0</v>
      </c>
      <c r="CY112" s="193">
        <v>1.5</v>
      </c>
      <c r="CZ112" s="193">
        <v>1</v>
      </c>
      <c r="DA112" s="193">
        <v>0</v>
      </c>
      <c r="DB112" s="193">
        <v>0.6</v>
      </c>
      <c r="DC112" s="193">
        <v>1</v>
      </c>
      <c r="DD112" s="193">
        <v>1.5</v>
      </c>
      <c r="DE112" s="193">
        <v>1</v>
      </c>
      <c r="DF112" s="193">
        <v>0</v>
      </c>
      <c r="DG112" s="193">
        <v>0.43</v>
      </c>
      <c r="DH112" s="193">
        <v>0.67</v>
      </c>
      <c r="DI112" s="193">
        <v>1</v>
      </c>
      <c r="DJ112" s="193">
        <v>1</v>
      </c>
      <c r="DK112" s="193">
        <v>0</v>
      </c>
      <c r="DL112" s="193">
        <v>0</v>
      </c>
      <c r="DM112" s="193">
        <v>0</v>
      </c>
      <c r="DN112" s="193">
        <v>1.5</v>
      </c>
      <c r="DO112" s="193">
        <v>1</v>
      </c>
      <c r="DP112" s="193">
        <v>0</v>
      </c>
      <c r="DQ112" s="193">
        <v>0.64</v>
      </c>
      <c r="DR112" s="193">
        <v>1</v>
      </c>
      <c r="DS112" s="193">
        <v>1.5</v>
      </c>
      <c r="DT112" s="193">
        <v>1</v>
      </c>
      <c r="DU112" s="193">
        <v>0</v>
      </c>
      <c r="DV112" s="193">
        <v>0.4</v>
      </c>
      <c r="DW112" s="193">
        <v>0.67</v>
      </c>
      <c r="DX112" s="193">
        <v>1</v>
      </c>
      <c r="DY112" s="193">
        <v>1</v>
      </c>
      <c r="DZ112" s="193">
        <v>0</v>
      </c>
      <c r="EA112" s="193">
        <v>0</v>
      </c>
      <c r="EB112" s="193">
        <v>0</v>
      </c>
      <c r="EC112" s="193">
        <v>1.5</v>
      </c>
      <c r="ED112" s="193">
        <v>1</v>
      </c>
      <c r="EE112" s="193">
        <v>0</v>
      </c>
      <c r="EF112" s="193">
        <v>0.6</v>
      </c>
      <c r="EG112" s="193">
        <v>1</v>
      </c>
      <c r="EH112" s="193">
        <v>1.5</v>
      </c>
      <c r="EI112" s="193">
        <v>1</v>
      </c>
      <c r="EJ112" s="193">
        <v>0</v>
      </c>
      <c r="EK112" s="193">
        <v>0.4</v>
      </c>
      <c r="EL112" s="193">
        <v>0.67</v>
      </c>
      <c r="EM112" s="193">
        <v>1</v>
      </c>
      <c r="EN112" s="193">
        <v>1</v>
      </c>
      <c r="EO112" s="193">
        <v>0</v>
      </c>
      <c r="EP112" s="193">
        <v>0</v>
      </c>
      <c r="EQ112" s="193">
        <v>0</v>
      </c>
      <c r="ER112" s="193">
        <v>1.5</v>
      </c>
      <c r="ES112" s="193">
        <v>1</v>
      </c>
      <c r="ET112" s="193">
        <v>0</v>
      </c>
      <c r="EU112" s="193">
        <v>0.6</v>
      </c>
      <c r="EV112" s="193">
        <v>1</v>
      </c>
      <c r="EW112" s="193">
        <v>1.5</v>
      </c>
      <c r="EX112" s="193">
        <v>1</v>
      </c>
      <c r="EY112" s="193">
        <v>0</v>
      </c>
      <c r="EZ112" s="193">
        <v>0.4</v>
      </c>
      <c r="FA112" s="193">
        <v>0.67</v>
      </c>
      <c r="FB112" s="193">
        <v>1</v>
      </c>
      <c r="FC112" s="193">
        <v>1</v>
      </c>
      <c r="FD112" s="193">
        <v>0</v>
      </c>
      <c r="FE112" s="193">
        <v>0</v>
      </c>
      <c r="FF112" s="193">
        <v>0</v>
      </c>
      <c r="FG112" s="193">
        <v>1.5</v>
      </c>
      <c r="FH112" s="193">
        <v>1</v>
      </c>
      <c r="FI112" s="193">
        <v>0</v>
      </c>
      <c r="FJ112" s="193">
        <v>0.6</v>
      </c>
      <c r="FK112" s="193">
        <v>1</v>
      </c>
      <c r="FL112" s="193">
        <v>1.5</v>
      </c>
      <c r="FM112" s="193">
        <v>1</v>
      </c>
      <c r="FN112" s="193">
        <v>0</v>
      </c>
      <c r="FO112" s="193">
        <v>0.4</v>
      </c>
      <c r="FP112" s="193">
        <v>0.67</v>
      </c>
      <c r="FQ112" s="193">
        <v>1</v>
      </c>
      <c r="FR112" s="193">
        <v>1</v>
      </c>
      <c r="FS112" s="193">
        <v>0</v>
      </c>
      <c r="FT112" s="193">
        <v>0</v>
      </c>
      <c r="FU112" s="193">
        <v>0</v>
      </c>
      <c r="FV112" s="193">
        <v>1.5</v>
      </c>
      <c r="FW112" s="193">
        <v>1</v>
      </c>
      <c r="FX112" s="193">
        <v>0</v>
      </c>
      <c r="FY112" s="193">
        <v>0.6</v>
      </c>
      <c r="FZ112" s="193">
        <v>1</v>
      </c>
      <c r="GA112" s="193">
        <v>1.5</v>
      </c>
      <c r="GB112" s="193">
        <v>1</v>
      </c>
      <c r="GC112" s="193">
        <v>0</v>
      </c>
      <c r="GD112" s="193">
        <v>0.4</v>
      </c>
      <c r="GE112" s="193">
        <v>0.67</v>
      </c>
      <c r="GF112" s="193">
        <v>1</v>
      </c>
      <c r="GG112" s="193">
        <v>1</v>
      </c>
      <c r="GH112" s="193">
        <v>0</v>
      </c>
      <c r="GI112" s="193">
        <v>0</v>
      </c>
      <c r="GJ112" s="193">
        <v>0</v>
      </c>
      <c r="GK112" s="193">
        <v>1.5</v>
      </c>
      <c r="GL112" s="193">
        <v>1</v>
      </c>
      <c r="GM112" s="193">
        <v>0</v>
      </c>
      <c r="GN112" s="193">
        <v>0.6</v>
      </c>
      <c r="GO112" s="193">
        <v>1</v>
      </c>
      <c r="GP112" s="187">
        <v>1.5</v>
      </c>
      <c r="GQ112" s="193">
        <v>1</v>
      </c>
    </row>
    <row r="113" spans="2:199">
      <c r="B113" s="188"/>
      <c r="C113" s="188"/>
      <c r="D113" s="188" t="s">
        <v>1028</v>
      </c>
      <c r="E113" s="190">
        <v>0</v>
      </c>
      <c r="F113" s="193">
        <v>0.6</v>
      </c>
      <c r="G113" s="193">
        <v>1</v>
      </c>
      <c r="H113" s="193">
        <v>2</v>
      </c>
      <c r="I113" s="193">
        <v>1</v>
      </c>
      <c r="J113" s="193">
        <v>0</v>
      </c>
      <c r="K113" s="193">
        <v>0</v>
      </c>
      <c r="L113" s="193">
        <v>0</v>
      </c>
      <c r="M113" s="193">
        <v>0</v>
      </c>
      <c r="N113" s="193">
        <v>1</v>
      </c>
      <c r="O113" s="193">
        <v>0</v>
      </c>
      <c r="P113" s="193">
        <v>0.6</v>
      </c>
      <c r="Q113" s="193">
        <v>1</v>
      </c>
      <c r="R113" s="193">
        <v>2</v>
      </c>
      <c r="S113" s="193">
        <v>1</v>
      </c>
      <c r="T113" s="190">
        <v>0</v>
      </c>
      <c r="U113" s="193">
        <v>0.6</v>
      </c>
      <c r="V113" s="193">
        <v>1</v>
      </c>
      <c r="W113" s="193">
        <v>2</v>
      </c>
      <c r="X113" s="193">
        <v>1</v>
      </c>
      <c r="Y113" s="193">
        <v>0</v>
      </c>
      <c r="Z113" s="193">
        <v>0</v>
      </c>
      <c r="AA113" s="193">
        <v>0</v>
      </c>
      <c r="AB113" s="193">
        <v>2</v>
      </c>
      <c r="AC113" s="193">
        <v>1</v>
      </c>
      <c r="AD113" s="193">
        <v>0</v>
      </c>
      <c r="AE113" s="193">
        <v>0.6</v>
      </c>
      <c r="AF113" s="193">
        <v>1</v>
      </c>
      <c r="AG113" s="193">
        <v>2</v>
      </c>
      <c r="AH113" s="193">
        <v>1</v>
      </c>
      <c r="AI113" s="193">
        <v>0</v>
      </c>
      <c r="AJ113" s="193">
        <v>0.6</v>
      </c>
      <c r="AK113" s="193">
        <v>1</v>
      </c>
      <c r="AL113" s="193">
        <v>2</v>
      </c>
      <c r="AM113" s="193">
        <v>1</v>
      </c>
      <c r="AN113" s="193">
        <v>0</v>
      </c>
      <c r="AO113" s="193">
        <v>0</v>
      </c>
      <c r="AP113" s="193">
        <v>0</v>
      </c>
      <c r="AQ113" s="193">
        <v>2</v>
      </c>
      <c r="AR113" s="193">
        <v>1</v>
      </c>
      <c r="AS113" s="193">
        <v>0</v>
      </c>
      <c r="AT113" s="193">
        <v>0.6</v>
      </c>
      <c r="AU113" s="193">
        <v>1</v>
      </c>
      <c r="AV113" s="193">
        <v>2</v>
      </c>
      <c r="AW113" s="193">
        <v>1</v>
      </c>
      <c r="AX113" s="193">
        <v>0</v>
      </c>
      <c r="AY113" s="193">
        <v>0.6</v>
      </c>
      <c r="AZ113" s="193">
        <v>1</v>
      </c>
      <c r="BA113" s="193">
        <v>2</v>
      </c>
      <c r="BB113" s="193">
        <v>1</v>
      </c>
      <c r="BC113" s="193">
        <v>0</v>
      </c>
      <c r="BD113" s="193">
        <v>0</v>
      </c>
      <c r="BE113" s="193">
        <v>0</v>
      </c>
      <c r="BF113" s="193">
        <v>2</v>
      </c>
      <c r="BG113" s="193">
        <v>1</v>
      </c>
      <c r="BH113" s="193">
        <v>0</v>
      </c>
      <c r="BI113" s="193">
        <v>0.6</v>
      </c>
      <c r="BJ113" s="193">
        <v>1</v>
      </c>
      <c r="BK113" s="193">
        <v>2</v>
      </c>
      <c r="BL113" s="193">
        <v>1</v>
      </c>
      <c r="BM113" s="193">
        <v>0</v>
      </c>
      <c r="BN113" s="193">
        <v>0.6</v>
      </c>
      <c r="BO113" s="193">
        <v>1</v>
      </c>
      <c r="BP113" s="193">
        <v>1.5</v>
      </c>
      <c r="BQ113" s="193">
        <v>1</v>
      </c>
      <c r="BR113" s="193">
        <v>0</v>
      </c>
      <c r="BS113" s="193">
        <v>0</v>
      </c>
      <c r="BT113" s="193">
        <v>0</v>
      </c>
      <c r="BU113" s="193">
        <v>1.5</v>
      </c>
      <c r="BV113" s="193">
        <v>1</v>
      </c>
      <c r="BW113" s="193">
        <v>0</v>
      </c>
      <c r="BX113" s="193">
        <v>0.6</v>
      </c>
      <c r="BY113" s="193">
        <v>1</v>
      </c>
      <c r="BZ113" s="193">
        <v>1.5</v>
      </c>
      <c r="CA113" s="193">
        <v>1</v>
      </c>
      <c r="CB113" s="193">
        <v>0</v>
      </c>
      <c r="CC113" s="193">
        <v>0.6</v>
      </c>
      <c r="CD113" s="193">
        <v>1</v>
      </c>
      <c r="CE113" s="193">
        <v>1.5</v>
      </c>
      <c r="CF113" s="193">
        <v>1</v>
      </c>
      <c r="CG113" s="193">
        <v>0</v>
      </c>
      <c r="CH113" s="193">
        <v>0</v>
      </c>
      <c r="CI113" s="193">
        <v>0</v>
      </c>
      <c r="CJ113" s="193">
        <v>1.5</v>
      </c>
      <c r="CK113" s="193">
        <v>1</v>
      </c>
      <c r="CL113" s="193">
        <v>0</v>
      </c>
      <c r="CM113" s="193">
        <v>0.6</v>
      </c>
      <c r="CN113" s="193">
        <v>1</v>
      </c>
      <c r="CO113" s="193">
        <v>1.5</v>
      </c>
      <c r="CP113" s="193">
        <v>1</v>
      </c>
      <c r="CQ113" s="193">
        <v>0</v>
      </c>
      <c r="CR113" s="193">
        <v>0.6</v>
      </c>
      <c r="CS113" s="193">
        <v>1</v>
      </c>
      <c r="CT113" s="193">
        <v>1.5</v>
      </c>
      <c r="CU113" s="193">
        <v>1</v>
      </c>
      <c r="CV113" s="193">
        <v>0</v>
      </c>
      <c r="CW113" s="193">
        <v>0</v>
      </c>
      <c r="CX113" s="193">
        <v>0</v>
      </c>
      <c r="CY113" s="193">
        <v>1.5</v>
      </c>
      <c r="CZ113" s="193">
        <v>1</v>
      </c>
      <c r="DA113" s="193">
        <v>0</v>
      </c>
      <c r="DB113" s="193">
        <v>0.6</v>
      </c>
      <c r="DC113" s="193">
        <v>1</v>
      </c>
      <c r="DD113" s="193">
        <v>1.5</v>
      </c>
      <c r="DE113" s="193">
        <v>1</v>
      </c>
      <c r="DF113" s="193">
        <v>0</v>
      </c>
      <c r="DG113" s="193">
        <v>0</v>
      </c>
      <c r="DH113" s="193">
        <v>0</v>
      </c>
      <c r="DI113" s="193">
        <v>0</v>
      </c>
      <c r="DJ113" s="193">
        <v>1</v>
      </c>
      <c r="DK113" s="193">
        <v>0</v>
      </c>
      <c r="DL113" s="193">
        <v>0</v>
      </c>
      <c r="DM113" s="193">
        <v>0</v>
      </c>
      <c r="DN113" s="193">
        <v>0</v>
      </c>
      <c r="DO113" s="193">
        <v>1</v>
      </c>
      <c r="DP113" s="193">
        <v>0</v>
      </c>
      <c r="DQ113" s="193">
        <v>0</v>
      </c>
      <c r="DR113" s="193">
        <v>0</v>
      </c>
      <c r="DS113" s="193">
        <v>0</v>
      </c>
      <c r="DT113" s="193">
        <v>1</v>
      </c>
      <c r="DU113" s="193">
        <v>0</v>
      </c>
      <c r="DV113" s="193">
        <v>0</v>
      </c>
      <c r="DW113" s="193">
        <v>0</v>
      </c>
      <c r="DX113" s="193">
        <v>0</v>
      </c>
      <c r="DY113" s="193">
        <v>1</v>
      </c>
      <c r="DZ113" s="193">
        <v>0</v>
      </c>
      <c r="EA113" s="193">
        <v>0</v>
      </c>
      <c r="EB113" s="193">
        <v>0</v>
      </c>
      <c r="EC113" s="193">
        <v>0</v>
      </c>
      <c r="ED113" s="193">
        <v>1</v>
      </c>
      <c r="EE113" s="193">
        <v>0</v>
      </c>
      <c r="EF113" s="193">
        <v>0</v>
      </c>
      <c r="EG113" s="193">
        <v>0</v>
      </c>
      <c r="EH113" s="193">
        <v>0</v>
      </c>
      <c r="EI113" s="193">
        <v>1</v>
      </c>
      <c r="EJ113" s="193">
        <v>0</v>
      </c>
      <c r="EK113" s="193">
        <v>0</v>
      </c>
      <c r="EL113" s="193">
        <v>0</v>
      </c>
      <c r="EM113" s="193">
        <v>0</v>
      </c>
      <c r="EN113" s="193">
        <v>1</v>
      </c>
      <c r="EO113" s="193">
        <v>0</v>
      </c>
      <c r="EP113" s="193">
        <v>0</v>
      </c>
      <c r="EQ113" s="193">
        <v>0</v>
      </c>
      <c r="ER113" s="193">
        <v>0</v>
      </c>
      <c r="ES113" s="193">
        <v>1</v>
      </c>
      <c r="ET113" s="193">
        <v>0</v>
      </c>
      <c r="EU113" s="193">
        <v>0</v>
      </c>
      <c r="EV113" s="193">
        <v>0</v>
      </c>
      <c r="EW113" s="193">
        <v>0</v>
      </c>
      <c r="EX113" s="193">
        <v>1</v>
      </c>
      <c r="EY113" s="193">
        <v>0</v>
      </c>
      <c r="EZ113" s="193">
        <v>0</v>
      </c>
      <c r="FA113" s="193">
        <v>0</v>
      </c>
      <c r="FB113" s="193">
        <v>0</v>
      </c>
      <c r="FC113" s="193">
        <v>1</v>
      </c>
      <c r="FD113" s="193">
        <v>0</v>
      </c>
      <c r="FE113" s="193">
        <v>0</v>
      </c>
      <c r="FF113" s="193">
        <v>0</v>
      </c>
      <c r="FG113" s="193">
        <v>0</v>
      </c>
      <c r="FH113" s="193">
        <v>1</v>
      </c>
      <c r="FI113" s="193">
        <v>0</v>
      </c>
      <c r="FJ113" s="193">
        <v>0</v>
      </c>
      <c r="FK113" s="193">
        <v>0</v>
      </c>
      <c r="FL113" s="193">
        <v>0</v>
      </c>
      <c r="FM113" s="193">
        <v>1</v>
      </c>
      <c r="FN113" s="193">
        <v>0</v>
      </c>
      <c r="FO113" s="193">
        <v>0</v>
      </c>
      <c r="FP113" s="193">
        <v>0</v>
      </c>
      <c r="FQ113" s="193">
        <v>0</v>
      </c>
      <c r="FR113" s="193">
        <v>1</v>
      </c>
      <c r="FS113" s="193">
        <v>0</v>
      </c>
      <c r="FT113" s="193">
        <v>0</v>
      </c>
      <c r="FU113" s="193">
        <v>0</v>
      </c>
      <c r="FV113" s="193">
        <v>0</v>
      </c>
      <c r="FW113" s="193">
        <v>1</v>
      </c>
      <c r="FX113" s="193">
        <v>0</v>
      </c>
      <c r="FY113" s="193">
        <v>0</v>
      </c>
      <c r="FZ113" s="193">
        <v>0</v>
      </c>
      <c r="GA113" s="193">
        <v>0</v>
      </c>
      <c r="GB113" s="193">
        <v>1</v>
      </c>
      <c r="GC113" s="193">
        <v>0</v>
      </c>
      <c r="GD113" s="193">
        <v>0</v>
      </c>
      <c r="GE113" s="193">
        <v>0</v>
      </c>
      <c r="GF113" s="193">
        <v>0</v>
      </c>
      <c r="GG113" s="193">
        <v>1</v>
      </c>
      <c r="GH113" s="193">
        <v>0</v>
      </c>
      <c r="GI113" s="193">
        <v>0</v>
      </c>
      <c r="GJ113" s="193">
        <v>0</v>
      </c>
      <c r="GK113" s="193">
        <v>0</v>
      </c>
      <c r="GL113" s="193">
        <v>1</v>
      </c>
      <c r="GM113" s="193">
        <v>0</v>
      </c>
      <c r="GN113" s="193">
        <v>0</v>
      </c>
      <c r="GO113" s="193">
        <v>0</v>
      </c>
      <c r="GP113" s="187">
        <v>0</v>
      </c>
      <c r="GQ113" s="193">
        <v>1</v>
      </c>
    </row>
    <row r="114" spans="2:199">
      <c r="B114" s="188"/>
      <c r="C114" s="188"/>
      <c r="D114" s="188" t="s">
        <v>969</v>
      </c>
      <c r="E114" s="190">
        <v>0</v>
      </c>
      <c r="F114" s="193">
        <v>0</v>
      </c>
      <c r="G114" s="193">
        <v>0</v>
      </c>
      <c r="H114" s="193">
        <v>0</v>
      </c>
      <c r="I114" s="193">
        <v>1</v>
      </c>
      <c r="J114" s="193">
        <v>0</v>
      </c>
      <c r="K114" s="193">
        <v>0</v>
      </c>
      <c r="L114" s="193">
        <v>0</v>
      </c>
      <c r="M114" s="193">
        <v>0</v>
      </c>
      <c r="N114" s="193">
        <v>1</v>
      </c>
      <c r="O114" s="193">
        <v>0</v>
      </c>
      <c r="P114" s="193">
        <v>0.6</v>
      </c>
      <c r="Q114" s="193">
        <v>1</v>
      </c>
      <c r="R114" s="193">
        <v>2</v>
      </c>
      <c r="S114" s="193">
        <v>1</v>
      </c>
      <c r="T114" s="190">
        <v>0</v>
      </c>
      <c r="U114" s="193">
        <v>0</v>
      </c>
      <c r="V114" s="193">
        <v>0</v>
      </c>
      <c r="W114" s="193">
        <v>2</v>
      </c>
      <c r="X114" s="193">
        <v>1</v>
      </c>
      <c r="Y114" s="193">
        <v>0</v>
      </c>
      <c r="Z114" s="193">
        <v>0</v>
      </c>
      <c r="AA114" s="193">
        <v>0</v>
      </c>
      <c r="AB114" s="193">
        <v>2</v>
      </c>
      <c r="AC114" s="193">
        <v>1</v>
      </c>
      <c r="AD114" s="193">
        <v>0</v>
      </c>
      <c r="AE114" s="193">
        <v>0.6</v>
      </c>
      <c r="AF114" s="193">
        <v>1</v>
      </c>
      <c r="AG114" s="193">
        <v>2</v>
      </c>
      <c r="AH114" s="193">
        <v>1</v>
      </c>
      <c r="AI114" s="193">
        <v>0</v>
      </c>
      <c r="AJ114" s="193">
        <v>0</v>
      </c>
      <c r="AK114" s="193">
        <v>0</v>
      </c>
      <c r="AL114" s="193">
        <v>2</v>
      </c>
      <c r="AM114" s="193">
        <v>1</v>
      </c>
      <c r="AN114" s="193">
        <v>0</v>
      </c>
      <c r="AO114" s="193">
        <v>0</v>
      </c>
      <c r="AP114" s="193">
        <v>0</v>
      </c>
      <c r="AQ114" s="193">
        <v>2</v>
      </c>
      <c r="AR114" s="193">
        <v>1</v>
      </c>
      <c r="AS114" s="193">
        <v>0</v>
      </c>
      <c r="AT114" s="193">
        <v>0.6</v>
      </c>
      <c r="AU114" s="193">
        <v>1</v>
      </c>
      <c r="AV114" s="193">
        <v>2</v>
      </c>
      <c r="AW114" s="193">
        <v>1</v>
      </c>
      <c r="AX114" s="193">
        <v>0</v>
      </c>
      <c r="AY114" s="193">
        <v>0</v>
      </c>
      <c r="AZ114" s="193">
        <v>0</v>
      </c>
      <c r="BA114" s="193">
        <v>2</v>
      </c>
      <c r="BB114" s="193">
        <v>1</v>
      </c>
      <c r="BC114" s="193">
        <v>0</v>
      </c>
      <c r="BD114" s="193">
        <v>0</v>
      </c>
      <c r="BE114" s="193">
        <v>0</v>
      </c>
      <c r="BF114" s="193">
        <v>2</v>
      </c>
      <c r="BG114" s="193">
        <v>1</v>
      </c>
      <c r="BH114" s="193">
        <v>0</v>
      </c>
      <c r="BI114" s="193">
        <v>0.6</v>
      </c>
      <c r="BJ114" s="193">
        <v>1</v>
      </c>
      <c r="BK114" s="193">
        <v>2</v>
      </c>
      <c r="BL114" s="193">
        <v>1</v>
      </c>
      <c r="BM114" s="193">
        <v>0</v>
      </c>
      <c r="BN114" s="193">
        <v>0</v>
      </c>
      <c r="BO114" s="193">
        <v>0</v>
      </c>
      <c r="BP114" s="193">
        <v>1.5</v>
      </c>
      <c r="BQ114" s="193">
        <v>1</v>
      </c>
      <c r="BR114" s="193">
        <v>0</v>
      </c>
      <c r="BS114" s="193">
        <v>0</v>
      </c>
      <c r="BT114" s="193">
        <v>0</v>
      </c>
      <c r="BU114" s="193">
        <v>1.5</v>
      </c>
      <c r="BV114" s="193">
        <v>1</v>
      </c>
      <c r="BW114" s="193">
        <v>0</v>
      </c>
      <c r="BX114" s="193">
        <v>0.6</v>
      </c>
      <c r="BY114" s="193">
        <v>1</v>
      </c>
      <c r="BZ114" s="193">
        <v>1.5</v>
      </c>
      <c r="CA114" s="193">
        <v>1</v>
      </c>
      <c r="CB114" s="193">
        <v>0</v>
      </c>
      <c r="CC114" s="193">
        <v>0</v>
      </c>
      <c r="CD114" s="193">
        <v>0</v>
      </c>
      <c r="CE114" s="193">
        <v>1.5</v>
      </c>
      <c r="CF114" s="193">
        <v>1</v>
      </c>
      <c r="CG114" s="193">
        <v>0</v>
      </c>
      <c r="CH114" s="193">
        <v>0</v>
      </c>
      <c r="CI114" s="193">
        <v>0</v>
      </c>
      <c r="CJ114" s="193">
        <v>1.5</v>
      </c>
      <c r="CK114" s="193">
        <v>1</v>
      </c>
      <c r="CL114" s="193">
        <v>0</v>
      </c>
      <c r="CM114" s="193">
        <v>0.6</v>
      </c>
      <c r="CN114" s="193">
        <v>1</v>
      </c>
      <c r="CO114" s="193">
        <v>1.5</v>
      </c>
      <c r="CP114" s="193">
        <v>1</v>
      </c>
      <c r="CQ114" s="193">
        <v>0</v>
      </c>
      <c r="CR114" s="193">
        <v>0</v>
      </c>
      <c r="CS114" s="193">
        <v>0</v>
      </c>
      <c r="CT114" s="193">
        <v>1.5</v>
      </c>
      <c r="CU114" s="193">
        <v>1</v>
      </c>
      <c r="CV114" s="193">
        <v>0</v>
      </c>
      <c r="CW114" s="193">
        <v>0</v>
      </c>
      <c r="CX114" s="193">
        <v>0</v>
      </c>
      <c r="CY114" s="193">
        <v>1.5</v>
      </c>
      <c r="CZ114" s="193">
        <v>1</v>
      </c>
      <c r="DA114" s="193">
        <v>0</v>
      </c>
      <c r="DB114" s="193">
        <v>0.6</v>
      </c>
      <c r="DC114" s="193">
        <v>1</v>
      </c>
      <c r="DD114" s="193">
        <v>1.5</v>
      </c>
      <c r="DE114" s="193">
        <v>1</v>
      </c>
      <c r="DF114" s="193">
        <v>0</v>
      </c>
      <c r="DG114" s="193">
        <v>0</v>
      </c>
      <c r="DH114" s="193">
        <v>0</v>
      </c>
      <c r="DI114" s="193">
        <v>0</v>
      </c>
      <c r="DJ114" s="193">
        <v>1</v>
      </c>
      <c r="DK114" s="193">
        <v>0</v>
      </c>
      <c r="DL114" s="193">
        <v>0</v>
      </c>
      <c r="DM114" s="193">
        <v>0</v>
      </c>
      <c r="DN114" s="193">
        <v>0</v>
      </c>
      <c r="DO114" s="193">
        <v>1</v>
      </c>
      <c r="DP114" s="193">
        <v>0</v>
      </c>
      <c r="DQ114" s="193">
        <v>0</v>
      </c>
      <c r="DR114" s="193">
        <v>0</v>
      </c>
      <c r="DS114" s="193">
        <v>0</v>
      </c>
      <c r="DT114" s="193">
        <v>1</v>
      </c>
      <c r="DU114" s="193">
        <v>0</v>
      </c>
      <c r="DV114" s="193">
        <v>0</v>
      </c>
      <c r="DW114" s="193">
        <v>0</v>
      </c>
      <c r="DX114" s="193">
        <v>0</v>
      </c>
      <c r="DY114" s="193">
        <v>1</v>
      </c>
      <c r="DZ114" s="193">
        <v>0</v>
      </c>
      <c r="EA114" s="193">
        <v>0</v>
      </c>
      <c r="EB114" s="193">
        <v>0</v>
      </c>
      <c r="EC114" s="193">
        <v>0</v>
      </c>
      <c r="ED114" s="193">
        <v>1</v>
      </c>
      <c r="EE114" s="193">
        <v>0</v>
      </c>
      <c r="EF114" s="193">
        <v>0</v>
      </c>
      <c r="EG114" s="193">
        <v>0</v>
      </c>
      <c r="EH114" s="193">
        <v>0</v>
      </c>
      <c r="EI114" s="193">
        <v>1</v>
      </c>
      <c r="EJ114" s="193">
        <v>0</v>
      </c>
      <c r="EK114" s="193">
        <v>0</v>
      </c>
      <c r="EL114" s="193">
        <v>0</v>
      </c>
      <c r="EM114" s="193">
        <v>0</v>
      </c>
      <c r="EN114" s="193">
        <v>1</v>
      </c>
      <c r="EO114" s="193">
        <v>0</v>
      </c>
      <c r="EP114" s="193">
        <v>0</v>
      </c>
      <c r="EQ114" s="193">
        <v>0</v>
      </c>
      <c r="ER114" s="193">
        <v>0</v>
      </c>
      <c r="ES114" s="193">
        <v>1</v>
      </c>
      <c r="ET114" s="193">
        <v>0</v>
      </c>
      <c r="EU114" s="193">
        <v>0</v>
      </c>
      <c r="EV114" s="193">
        <v>0</v>
      </c>
      <c r="EW114" s="193">
        <v>0</v>
      </c>
      <c r="EX114" s="193">
        <v>1</v>
      </c>
      <c r="EY114" s="193">
        <v>0</v>
      </c>
      <c r="EZ114" s="193">
        <v>0</v>
      </c>
      <c r="FA114" s="193">
        <v>0</v>
      </c>
      <c r="FB114" s="193">
        <v>0</v>
      </c>
      <c r="FC114" s="193">
        <v>1</v>
      </c>
      <c r="FD114" s="193">
        <v>0</v>
      </c>
      <c r="FE114" s="193">
        <v>0</v>
      </c>
      <c r="FF114" s="193">
        <v>0</v>
      </c>
      <c r="FG114" s="193">
        <v>0</v>
      </c>
      <c r="FH114" s="193">
        <v>1</v>
      </c>
      <c r="FI114" s="193">
        <v>0</v>
      </c>
      <c r="FJ114" s="193">
        <v>0</v>
      </c>
      <c r="FK114" s="193">
        <v>0</v>
      </c>
      <c r="FL114" s="193">
        <v>0</v>
      </c>
      <c r="FM114" s="193">
        <v>1</v>
      </c>
      <c r="FN114" s="193">
        <v>0</v>
      </c>
      <c r="FO114" s="193">
        <v>0</v>
      </c>
      <c r="FP114" s="193">
        <v>0</v>
      </c>
      <c r="FQ114" s="193">
        <v>0</v>
      </c>
      <c r="FR114" s="193">
        <v>1</v>
      </c>
      <c r="FS114" s="193">
        <v>0</v>
      </c>
      <c r="FT114" s="193">
        <v>0</v>
      </c>
      <c r="FU114" s="193">
        <v>0</v>
      </c>
      <c r="FV114" s="193">
        <v>0</v>
      </c>
      <c r="FW114" s="193">
        <v>1</v>
      </c>
      <c r="FX114" s="193">
        <v>0</v>
      </c>
      <c r="FY114" s="193">
        <v>0</v>
      </c>
      <c r="FZ114" s="193">
        <v>0</v>
      </c>
      <c r="GA114" s="193">
        <v>0</v>
      </c>
      <c r="GB114" s="193">
        <v>1</v>
      </c>
      <c r="GC114" s="193">
        <v>0</v>
      </c>
      <c r="GD114" s="193">
        <v>0</v>
      </c>
      <c r="GE114" s="193">
        <v>0</v>
      </c>
      <c r="GF114" s="193">
        <v>0</v>
      </c>
      <c r="GG114" s="193">
        <v>1</v>
      </c>
      <c r="GH114" s="193">
        <v>0</v>
      </c>
      <c r="GI114" s="193">
        <v>0</v>
      </c>
      <c r="GJ114" s="193">
        <v>0</v>
      </c>
      <c r="GK114" s="193">
        <v>0</v>
      </c>
      <c r="GL114" s="193">
        <v>1</v>
      </c>
      <c r="GM114" s="193">
        <v>0</v>
      </c>
      <c r="GN114" s="193">
        <v>0</v>
      </c>
      <c r="GO114" s="193">
        <v>0</v>
      </c>
      <c r="GP114" s="187">
        <v>0</v>
      </c>
      <c r="GQ114" s="193">
        <v>1</v>
      </c>
    </row>
    <row r="115" spans="2:199">
      <c r="B115" s="188"/>
      <c r="C115" s="188"/>
      <c r="D115" s="188" t="s">
        <v>1031</v>
      </c>
      <c r="E115" s="190">
        <v>0</v>
      </c>
      <c r="F115" s="193">
        <v>0</v>
      </c>
      <c r="G115" s="193">
        <v>1</v>
      </c>
      <c r="H115" s="193">
        <v>2</v>
      </c>
      <c r="I115" s="193">
        <v>1</v>
      </c>
      <c r="J115" s="193">
        <v>0</v>
      </c>
      <c r="K115" s="193">
        <v>0</v>
      </c>
      <c r="L115" s="193">
        <v>0</v>
      </c>
      <c r="M115" s="193">
        <v>0</v>
      </c>
      <c r="N115" s="193">
        <v>1</v>
      </c>
      <c r="O115" s="193">
        <v>0</v>
      </c>
      <c r="P115" s="193">
        <v>0</v>
      </c>
      <c r="Q115" s="193">
        <v>1</v>
      </c>
      <c r="R115" s="193">
        <v>2</v>
      </c>
      <c r="S115" s="193">
        <v>1</v>
      </c>
      <c r="T115" s="190">
        <v>0</v>
      </c>
      <c r="U115" s="193">
        <v>0</v>
      </c>
      <c r="V115" s="193">
        <v>1</v>
      </c>
      <c r="W115" s="193">
        <v>2</v>
      </c>
      <c r="X115" s="193">
        <v>1</v>
      </c>
      <c r="Y115" s="193">
        <v>0</v>
      </c>
      <c r="Z115" s="193">
        <v>0</v>
      </c>
      <c r="AA115" s="193">
        <v>0</v>
      </c>
      <c r="AB115" s="193">
        <v>2</v>
      </c>
      <c r="AC115" s="193">
        <v>1</v>
      </c>
      <c r="AD115" s="193">
        <v>0</v>
      </c>
      <c r="AE115" s="193">
        <v>0</v>
      </c>
      <c r="AF115" s="193">
        <v>1</v>
      </c>
      <c r="AG115" s="193">
        <v>2</v>
      </c>
      <c r="AH115" s="193">
        <v>1</v>
      </c>
      <c r="AI115" s="193">
        <v>0</v>
      </c>
      <c r="AJ115" s="193">
        <v>0.5</v>
      </c>
      <c r="AK115" s="193">
        <v>1</v>
      </c>
      <c r="AL115" s="193">
        <v>2</v>
      </c>
      <c r="AM115" s="193">
        <v>1</v>
      </c>
      <c r="AN115" s="193">
        <v>0</v>
      </c>
      <c r="AO115" s="193">
        <v>0</v>
      </c>
      <c r="AP115" s="193">
        <v>0</v>
      </c>
      <c r="AQ115" s="193">
        <v>2</v>
      </c>
      <c r="AR115" s="193">
        <v>1</v>
      </c>
      <c r="AS115" s="193">
        <v>0</v>
      </c>
      <c r="AT115" s="193">
        <v>0.5</v>
      </c>
      <c r="AU115" s="193">
        <v>1</v>
      </c>
      <c r="AV115" s="193">
        <v>2</v>
      </c>
      <c r="AW115" s="193">
        <v>1</v>
      </c>
      <c r="AX115" s="193">
        <v>0</v>
      </c>
      <c r="AY115" s="193">
        <v>0.5</v>
      </c>
      <c r="AZ115" s="193">
        <v>1</v>
      </c>
      <c r="BA115" s="193">
        <v>2</v>
      </c>
      <c r="BB115" s="193">
        <v>1</v>
      </c>
      <c r="BC115" s="193">
        <v>0</v>
      </c>
      <c r="BD115" s="193">
        <v>0</v>
      </c>
      <c r="BE115" s="193">
        <v>0</v>
      </c>
      <c r="BF115" s="193">
        <v>2</v>
      </c>
      <c r="BG115" s="193">
        <v>1</v>
      </c>
      <c r="BH115" s="193">
        <v>0</v>
      </c>
      <c r="BI115" s="193">
        <v>0.5</v>
      </c>
      <c r="BJ115" s="193">
        <v>1</v>
      </c>
      <c r="BK115" s="193">
        <v>2</v>
      </c>
      <c r="BL115" s="193">
        <v>1</v>
      </c>
      <c r="BM115" s="193">
        <v>0</v>
      </c>
      <c r="BN115" s="193">
        <v>0.5</v>
      </c>
      <c r="BO115" s="193">
        <v>1</v>
      </c>
      <c r="BP115" s="193">
        <v>1.5</v>
      </c>
      <c r="BQ115" s="193">
        <v>1</v>
      </c>
      <c r="BR115" s="193">
        <v>0</v>
      </c>
      <c r="BS115" s="193">
        <v>0</v>
      </c>
      <c r="BT115" s="193">
        <v>0</v>
      </c>
      <c r="BU115" s="193">
        <v>1.5</v>
      </c>
      <c r="BV115" s="193">
        <v>1</v>
      </c>
      <c r="BW115" s="193">
        <v>0</v>
      </c>
      <c r="BX115" s="193">
        <v>0.5</v>
      </c>
      <c r="BY115" s="193">
        <v>1</v>
      </c>
      <c r="BZ115" s="193">
        <v>1.5</v>
      </c>
      <c r="CA115" s="193">
        <v>1</v>
      </c>
      <c r="CB115" s="193">
        <v>0</v>
      </c>
      <c r="CC115" s="193">
        <v>0.5</v>
      </c>
      <c r="CD115" s="193">
        <v>1</v>
      </c>
      <c r="CE115" s="193">
        <v>1.5</v>
      </c>
      <c r="CF115" s="193">
        <v>1</v>
      </c>
      <c r="CG115" s="193">
        <v>0</v>
      </c>
      <c r="CH115" s="193">
        <v>0</v>
      </c>
      <c r="CI115" s="193">
        <v>0</v>
      </c>
      <c r="CJ115" s="193">
        <v>1.5</v>
      </c>
      <c r="CK115" s="193">
        <v>1</v>
      </c>
      <c r="CL115" s="193">
        <v>0</v>
      </c>
      <c r="CM115" s="193">
        <v>0.5</v>
      </c>
      <c r="CN115" s="193">
        <v>1</v>
      </c>
      <c r="CO115" s="193">
        <v>1.5</v>
      </c>
      <c r="CP115" s="193">
        <v>1</v>
      </c>
      <c r="CQ115" s="193">
        <v>0</v>
      </c>
      <c r="CR115" s="193">
        <v>0.5</v>
      </c>
      <c r="CS115" s="193">
        <v>1</v>
      </c>
      <c r="CT115" s="193">
        <v>1.5</v>
      </c>
      <c r="CU115" s="193">
        <v>1</v>
      </c>
      <c r="CV115" s="193">
        <v>0</v>
      </c>
      <c r="CW115" s="193">
        <v>0</v>
      </c>
      <c r="CX115" s="193">
        <v>0</v>
      </c>
      <c r="CY115" s="193">
        <v>1.5</v>
      </c>
      <c r="CZ115" s="193">
        <v>1</v>
      </c>
      <c r="DA115" s="193">
        <v>0</v>
      </c>
      <c r="DB115" s="193">
        <v>0.5</v>
      </c>
      <c r="DC115" s="193">
        <v>1</v>
      </c>
      <c r="DD115" s="193">
        <v>1.5</v>
      </c>
      <c r="DE115" s="193">
        <v>1</v>
      </c>
      <c r="DF115" s="193">
        <v>0</v>
      </c>
      <c r="DG115" s="193">
        <v>0</v>
      </c>
      <c r="DH115" s="193">
        <v>0</v>
      </c>
      <c r="DI115" s="193">
        <v>0</v>
      </c>
      <c r="DJ115" s="193">
        <v>1</v>
      </c>
      <c r="DK115" s="193">
        <v>0</v>
      </c>
      <c r="DL115" s="193">
        <v>0</v>
      </c>
      <c r="DM115" s="193">
        <v>0</v>
      </c>
      <c r="DN115" s="193">
        <v>0</v>
      </c>
      <c r="DO115" s="193">
        <v>1</v>
      </c>
      <c r="DP115" s="193">
        <v>0</v>
      </c>
      <c r="DQ115" s="193">
        <v>0</v>
      </c>
      <c r="DR115" s="193">
        <v>0</v>
      </c>
      <c r="DS115" s="193">
        <v>0</v>
      </c>
      <c r="DT115" s="193">
        <v>1</v>
      </c>
      <c r="DU115" s="193">
        <v>0</v>
      </c>
      <c r="DV115" s="193">
        <v>0</v>
      </c>
      <c r="DW115" s="193">
        <v>0</v>
      </c>
      <c r="DX115" s="193">
        <v>0</v>
      </c>
      <c r="DY115" s="193">
        <v>1</v>
      </c>
      <c r="DZ115" s="193">
        <v>0</v>
      </c>
      <c r="EA115" s="193">
        <v>0</v>
      </c>
      <c r="EB115" s="193">
        <v>0</v>
      </c>
      <c r="EC115" s="193">
        <v>0</v>
      </c>
      <c r="ED115" s="193">
        <v>1</v>
      </c>
      <c r="EE115" s="193">
        <v>0</v>
      </c>
      <c r="EF115" s="193">
        <v>0</v>
      </c>
      <c r="EG115" s="193">
        <v>0</v>
      </c>
      <c r="EH115" s="193">
        <v>0</v>
      </c>
      <c r="EI115" s="193">
        <v>1</v>
      </c>
      <c r="EJ115" s="193">
        <v>0</v>
      </c>
      <c r="EK115" s="193">
        <v>0</v>
      </c>
      <c r="EL115" s="193">
        <v>0</v>
      </c>
      <c r="EM115" s="193">
        <v>0</v>
      </c>
      <c r="EN115" s="193">
        <v>1</v>
      </c>
      <c r="EO115" s="193">
        <v>0</v>
      </c>
      <c r="EP115" s="193">
        <v>0</v>
      </c>
      <c r="EQ115" s="193">
        <v>0</v>
      </c>
      <c r="ER115" s="193">
        <v>0</v>
      </c>
      <c r="ES115" s="193">
        <v>1</v>
      </c>
      <c r="ET115" s="193">
        <v>0</v>
      </c>
      <c r="EU115" s="193">
        <v>0</v>
      </c>
      <c r="EV115" s="193">
        <v>0</v>
      </c>
      <c r="EW115" s="193">
        <v>0</v>
      </c>
      <c r="EX115" s="193">
        <v>1</v>
      </c>
      <c r="EY115" s="193">
        <v>0</v>
      </c>
      <c r="EZ115" s="193">
        <v>0</v>
      </c>
      <c r="FA115" s="193">
        <v>0</v>
      </c>
      <c r="FB115" s="193">
        <v>0</v>
      </c>
      <c r="FC115" s="193">
        <v>1</v>
      </c>
      <c r="FD115" s="193">
        <v>0</v>
      </c>
      <c r="FE115" s="193">
        <v>0</v>
      </c>
      <c r="FF115" s="193">
        <v>0</v>
      </c>
      <c r="FG115" s="193">
        <v>0</v>
      </c>
      <c r="FH115" s="193">
        <v>1</v>
      </c>
      <c r="FI115" s="193">
        <v>0</v>
      </c>
      <c r="FJ115" s="193">
        <v>0</v>
      </c>
      <c r="FK115" s="193">
        <v>0</v>
      </c>
      <c r="FL115" s="193">
        <v>0</v>
      </c>
      <c r="FM115" s="193">
        <v>1</v>
      </c>
      <c r="FN115" s="193">
        <v>0</v>
      </c>
      <c r="FO115" s="193">
        <v>0</v>
      </c>
      <c r="FP115" s="193">
        <v>0</v>
      </c>
      <c r="FQ115" s="193">
        <v>0</v>
      </c>
      <c r="FR115" s="193">
        <v>1</v>
      </c>
      <c r="FS115" s="193">
        <v>0</v>
      </c>
      <c r="FT115" s="193">
        <v>0</v>
      </c>
      <c r="FU115" s="193">
        <v>0</v>
      </c>
      <c r="FV115" s="193">
        <v>0</v>
      </c>
      <c r="FW115" s="193">
        <v>1</v>
      </c>
      <c r="FX115" s="193">
        <v>0</v>
      </c>
      <c r="FY115" s="193">
        <v>0</v>
      </c>
      <c r="FZ115" s="193">
        <v>0</v>
      </c>
      <c r="GA115" s="193">
        <v>0</v>
      </c>
      <c r="GB115" s="193">
        <v>1</v>
      </c>
      <c r="GC115" s="193">
        <v>0</v>
      </c>
      <c r="GD115" s="193">
        <v>0</v>
      </c>
      <c r="GE115" s="193">
        <v>0</v>
      </c>
      <c r="GF115" s="193">
        <v>0</v>
      </c>
      <c r="GG115" s="193">
        <v>1</v>
      </c>
      <c r="GH115" s="193">
        <v>0</v>
      </c>
      <c r="GI115" s="193">
        <v>0</v>
      </c>
      <c r="GJ115" s="193">
        <v>0</v>
      </c>
      <c r="GK115" s="193">
        <v>0</v>
      </c>
      <c r="GL115" s="193">
        <v>1</v>
      </c>
      <c r="GM115" s="193">
        <v>0</v>
      </c>
      <c r="GN115" s="193">
        <v>0</v>
      </c>
      <c r="GO115" s="193">
        <v>0</v>
      </c>
      <c r="GP115" s="187">
        <v>0</v>
      </c>
      <c r="GQ115" s="193">
        <v>1</v>
      </c>
    </row>
    <row r="116" spans="2:199">
      <c r="B116" s="188"/>
      <c r="C116" s="188" t="s">
        <v>1033</v>
      </c>
      <c r="D116" s="188" t="s">
        <v>970</v>
      </c>
      <c r="E116" s="190">
        <v>0</v>
      </c>
      <c r="F116" s="193">
        <v>0</v>
      </c>
      <c r="G116" s="193">
        <v>0</v>
      </c>
      <c r="H116" s="193">
        <v>0</v>
      </c>
      <c r="I116" s="193">
        <v>1</v>
      </c>
      <c r="J116" s="193">
        <v>0</v>
      </c>
      <c r="K116" s="193">
        <v>0</v>
      </c>
      <c r="L116" s="193">
        <v>0</v>
      </c>
      <c r="M116" s="193">
        <v>0</v>
      </c>
      <c r="N116" s="193">
        <v>1</v>
      </c>
      <c r="O116" s="193">
        <v>0</v>
      </c>
      <c r="P116" s="193">
        <v>0</v>
      </c>
      <c r="Q116" s="193">
        <v>0</v>
      </c>
      <c r="R116" s="193">
        <v>0</v>
      </c>
      <c r="S116" s="193">
        <v>1</v>
      </c>
      <c r="T116" s="190">
        <v>0</v>
      </c>
      <c r="U116" s="193">
        <v>0</v>
      </c>
      <c r="V116" s="193">
        <v>0</v>
      </c>
      <c r="W116" s="193">
        <v>0</v>
      </c>
      <c r="X116" s="193">
        <v>1</v>
      </c>
      <c r="Y116" s="193">
        <v>0</v>
      </c>
      <c r="Z116" s="193">
        <v>0</v>
      </c>
      <c r="AA116" s="193">
        <v>0</v>
      </c>
      <c r="AB116" s="193">
        <v>0</v>
      </c>
      <c r="AC116" s="193">
        <v>1</v>
      </c>
      <c r="AD116" s="193">
        <v>0</v>
      </c>
      <c r="AE116" s="193">
        <v>0</v>
      </c>
      <c r="AF116" s="193">
        <v>0</v>
      </c>
      <c r="AG116" s="193">
        <v>0</v>
      </c>
      <c r="AH116" s="193">
        <v>1</v>
      </c>
      <c r="AI116" s="193">
        <v>0</v>
      </c>
      <c r="AJ116" s="193">
        <v>0</v>
      </c>
      <c r="AK116" s="193">
        <v>0</v>
      </c>
      <c r="AL116" s="193">
        <v>0</v>
      </c>
      <c r="AM116" s="193">
        <v>1</v>
      </c>
      <c r="AN116" s="193">
        <v>0</v>
      </c>
      <c r="AO116" s="193">
        <v>0</v>
      </c>
      <c r="AP116" s="193">
        <v>0</v>
      </c>
      <c r="AQ116" s="193">
        <v>0</v>
      </c>
      <c r="AR116" s="193">
        <v>1</v>
      </c>
      <c r="AS116" s="193">
        <v>0</v>
      </c>
      <c r="AT116" s="193">
        <v>0</v>
      </c>
      <c r="AU116" s="193">
        <v>0</v>
      </c>
      <c r="AV116" s="193">
        <v>0</v>
      </c>
      <c r="AW116" s="193">
        <v>1</v>
      </c>
      <c r="AX116" s="193">
        <v>0</v>
      </c>
      <c r="AY116" s="193">
        <v>0</v>
      </c>
      <c r="AZ116" s="193">
        <v>1</v>
      </c>
      <c r="BA116" s="193">
        <v>2</v>
      </c>
      <c r="BB116" s="193">
        <v>1</v>
      </c>
      <c r="BC116" s="193">
        <v>0</v>
      </c>
      <c r="BD116" s="193">
        <v>0</v>
      </c>
      <c r="BE116" s="193">
        <v>0</v>
      </c>
      <c r="BF116" s="193">
        <v>2</v>
      </c>
      <c r="BG116" s="193">
        <v>1</v>
      </c>
      <c r="BH116" s="193">
        <v>0</v>
      </c>
      <c r="BI116" s="193">
        <v>0</v>
      </c>
      <c r="BJ116" s="193">
        <v>1</v>
      </c>
      <c r="BK116" s="193">
        <v>2</v>
      </c>
      <c r="BL116" s="193">
        <v>1</v>
      </c>
      <c r="BM116" s="193">
        <v>0</v>
      </c>
      <c r="BN116" s="193">
        <v>0.5</v>
      </c>
      <c r="BO116" s="193">
        <v>1</v>
      </c>
      <c r="BP116" s="193">
        <v>1.5</v>
      </c>
      <c r="BQ116" s="193">
        <v>1</v>
      </c>
      <c r="BR116" s="193">
        <v>0</v>
      </c>
      <c r="BS116" s="193">
        <v>0</v>
      </c>
      <c r="BT116" s="193">
        <v>0</v>
      </c>
      <c r="BU116" s="193">
        <v>1.5</v>
      </c>
      <c r="BV116" s="193">
        <v>1</v>
      </c>
      <c r="BW116" s="193">
        <v>0</v>
      </c>
      <c r="BX116" s="193">
        <v>0.5</v>
      </c>
      <c r="BY116" s="193">
        <v>1</v>
      </c>
      <c r="BZ116" s="193">
        <v>1.5</v>
      </c>
      <c r="CA116" s="193">
        <v>1</v>
      </c>
      <c r="CB116" s="193">
        <v>0</v>
      </c>
      <c r="CC116" s="193">
        <v>0.5</v>
      </c>
      <c r="CD116" s="193">
        <v>1</v>
      </c>
      <c r="CE116" s="193">
        <v>1.5</v>
      </c>
      <c r="CF116" s="193">
        <v>1</v>
      </c>
      <c r="CG116" s="193">
        <v>0</v>
      </c>
      <c r="CH116" s="193">
        <v>0</v>
      </c>
      <c r="CI116" s="193">
        <v>0</v>
      </c>
      <c r="CJ116" s="193">
        <v>1.5</v>
      </c>
      <c r="CK116" s="193">
        <v>1</v>
      </c>
      <c r="CL116" s="193">
        <v>0</v>
      </c>
      <c r="CM116" s="193">
        <v>0.5</v>
      </c>
      <c r="CN116" s="193">
        <v>1</v>
      </c>
      <c r="CO116" s="193">
        <v>1.5</v>
      </c>
      <c r="CP116" s="193">
        <v>1</v>
      </c>
      <c r="CQ116" s="193">
        <v>0</v>
      </c>
      <c r="CR116" s="193">
        <v>0.5</v>
      </c>
      <c r="CS116" s="193">
        <v>1</v>
      </c>
      <c r="CT116" s="193">
        <v>1.5</v>
      </c>
      <c r="CU116" s="193">
        <v>1</v>
      </c>
      <c r="CV116" s="193">
        <v>0</v>
      </c>
      <c r="CW116" s="193">
        <v>0</v>
      </c>
      <c r="CX116" s="193">
        <v>0</v>
      </c>
      <c r="CY116" s="193">
        <v>1.5</v>
      </c>
      <c r="CZ116" s="193">
        <v>1</v>
      </c>
      <c r="DA116" s="193">
        <v>0</v>
      </c>
      <c r="DB116" s="193">
        <v>0.5</v>
      </c>
      <c r="DC116" s="193">
        <v>1</v>
      </c>
      <c r="DD116" s="193">
        <v>1.5</v>
      </c>
      <c r="DE116" s="193">
        <v>1</v>
      </c>
      <c r="DF116" s="193">
        <v>0</v>
      </c>
      <c r="DG116" s="193">
        <v>0</v>
      </c>
      <c r="DH116" s="193">
        <v>0</v>
      </c>
      <c r="DI116" s="193">
        <v>0</v>
      </c>
      <c r="DJ116" s="193">
        <v>1</v>
      </c>
      <c r="DK116" s="193">
        <v>0</v>
      </c>
      <c r="DL116" s="193">
        <v>0</v>
      </c>
      <c r="DM116" s="193">
        <v>0</v>
      </c>
      <c r="DN116" s="193">
        <v>0</v>
      </c>
      <c r="DO116" s="193">
        <v>1</v>
      </c>
      <c r="DP116" s="193">
        <v>0</v>
      </c>
      <c r="DQ116" s="193">
        <v>0</v>
      </c>
      <c r="DR116" s="193">
        <v>0</v>
      </c>
      <c r="DS116" s="193">
        <v>0</v>
      </c>
      <c r="DT116" s="193">
        <v>1</v>
      </c>
      <c r="DU116" s="193">
        <v>0</v>
      </c>
      <c r="DV116" s="193">
        <v>0</v>
      </c>
      <c r="DW116" s="193">
        <v>0</v>
      </c>
      <c r="DX116" s="193">
        <v>0</v>
      </c>
      <c r="DY116" s="193">
        <v>1</v>
      </c>
      <c r="DZ116" s="193">
        <v>0</v>
      </c>
      <c r="EA116" s="193">
        <v>0</v>
      </c>
      <c r="EB116" s="193">
        <v>0</v>
      </c>
      <c r="EC116" s="193">
        <v>0</v>
      </c>
      <c r="ED116" s="193">
        <v>1</v>
      </c>
      <c r="EE116" s="193">
        <v>0</v>
      </c>
      <c r="EF116" s="193">
        <v>0</v>
      </c>
      <c r="EG116" s="193">
        <v>0</v>
      </c>
      <c r="EH116" s="193">
        <v>0</v>
      </c>
      <c r="EI116" s="193">
        <v>1</v>
      </c>
      <c r="EJ116" s="193">
        <v>0</v>
      </c>
      <c r="EK116" s="193">
        <v>0</v>
      </c>
      <c r="EL116" s="193">
        <v>0</v>
      </c>
      <c r="EM116" s="193">
        <v>0</v>
      </c>
      <c r="EN116" s="193">
        <v>1</v>
      </c>
      <c r="EO116" s="193">
        <v>0</v>
      </c>
      <c r="EP116" s="193">
        <v>0</v>
      </c>
      <c r="EQ116" s="193">
        <v>0</v>
      </c>
      <c r="ER116" s="193">
        <v>0</v>
      </c>
      <c r="ES116" s="193">
        <v>1</v>
      </c>
      <c r="ET116" s="193">
        <v>0</v>
      </c>
      <c r="EU116" s="193">
        <v>0</v>
      </c>
      <c r="EV116" s="193">
        <v>0</v>
      </c>
      <c r="EW116" s="193">
        <v>0</v>
      </c>
      <c r="EX116" s="193">
        <v>1</v>
      </c>
      <c r="EY116" s="193">
        <v>0</v>
      </c>
      <c r="EZ116" s="193">
        <v>0</v>
      </c>
      <c r="FA116" s="193">
        <v>0</v>
      </c>
      <c r="FB116" s="193">
        <v>0</v>
      </c>
      <c r="FC116" s="193">
        <v>1</v>
      </c>
      <c r="FD116" s="193">
        <v>0</v>
      </c>
      <c r="FE116" s="193">
        <v>0</v>
      </c>
      <c r="FF116" s="193">
        <v>0</v>
      </c>
      <c r="FG116" s="193">
        <v>0</v>
      </c>
      <c r="FH116" s="193">
        <v>1</v>
      </c>
      <c r="FI116" s="193">
        <v>0</v>
      </c>
      <c r="FJ116" s="193">
        <v>0</v>
      </c>
      <c r="FK116" s="193">
        <v>0</v>
      </c>
      <c r="FL116" s="193">
        <v>0</v>
      </c>
      <c r="FM116" s="193">
        <v>1</v>
      </c>
      <c r="FN116" s="193">
        <v>0</v>
      </c>
      <c r="FO116" s="193">
        <v>0</v>
      </c>
      <c r="FP116" s="193">
        <v>0</v>
      </c>
      <c r="FQ116" s="193">
        <v>0</v>
      </c>
      <c r="FR116" s="193">
        <v>1</v>
      </c>
      <c r="FS116" s="193">
        <v>0</v>
      </c>
      <c r="FT116" s="193">
        <v>0</v>
      </c>
      <c r="FU116" s="193">
        <v>0</v>
      </c>
      <c r="FV116" s="193">
        <v>0</v>
      </c>
      <c r="FW116" s="193">
        <v>1</v>
      </c>
      <c r="FX116" s="193">
        <v>0</v>
      </c>
      <c r="FY116" s="193">
        <v>0</v>
      </c>
      <c r="FZ116" s="193">
        <v>0</v>
      </c>
      <c r="GA116" s="193">
        <v>0</v>
      </c>
      <c r="GB116" s="193">
        <v>1</v>
      </c>
      <c r="GC116" s="193">
        <v>0</v>
      </c>
      <c r="GD116" s="193">
        <v>0</v>
      </c>
      <c r="GE116" s="193">
        <v>0</v>
      </c>
      <c r="GF116" s="193">
        <v>0</v>
      </c>
      <c r="GG116" s="193">
        <v>1</v>
      </c>
      <c r="GH116" s="193">
        <v>0</v>
      </c>
      <c r="GI116" s="193">
        <v>0</v>
      </c>
      <c r="GJ116" s="193">
        <v>0</v>
      </c>
      <c r="GK116" s="193">
        <v>0</v>
      </c>
      <c r="GL116" s="193">
        <v>1</v>
      </c>
      <c r="GM116" s="193">
        <v>0</v>
      </c>
      <c r="GN116" s="193">
        <v>0</v>
      </c>
      <c r="GO116" s="193">
        <v>0</v>
      </c>
      <c r="GP116" s="187">
        <v>0</v>
      </c>
      <c r="GQ116" s="193">
        <v>1</v>
      </c>
    </row>
    <row r="117" spans="2:199">
      <c r="B117" s="200"/>
      <c r="C117" s="200" t="s">
        <v>1035</v>
      </c>
      <c r="D117" s="382" t="s">
        <v>1036</v>
      </c>
      <c r="E117" s="386">
        <v>0</v>
      </c>
      <c r="F117" s="201">
        <v>0</v>
      </c>
      <c r="G117" s="201">
        <v>0</v>
      </c>
      <c r="H117" s="201">
        <v>0</v>
      </c>
      <c r="I117" s="383">
        <v>1</v>
      </c>
      <c r="J117" s="201">
        <v>0</v>
      </c>
      <c r="K117" s="201">
        <v>0</v>
      </c>
      <c r="L117" s="201">
        <v>0</v>
      </c>
      <c r="M117" s="201">
        <v>0</v>
      </c>
      <c r="N117" s="383">
        <v>1</v>
      </c>
      <c r="O117" s="201">
        <v>0</v>
      </c>
      <c r="P117" s="201">
        <v>0.6</v>
      </c>
      <c r="Q117" s="201">
        <v>1</v>
      </c>
      <c r="R117" s="201">
        <v>2</v>
      </c>
      <c r="S117" s="383">
        <v>1</v>
      </c>
      <c r="T117" s="386">
        <v>0</v>
      </c>
      <c r="U117" s="201">
        <v>0</v>
      </c>
      <c r="V117" s="201">
        <v>0</v>
      </c>
      <c r="W117" s="201">
        <v>2</v>
      </c>
      <c r="X117" s="383">
        <v>1</v>
      </c>
      <c r="Y117" s="201">
        <v>0</v>
      </c>
      <c r="Z117" s="201">
        <v>0</v>
      </c>
      <c r="AA117" s="201">
        <v>0</v>
      </c>
      <c r="AB117" s="201">
        <v>2</v>
      </c>
      <c r="AC117" s="383">
        <v>1</v>
      </c>
      <c r="AD117" s="201">
        <v>0</v>
      </c>
      <c r="AE117" s="201">
        <v>0.6</v>
      </c>
      <c r="AF117" s="201">
        <v>1</v>
      </c>
      <c r="AG117" s="201">
        <v>2</v>
      </c>
      <c r="AH117" s="383">
        <v>1</v>
      </c>
      <c r="AI117" s="201">
        <v>0</v>
      </c>
      <c r="AJ117" s="201">
        <v>0</v>
      </c>
      <c r="AK117" s="201">
        <v>0</v>
      </c>
      <c r="AL117" s="201">
        <v>2</v>
      </c>
      <c r="AM117" s="383">
        <v>1</v>
      </c>
      <c r="AN117" s="201">
        <v>0</v>
      </c>
      <c r="AO117" s="201">
        <v>0</v>
      </c>
      <c r="AP117" s="201">
        <v>0</v>
      </c>
      <c r="AQ117" s="201">
        <v>2</v>
      </c>
      <c r="AR117" s="383">
        <v>1</v>
      </c>
      <c r="AS117" s="201">
        <v>0</v>
      </c>
      <c r="AT117" s="201">
        <v>0.6</v>
      </c>
      <c r="AU117" s="201">
        <v>1</v>
      </c>
      <c r="AV117" s="201">
        <v>2</v>
      </c>
      <c r="AW117" s="383">
        <v>1</v>
      </c>
      <c r="AX117" s="201">
        <v>0</v>
      </c>
      <c r="AY117" s="201">
        <v>0</v>
      </c>
      <c r="AZ117" s="201">
        <v>0</v>
      </c>
      <c r="BA117" s="201">
        <v>2</v>
      </c>
      <c r="BB117" s="383">
        <v>1</v>
      </c>
      <c r="BC117" s="201">
        <v>0</v>
      </c>
      <c r="BD117" s="201">
        <v>0</v>
      </c>
      <c r="BE117" s="201">
        <v>0</v>
      </c>
      <c r="BF117" s="201">
        <v>2</v>
      </c>
      <c r="BG117" s="383">
        <v>1</v>
      </c>
      <c r="BH117" s="201">
        <v>0</v>
      </c>
      <c r="BI117" s="201">
        <v>0.6</v>
      </c>
      <c r="BJ117" s="201">
        <v>1</v>
      </c>
      <c r="BK117" s="201">
        <v>2</v>
      </c>
      <c r="BL117" s="383">
        <v>1</v>
      </c>
      <c r="BM117" s="201">
        <v>0</v>
      </c>
      <c r="BN117" s="201">
        <v>0</v>
      </c>
      <c r="BO117" s="201">
        <v>0</v>
      </c>
      <c r="BP117" s="201">
        <v>1.5</v>
      </c>
      <c r="BQ117" s="383">
        <v>1</v>
      </c>
      <c r="BR117" s="201">
        <v>0</v>
      </c>
      <c r="BS117" s="201">
        <v>0</v>
      </c>
      <c r="BT117" s="201">
        <v>0</v>
      </c>
      <c r="BU117" s="201">
        <v>1.5</v>
      </c>
      <c r="BV117" s="383">
        <v>1</v>
      </c>
      <c r="BW117" s="201">
        <v>0</v>
      </c>
      <c r="BX117" s="201">
        <v>0.6</v>
      </c>
      <c r="BY117" s="201">
        <v>1</v>
      </c>
      <c r="BZ117" s="201">
        <v>1.5</v>
      </c>
      <c r="CA117" s="383">
        <v>1</v>
      </c>
      <c r="CB117" s="201">
        <v>0</v>
      </c>
      <c r="CC117" s="201">
        <v>0</v>
      </c>
      <c r="CD117" s="201">
        <v>0</v>
      </c>
      <c r="CE117" s="201">
        <v>1.5</v>
      </c>
      <c r="CF117" s="383">
        <v>1</v>
      </c>
      <c r="CG117" s="201">
        <v>0</v>
      </c>
      <c r="CH117" s="201">
        <v>0</v>
      </c>
      <c r="CI117" s="201">
        <v>0</v>
      </c>
      <c r="CJ117" s="201">
        <v>1.5</v>
      </c>
      <c r="CK117" s="383">
        <v>1</v>
      </c>
      <c r="CL117" s="201">
        <v>0</v>
      </c>
      <c r="CM117" s="201">
        <v>0.6</v>
      </c>
      <c r="CN117" s="201">
        <v>1</v>
      </c>
      <c r="CO117" s="201">
        <v>1.5</v>
      </c>
      <c r="CP117" s="383">
        <v>1</v>
      </c>
      <c r="CQ117" s="201">
        <v>0</v>
      </c>
      <c r="CR117" s="201">
        <v>0</v>
      </c>
      <c r="CS117" s="201">
        <v>0</v>
      </c>
      <c r="CT117" s="201">
        <v>1.5</v>
      </c>
      <c r="CU117" s="383">
        <v>1</v>
      </c>
      <c r="CV117" s="201">
        <v>0</v>
      </c>
      <c r="CW117" s="201">
        <v>0</v>
      </c>
      <c r="CX117" s="201">
        <v>0</v>
      </c>
      <c r="CY117" s="201">
        <v>1.5</v>
      </c>
      <c r="CZ117" s="383">
        <v>1</v>
      </c>
      <c r="DA117" s="201">
        <v>0</v>
      </c>
      <c r="DB117" s="201">
        <v>0.6</v>
      </c>
      <c r="DC117" s="201">
        <v>1</v>
      </c>
      <c r="DD117" s="201">
        <v>1.5</v>
      </c>
      <c r="DE117" s="383">
        <v>1</v>
      </c>
      <c r="DF117" s="201">
        <v>0</v>
      </c>
      <c r="DG117" s="201">
        <v>0</v>
      </c>
      <c r="DH117" s="201">
        <v>0</v>
      </c>
      <c r="DI117" s="201">
        <v>1.5</v>
      </c>
      <c r="DJ117" s="383">
        <v>1</v>
      </c>
      <c r="DK117" s="201">
        <v>0</v>
      </c>
      <c r="DL117" s="201">
        <v>0</v>
      </c>
      <c r="DM117" s="201">
        <v>0</v>
      </c>
      <c r="DN117" s="201">
        <v>1.5</v>
      </c>
      <c r="DO117" s="383">
        <v>1</v>
      </c>
      <c r="DP117" s="201">
        <v>0</v>
      </c>
      <c r="DQ117" s="201">
        <v>0.6</v>
      </c>
      <c r="DR117" s="201">
        <v>1</v>
      </c>
      <c r="DS117" s="201">
        <v>1.5</v>
      </c>
      <c r="DT117" s="383">
        <v>1</v>
      </c>
      <c r="DU117" s="201">
        <v>0</v>
      </c>
      <c r="DV117" s="201">
        <v>0</v>
      </c>
      <c r="DW117" s="201">
        <v>0</v>
      </c>
      <c r="DX117" s="201">
        <v>1.5</v>
      </c>
      <c r="DY117" s="383">
        <v>1</v>
      </c>
      <c r="DZ117" s="201">
        <v>0</v>
      </c>
      <c r="EA117" s="201">
        <v>0</v>
      </c>
      <c r="EB117" s="201">
        <v>0</v>
      </c>
      <c r="EC117" s="201">
        <v>1.5</v>
      </c>
      <c r="ED117" s="383">
        <v>1</v>
      </c>
      <c r="EE117" s="201">
        <v>0</v>
      </c>
      <c r="EF117" s="201">
        <v>0.6</v>
      </c>
      <c r="EG117" s="201">
        <v>1</v>
      </c>
      <c r="EH117" s="201">
        <v>1.5</v>
      </c>
      <c r="EI117" s="383">
        <v>1</v>
      </c>
      <c r="EJ117" s="201">
        <v>0</v>
      </c>
      <c r="EK117" s="201">
        <v>0</v>
      </c>
      <c r="EL117" s="201">
        <v>0</v>
      </c>
      <c r="EM117" s="201">
        <v>1.5</v>
      </c>
      <c r="EN117" s="383">
        <v>1</v>
      </c>
      <c r="EO117" s="201">
        <v>0</v>
      </c>
      <c r="EP117" s="201">
        <v>0</v>
      </c>
      <c r="EQ117" s="201">
        <v>0</v>
      </c>
      <c r="ER117" s="201">
        <v>1.5</v>
      </c>
      <c r="ES117" s="383">
        <v>1</v>
      </c>
      <c r="ET117" s="201">
        <v>0</v>
      </c>
      <c r="EU117" s="201">
        <v>0.6</v>
      </c>
      <c r="EV117" s="201">
        <v>1</v>
      </c>
      <c r="EW117" s="201">
        <v>1.5</v>
      </c>
      <c r="EX117" s="383">
        <v>1</v>
      </c>
      <c r="EY117" s="201">
        <v>0</v>
      </c>
      <c r="EZ117" s="201">
        <v>0</v>
      </c>
      <c r="FA117" s="201">
        <v>0</v>
      </c>
      <c r="FB117" s="201">
        <v>1.5</v>
      </c>
      <c r="FC117" s="383">
        <v>1</v>
      </c>
      <c r="FD117" s="201">
        <v>0</v>
      </c>
      <c r="FE117" s="201">
        <v>0</v>
      </c>
      <c r="FF117" s="201">
        <v>0</v>
      </c>
      <c r="FG117" s="201">
        <v>1.5</v>
      </c>
      <c r="FH117" s="383">
        <v>1</v>
      </c>
      <c r="FI117" s="201">
        <v>0</v>
      </c>
      <c r="FJ117" s="201">
        <v>0.6</v>
      </c>
      <c r="FK117" s="201">
        <v>1</v>
      </c>
      <c r="FL117" s="201">
        <v>1.5</v>
      </c>
      <c r="FM117" s="383">
        <v>1</v>
      </c>
      <c r="FN117" s="201">
        <v>0</v>
      </c>
      <c r="FO117" s="201">
        <v>0</v>
      </c>
      <c r="FP117" s="201">
        <v>0</v>
      </c>
      <c r="FQ117" s="201">
        <v>1.5</v>
      </c>
      <c r="FR117" s="383">
        <v>1</v>
      </c>
      <c r="FS117" s="201">
        <v>0</v>
      </c>
      <c r="FT117" s="201">
        <v>0</v>
      </c>
      <c r="FU117" s="201">
        <v>0</v>
      </c>
      <c r="FV117" s="201">
        <v>1.5</v>
      </c>
      <c r="FW117" s="383">
        <v>1</v>
      </c>
      <c r="FX117" s="201">
        <v>0</v>
      </c>
      <c r="FY117" s="201">
        <v>0.6</v>
      </c>
      <c r="FZ117" s="201">
        <v>1</v>
      </c>
      <c r="GA117" s="201">
        <v>1.5</v>
      </c>
      <c r="GB117" s="383">
        <v>1</v>
      </c>
      <c r="GC117" s="201">
        <v>0</v>
      </c>
      <c r="GD117" s="201">
        <v>0</v>
      </c>
      <c r="GE117" s="201">
        <v>0</v>
      </c>
      <c r="GF117" s="201">
        <v>1.5</v>
      </c>
      <c r="GG117" s="383">
        <v>1</v>
      </c>
      <c r="GH117" s="201">
        <v>0</v>
      </c>
      <c r="GI117" s="201">
        <v>0</v>
      </c>
      <c r="GJ117" s="201">
        <v>0</v>
      </c>
      <c r="GK117" s="201">
        <v>1.5</v>
      </c>
      <c r="GL117" s="383">
        <v>1</v>
      </c>
      <c r="GM117" s="201">
        <v>0</v>
      </c>
      <c r="GN117" s="201">
        <v>0.6</v>
      </c>
      <c r="GO117" s="201">
        <v>1</v>
      </c>
      <c r="GP117" s="202">
        <v>1.5</v>
      </c>
      <c r="GQ117" s="383">
        <v>1</v>
      </c>
    </row>
    <row r="118" spans="2:199">
      <c r="T118" s="206"/>
    </row>
    <row r="119" spans="2:199">
      <c r="B119" s="208" t="s">
        <v>1176</v>
      </c>
      <c r="C119" s="209"/>
      <c r="D119" s="209"/>
      <c r="E119" s="209"/>
      <c r="F119" s="209"/>
      <c r="G119" s="213"/>
      <c r="H119" s="213"/>
      <c r="I119" s="213"/>
      <c r="J119" s="213"/>
      <c r="K119" s="213"/>
      <c r="L119" s="213"/>
      <c r="M119" s="213"/>
      <c r="N119" s="213"/>
      <c r="O119" s="213"/>
      <c r="P119" s="213"/>
      <c r="Q119" s="213"/>
      <c r="R119" s="213"/>
      <c r="S119" s="213"/>
      <c r="T119" s="209"/>
      <c r="U119" s="209"/>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Q119" s="213"/>
      <c r="BV119" s="213"/>
      <c r="CA119" s="213"/>
      <c r="CF119" s="213"/>
      <c r="CK119" s="213"/>
      <c r="CP119" s="213"/>
      <c r="CU119" s="213"/>
      <c r="CZ119" s="213"/>
      <c r="DE119" s="213"/>
      <c r="DJ119" s="213"/>
      <c r="DO119" s="213"/>
      <c r="DT119" s="213"/>
      <c r="DY119" s="213"/>
      <c r="ED119" s="213"/>
      <c r="EI119" s="213"/>
      <c r="EN119" s="213"/>
      <c r="ES119" s="213"/>
      <c r="EX119" s="213"/>
      <c r="FC119" s="213"/>
      <c r="FH119" s="213"/>
      <c r="FM119" s="213"/>
      <c r="FR119" s="213"/>
      <c r="FW119" s="213"/>
      <c r="GB119" s="213"/>
      <c r="GG119" s="213"/>
      <c r="GL119" s="213"/>
      <c r="GQ119" s="213"/>
    </row>
    <row r="120" spans="2:199">
      <c r="B120" s="210"/>
      <c r="C120" s="210"/>
      <c r="D120" s="385" t="s">
        <v>1177</v>
      </c>
      <c r="E120" s="199">
        <v>0</v>
      </c>
      <c r="F120" s="214">
        <v>0</v>
      </c>
      <c r="G120" s="215">
        <v>1</v>
      </c>
      <c r="H120" s="215">
        <v>2</v>
      </c>
      <c r="I120" s="215">
        <v>1</v>
      </c>
      <c r="J120" s="215">
        <v>0</v>
      </c>
      <c r="K120" s="215">
        <v>0</v>
      </c>
      <c r="L120" s="215">
        <v>1</v>
      </c>
      <c r="M120" s="215">
        <v>2</v>
      </c>
      <c r="N120" s="215">
        <v>1</v>
      </c>
      <c r="O120" s="215">
        <v>0</v>
      </c>
      <c r="P120" s="215">
        <v>0</v>
      </c>
      <c r="Q120" s="215">
        <v>1</v>
      </c>
      <c r="R120" s="215">
        <v>2</v>
      </c>
      <c r="S120" s="215">
        <v>1</v>
      </c>
      <c r="T120" s="199">
        <v>0</v>
      </c>
      <c r="U120" s="214">
        <v>0</v>
      </c>
      <c r="V120" s="215">
        <v>1</v>
      </c>
      <c r="W120" s="215">
        <v>2</v>
      </c>
      <c r="X120" s="215">
        <v>1</v>
      </c>
      <c r="Y120" s="215">
        <v>0</v>
      </c>
      <c r="Z120" s="215">
        <v>0</v>
      </c>
      <c r="AA120" s="215">
        <v>1</v>
      </c>
      <c r="AB120" s="215">
        <v>2</v>
      </c>
      <c r="AC120" s="215">
        <v>1</v>
      </c>
      <c r="AD120" s="215">
        <v>0</v>
      </c>
      <c r="AE120" s="215">
        <v>0</v>
      </c>
      <c r="AF120" s="215">
        <v>1</v>
      </c>
      <c r="AG120" s="215">
        <v>2</v>
      </c>
      <c r="AH120" s="215">
        <v>1</v>
      </c>
      <c r="AI120" s="215">
        <v>0</v>
      </c>
      <c r="AJ120" s="215">
        <v>0</v>
      </c>
      <c r="AK120" s="215">
        <v>1</v>
      </c>
      <c r="AL120" s="215">
        <v>2</v>
      </c>
      <c r="AM120" s="215">
        <v>1</v>
      </c>
      <c r="AN120" s="215">
        <v>0</v>
      </c>
      <c r="AO120" s="215">
        <v>0</v>
      </c>
      <c r="AP120" s="215">
        <v>1</v>
      </c>
      <c r="AQ120" s="215">
        <v>2</v>
      </c>
      <c r="AR120" s="215">
        <v>1</v>
      </c>
      <c r="AS120" s="215">
        <v>0</v>
      </c>
      <c r="AT120" s="215">
        <v>0</v>
      </c>
      <c r="AU120" s="215">
        <v>1</v>
      </c>
      <c r="AV120" s="215">
        <v>2</v>
      </c>
      <c r="AW120" s="215">
        <v>1</v>
      </c>
      <c r="AX120" s="215">
        <v>0</v>
      </c>
      <c r="AY120" s="215">
        <v>0</v>
      </c>
      <c r="AZ120" s="215">
        <v>1</v>
      </c>
      <c r="BA120" s="215">
        <v>2</v>
      </c>
      <c r="BB120" s="215">
        <v>1</v>
      </c>
      <c r="BC120" s="215">
        <v>0</v>
      </c>
      <c r="BD120" s="215">
        <v>0</v>
      </c>
      <c r="BE120" s="215">
        <v>1</v>
      </c>
      <c r="BF120" s="215">
        <v>2</v>
      </c>
      <c r="BG120" s="215">
        <v>1</v>
      </c>
      <c r="BH120" s="215">
        <v>0</v>
      </c>
      <c r="BI120" s="215">
        <v>0</v>
      </c>
      <c r="BJ120" s="215">
        <v>1</v>
      </c>
      <c r="BK120" s="215">
        <v>2</v>
      </c>
      <c r="BL120" s="215">
        <v>1</v>
      </c>
      <c r="BM120" s="215">
        <v>0</v>
      </c>
      <c r="BN120" s="215">
        <v>0.5</v>
      </c>
      <c r="BO120" s="197">
        <v>1</v>
      </c>
      <c r="BP120" s="197">
        <v>1.5</v>
      </c>
      <c r="BQ120" s="215">
        <v>1</v>
      </c>
      <c r="BR120" s="197">
        <v>0</v>
      </c>
      <c r="BS120" s="197">
        <v>0.5</v>
      </c>
      <c r="BT120" s="197">
        <v>1</v>
      </c>
      <c r="BU120" s="197">
        <v>1.5</v>
      </c>
      <c r="BV120" s="215">
        <v>1</v>
      </c>
      <c r="BW120" s="197">
        <v>0</v>
      </c>
      <c r="BX120" s="197">
        <v>0.5</v>
      </c>
      <c r="BY120" s="197">
        <v>1</v>
      </c>
      <c r="BZ120" s="197">
        <v>1.5</v>
      </c>
      <c r="CA120" s="215">
        <v>1</v>
      </c>
      <c r="CB120" s="197">
        <v>0</v>
      </c>
      <c r="CC120" s="197">
        <v>0.5</v>
      </c>
      <c r="CD120" s="197">
        <v>1</v>
      </c>
      <c r="CE120" s="197">
        <v>2</v>
      </c>
      <c r="CF120" s="215">
        <v>1</v>
      </c>
      <c r="CG120" s="197">
        <v>0</v>
      </c>
      <c r="CH120" s="197">
        <v>0.5</v>
      </c>
      <c r="CI120" s="197">
        <v>1</v>
      </c>
      <c r="CJ120" s="197">
        <v>2</v>
      </c>
      <c r="CK120" s="215">
        <v>1</v>
      </c>
      <c r="CL120" s="197">
        <v>0</v>
      </c>
      <c r="CM120" s="197">
        <v>0.5</v>
      </c>
      <c r="CN120" s="197">
        <v>1</v>
      </c>
      <c r="CO120" s="197">
        <v>2</v>
      </c>
      <c r="CP120" s="215">
        <v>1</v>
      </c>
      <c r="CQ120" s="197">
        <v>0</v>
      </c>
      <c r="CR120" s="197">
        <v>0.5</v>
      </c>
      <c r="CS120" s="197">
        <v>1</v>
      </c>
      <c r="CT120" s="197">
        <v>2</v>
      </c>
      <c r="CU120" s="215">
        <v>1</v>
      </c>
      <c r="CV120" s="197">
        <v>0</v>
      </c>
      <c r="CW120" s="197">
        <f>1/3</f>
        <v>0.33333333333333331</v>
      </c>
      <c r="CX120" s="197">
        <v>1</v>
      </c>
      <c r="CY120" s="197">
        <f>4/3</f>
        <v>1.3333333333333333</v>
      </c>
      <c r="CZ120" s="215">
        <v>1</v>
      </c>
      <c r="DA120" s="197">
        <v>0</v>
      </c>
      <c r="DB120" s="197">
        <f>1/3</f>
        <v>0.33333333333333331</v>
      </c>
      <c r="DC120" s="197">
        <v>1</v>
      </c>
      <c r="DD120" s="197">
        <f>4/3</f>
        <v>1.3333333333333333</v>
      </c>
      <c r="DE120" s="215">
        <v>1</v>
      </c>
      <c r="DF120" s="197">
        <v>0</v>
      </c>
      <c r="DG120" s="197">
        <f>1/3</f>
        <v>0.33333333333333331</v>
      </c>
      <c r="DH120" s="197">
        <v>1</v>
      </c>
      <c r="DI120" s="197">
        <f>4/3</f>
        <v>1.3333333333333333</v>
      </c>
      <c r="DJ120" s="215">
        <v>1</v>
      </c>
      <c r="DK120" s="197">
        <v>0</v>
      </c>
      <c r="DL120" s="197">
        <f>1/3</f>
        <v>0.33333333333333331</v>
      </c>
      <c r="DM120" s="197">
        <v>1</v>
      </c>
      <c r="DN120" s="197">
        <f>4/3</f>
        <v>1.3333333333333333</v>
      </c>
      <c r="DO120" s="215">
        <v>1</v>
      </c>
      <c r="DP120" s="197">
        <v>0</v>
      </c>
      <c r="DQ120" s="197">
        <f>1/3</f>
        <v>0.33333333333333331</v>
      </c>
      <c r="DR120" s="197">
        <v>1</v>
      </c>
      <c r="DS120" s="197">
        <f>4/3</f>
        <v>1.3333333333333333</v>
      </c>
      <c r="DT120" s="215">
        <v>1</v>
      </c>
      <c r="DU120" s="197">
        <v>0</v>
      </c>
      <c r="DV120" s="197">
        <f>1/3</f>
        <v>0.33333333333333331</v>
      </c>
      <c r="DW120" s="197">
        <v>1</v>
      </c>
      <c r="DX120" s="197">
        <f>4/3</f>
        <v>1.3333333333333333</v>
      </c>
      <c r="DY120" s="215">
        <v>1</v>
      </c>
      <c r="DZ120" s="197">
        <v>0</v>
      </c>
      <c r="EA120" s="197">
        <f>1/3</f>
        <v>0.33333333333333331</v>
      </c>
      <c r="EB120" s="197">
        <v>1</v>
      </c>
      <c r="EC120" s="197">
        <f>4/3</f>
        <v>1.3333333333333333</v>
      </c>
      <c r="ED120" s="215">
        <v>1</v>
      </c>
      <c r="EE120" s="197">
        <v>0</v>
      </c>
      <c r="EF120" s="197">
        <f>1/3</f>
        <v>0.33333333333333331</v>
      </c>
      <c r="EG120" s="197">
        <v>1</v>
      </c>
      <c r="EH120" s="197">
        <f>4/3</f>
        <v>1.3333333333333333</v>
      </c>
      <c r="EI120" s="215">
        <v>1</v>
      </c>
      <c r="EJ120" s="197">
        <v>0</v>
      </c>
      <c r="EK120" s="197">
        <f>1/3</f>
        <v>0.33333333333333331</v>
      </c>
      <c r="EL120" s="197">
        <v>1</v>
      </c>
      <c r="EM120" s="197">
        <f>4/3</f>
        <v>1.3333333333333333</v>
      </c>
      <c r="EN120" s="215">
        <v>1</v>
      </c>
      <c r="EO120" s="197">
        <v>0</v>
      </c>
      <c r="EP120" s="197">
        <f>1/3</f>
        <v>0.33333333333333331</v>
      </c>
      <c r="EQ120" s="197">
        <v>1</v>
      </c>
      <c r="ER120" s="197">
        <f>4/3</f>
        <v>1.3333333333333333</v>
      </c>
      <c r="ES120" s="215">
        <v>1</v>
      </c>
      <c r="ET120" s="197">
        <v>0</v>
      </c>
      <c r="EU120" s="197">
        <f>1/3</f>
        <v>0.33333333333333331</v>
      </c>
      <c r="EV120" s="197">
        <v>1</v>
      </c>
      <c r="EW120" s="197">
        <f>4/3</f>
        <v>1.3333333333333333</v>
      </c>
      <c r="EX120" s="215">
        <v>1</v>
      </c>
      <c r="EY120" s="197">
        <v>0</v>
      </c>
      <c r="EZ120" s="197">
        <f>1/3</f>
        <v>0.33333333333333331</v>
      </c>
      <c r="FA120" s="197">
        <v>1</v>
      </c>
      <c r="FB120" s="197">
        <f>4/3</f>
        <v>1.3333333333333333</v>
      </c>
      <c r="FC120" s="215">
        <v>1</v>
      </c>
      <c r="FD120" s="197">
        <v>0</v>
      </c>
      <c r="FE120" s="197">
        <f>1/3</f>
        <v>0.33333333333333331</v>
      </c>
      <c r="FF120" s="197">
        <v>1</v>
      </c>
      <c r="FG120" s="197">
        <f>4/3</f>
        <v>1.3333333333333333</v>
      </c>
      <c r="FH120" s="215">
        <v>1</v>
      </c>
      <c r="FI120" s="197">
        <v>0</v>
      </c>
      <c r="FJ120" s="197">
        <f>1/3</f>
        <v>0.33333333333333331</v>
      </c>
      <c r="FK120" s="197">
        <v>1</v>
      </c>
      <c r="FL120" s="197">
        <f>4/3</f>
        <v>1.3333333333333333</v>
      </c>
      <c r="FM120" s="215">
        <v>1</v>
      </c>
      <c r="FN120" s="197">
        <v>0</v>
      </c>
      <c r="FO120" s="197">
        <f>1/3</f>
        <v>0.33333333333333331</v>
      </c>
      <c r="FP120" s="197">
        <v>1</v>
      </c>
      <c r="FQ120" s="197">
        <f>4/3</f>
        <v>1.3333333333333333</v>
      </c>
      <c r="FR120" s="215">
        <v>1</v>
      </c>
      <c r="FS120" s="197">
        <v>0</v>
      </c>
      <c r="FT120" s="197">
        <f>1/3</f>
        <v>0.33333333333333331</v>
      </c>
      <c r="FU120" s="197">
        <v>1</v>
      </c>
      <c r="FV120" s="197">
        <f>4/3</f>
        <v>1.3333333333333333</v>
      </c>
      <c r="FW120" s="215">
        <v>1</v>
      </c>
      <c r="FX120" s="197">
        <v>0</v>
      </c>
      <c r="FY120" s="197">
        <f>1/3</f>
        <v>0.33333333333333331</v>
      </c>
      <c r="FZ120" s="197">
        <v>1</v>
      </c>
      <c r="GA120" s="197">
        <f>4/3</f>
        <v>1.3333333333333333</v>
      </c>
      <c r="GB120" s="215">
        <v>1</v>
      </c>
      <c r="GC120" s="197">
        <v>0</v>
      </c>
      <c r="GD120" s="197">
        <f>1/3</f>
        <v>0.33333333333333331</v>
      </c>
      <c r="GE120" s="197">
        <v>1</v>
      </c>
      <c r="GF120" s="197">
        <f>4/3</f>
        <v>1.3333333333333333</v>
      </c>
      <c r="GG120" s="215">
        <v>1</v>
      </c>
      <c r="GH120" s="197">
        <v>0</v>
      </c>
      <c r="GI120" s="197">
        <f>1/3</f>
        <v>0.33333333333333331</v>
      </c>
      <c r="GJ120" s="197">
        <v>1</v>
      </c>
      <c r="GK120" s="197">
        <f>4/3</f>
        <v>1.3333333333333333</v>
      </c>
      <c r="GL120" s="215">
        <v>1</v>
      </c>
      <c r="GM120" s="197">
        <v>0</v>
      </c>
      <c r="GN120" s="197">
        <f>1/3</f>
        <v>0.33333333333333331</v>
      </c>
      <c r="GO120" s="197">
        <v>1</v>
      </c>
      <c r="GP120" s="197">
        <f>4/3</f>
        <v>1.3333333333333333</v>
      </c>
      <c r="GQ120" s="215">
        <v>1</v>
      </c>
    </row>
  </sheetData>
  <pageMargins left="0.7" right="0.7" top="0.78740157499999996" bottom="0.78740157499999996"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5AE56-A752-47D8-B87A-55959BC6466C}">
  <sheetPr codeName="Tabelle17">
    <tabColor rgb="FFFF0000"/>
  </sheetPr>
  <dimension ref="B2:X267"/>
  <sheetViews>
    <sheetView workbookViewId="0">
      <selection activeCell="E115" sqref="E115"/>
    </sheetView>
  </sheetViews>
  <sheetFormatPr baseColWidth="10" defaultColWidth="11.5703125" defaultRowHeight="12.75"/>
  <cols>
    <col min="1" max="1" width="4" style="1" customWidth="1"/>
    <col min="2" max="2" width="16.28515625" style="1" customWidth="1"/>
    <col min="3" max="3" width="22.140625" style="1" customWidth="1"/>
    <col min="4" max="4" width="11.5703125" style="1"/>
    <col min="5" max="5" width="12.85546875" style="1" customWidth="1"/>
    <col min="6" max="7" width="11.5703125" style="1"/>
    <col min="8" max="8" width="15.7109375" style="1" customWidth="1"/>
    <col min="9" max="10" width="11.5703125" style="1"/>
    <col min="11" max="11" width="13.85546875" style="1" customWidth="1"/>
    <col min="12" max="17" width="11.5703125" style="1"/>
    <col min="18" max="18" width="13.5703125" style="1" customWidth="1"/>
    <col min="19" max="16384" width="11.5703125" style="1"/>
  </cols>
  <sheetData>
    <row r="2" spans="2:18" ht="15.75">
      <c r="B2" s="57" t="s">
        <v>154</v>
      </c>
      <c r="K2" s="1" t="s">
        <v>184</v>
      </c>
      <c r="Q2" s="7" t="s">
        <v>1321</v>
      </c>
      <c r="R2" s="1" t="str">
        <f>Projektdaten!E18</f>
        <v>Wohnen MFH</v>
      </c>
    </row>
    <row r="3" spans="2:18">
      <c r="K3" s="229">
        <f ca="1">IFERROR(ROUND(K8*K11,1),0)</f>
        <v>9.4</v>
      </c>
      <c r="L3" s="16" t="s">
        <v>136</v>
      </c>
      <c r="M3" s="1" t="s">
        <v>1106</v>
      </c>
      <c r="Q3" s="7" t="s">
        <v>1320</v>
      </c>
      <c r="R3" s="1" t="str">
        <f ca="1">IF(Auswahllisten!G31=0,Auswahllisten!E31,IF(Auswahllisten!G31=1,Projektdaten!E29,IF(Auswahllisten!G31=2,Projektdaten!E40,"")))</f>
        <v>Chur</v>
      </c>
    </row>
    <row r="4" spans="2:18">
      <c r="B4" s="8" t="s">
        <v>1114</v>
      </c>
      <c r="K4" s="26">
        <f ca="1">IFERROR(ROUND(K9*K11,-1),0)</f>
        <v>20700</v>
      </c>
      <c r="L4" s="16" t="s">
        <v>131</v>
      </c>
      <c r="M4" s="1" t="s">
        <v>1107</v>
      </c>
      <c r="N4" s="32"/>
      <c r="Q4" s="7" t="s">
        <v>1322</v>
      </c>
      <c r="R4" s="1" t="str">
        <f ca="1">IF(AND(Projektdaten!R28,Projektdaten!E30),Projektdaten!E30,IF(AND(Projektdaten!R38,Projektdaten!E30),Auswahllisten!E36,""))</f>
        <v>Grenzwert SIA 380/1</v>
      </c>
    </row>
    <row r="5" spans="2:18" ht="15.75">
      <c r="B5" s="16" t="s">
        <v>1109</v>
      </c>
      <c r="C5" s="16" t="s">
        <v>152</v>
      </c>
      <c r="D5" s="16" t="s">
        <v>153</v>
      </c>
      <c r="E5" s="16" t="s">
        <v>1134</v>
      </c>
      <c r="F5" s="16" t="s">
        <v>1135</v>
      </c>
      <c r="G5" s="16" t="s">
        <v>1136</v>
      </c>
      <c r="H5" s="16" t="s">
        <v>1110</v>
      </c>
      <c r="K5" s="26">
        <f ca="1">IFERROR(IF(Auswahllisten!G52=1,ROUND(K10*K11,-1),0),0)</f>
        <v>0</v>
      </c>
      <c r="L5" s="16" t="s">
        <v>131</v>
      </c>
      <c r="M5" s="1" t="s">
        <v>1108</v>
      </c>
      <c r="Q5" s="7" t="s">
        <v>1333</v>
      </c>
      <c r="R5" s="1">
        <f>IF(Projektdaten!E23&lt;&gt;"",Projektdaten!E23,0)</f>
        <v>0</v>
      </c>
    </row>
    <row r="6" spans="2:18">
      <c r="B6" s="16">
        <f ca="1">VLOOKUP(R2,Standardwerte!B24:E27,3,FALSE)</f>
        <v>32</v>
      </c>
      <c r="C6" s="16">
        <f ca="1">VLOOKUP(R4,Standardwerte!F24:H27,2,FALSE)</f>
        <v>1</v>
      </c>
      <c r="D6" s="26">
        <f>R5</f>
        <v>0</v>
      </c>
      <c r="E6" s="16">
        <v>21</v>
      </c>
      <c r="F6" s="16">
        <f ca="1">Klimastation!E5</f>
        <v>-7</v>
      </c>
      <c r="G6" s="16">
        <v>-8</v>
      </c>
      <c r="H6" s="22">
        <f ca="1">B6*C6*D6*(E6-F6)/(E6-G6)</f>
        <v>0</v>
      </c>
    </row>
    <row r="8" spans="2:18" ht="15.75">
      <c r="B8" s="16" t="s">
        <v>151</v>
      </c>
      <c r="C8" s="16"/>
      <c r="D8" s="16" t="s">
        <v>153</v>
      </c>
      <c r="E8" s="16" t="s">
        <v>1134</v>
      </c>
      <c r="F8" s="16" t="s">
        <v>1135</v>
      </c>
      <c r="G8" s="16" t="s">
        <v>1136</v>
      </c>
      <c r="H8" s="16" t="s">
        <v>1111</v>
      </c>
      <c r="K8" s="22">
        <f ca="1">IF(AND(Auswahllisten!G31=1,Auswahllisten!G46=1),Projektdaten!L34,IF(AND(Auswahllisten!G31=1,Auswahllisten!G46=2),H12,IF(AND(Auswahllisten!G31=2,Auswahllisten!G116=1),Projektdaten!L34,IF(AND(Auswahllisten!G31=2,Auswahllisten!G116=2),M29,0))))</f>
        <v>9.4458021557833689</v>
      </c>
      <c r="L8" s="16" t="s">
        <v>136</v>
      </c>
      <c r="M8" s="1" t="s">
        <v>1202</v>
      </c>
    </row>
    <row r="9" spans="2:18">
      <c r="B9" s="16">
        <f ca="1">VLOOKUP(R2,Standardwerte!B24:E27,4,FALSE)</f>
        <v>21</v>
      </c>
      <c r="C9" s="16">
        <v>1</v>
      </c>
      <c r="D9" s="26">
        <f>R5</f>
        <v>0</v>
      </c>
      <c r="E9" s="16">
        <v>21</v>
      </c>
      <c r="F9" s="16">
        <f>Klimastation!E9</f>
        <v>0</v>
      </c>
      <c r="G9" s="16">
        <v>-8</v>
      </c>
      <c r="H9" s="22">
        <f ca="1">B9*C9*D9*(E9-F9)/(E9-G9)</f>
        <v>0</v>
      </c>
      <c r="K9" s="22">
        <f ca="1">IF(AND(Auswahllisten!G31=1,Auswahllisten!G46=1),Projektdaten!L35*1000,IF(AND(Auswahllisten!G31=1,Auswahllisten!G46=2),H6,IF(AND(Auswahllisten!G31=2,Auswahllisten!G116=1),Projektdaten!L35*1000,IF(AND(Auswahllisten!G31=2,Auswahllisten!G116=2),N25,0))))</f>
        <v>20701.637604245643</v>
      </c>
      <c r="L9" s="16" t="s">
        <v>131</v>
      </c>
      <c r="M9" s="1" t="s">
        <v>1204</v>
      </c>
    </row>
    <row r="10" spans="2:18">
      <c r="K10" s="22">
        <f ca="1">IF(AND(Auswahllisten!G31=1,Auswahllisten!G46=1),Projektdaten!L36*1000,IF(AND(Auswahllisten!G31=1,Auswahllisten!G46=2),H9,IF(AND(Auswahllisten!G31=2,Auswahllisten!G116=1),Projektdaten!L36*1000,IF(AND(Auswahllisten!G31=2,Auswahllisten!G116=2),H9,0))))</f>
        <v>0</v>
      </c>
      <c r="L10" s="16" t="s">
        <v>131</v>
      </c>
      <c r="M10" s="1" t="s">
        <v>1203</v>
      </c>
    </row>
    <row r="11" spans="2:18" ht="15.75">
      <c r="B11" s="230" t="s">
        <v>1209</v>
      </c>
      <c r="C11" s="16" t="s">
        <v>160</v>
      </c>
      <c r="D11" s="16" t="s">
        <v>153</v>
      </c>
      <c r="E11" s="16" t="s">
        <v>1134</v>
      </c>
      <c r="F11" s="16" t="s">
        <v>1135</v>
      </c>
      <c r="G11" s="16" t="s">
        <v>1136</v>
      </c>
      <c r="H11" s="230" t="s">
        <v>1210</v>
      </c>
      <c r="K11" s="228">
        <f ca="1">IF(K8&gt;2000,0,1)</f>
        <v>1</v>
      </c>
      <c r="L11" s="16"/>
      <c r="M11" s="1" t="s">
        <v>651</v>
      </c>
    </row>
    <row r="12" spans="2:18">
      <c r="B12" s="16">
        <f ca="1">VLOOKUP(R2,Standardwerte!B24:E27,2,FALSE)</f>
        <v>23</v>
      </c>
      <c r="C12" s="16">
        <f ca="1">VLOOKUP(R4,Standardwerte!F24:H27,3,FALSE)</f>
        <v>1</v>
      </c>
      <c r="D12" s="26">
        <f>R5</f>
        <v>0</v>
      </c>
      <c r="E12" s="16">
        <v>21</v>
      </c>
      <c r="F12" s="16">
        <f ca="1">Klimastation!E5</f>
        <v>-7</v>
      </c>
      <c r="G12" s="16">
        <v>-8</v>
      </c>
      <c r="H12" s="22">
        <f ca="1">B12*0.001*C12*D12*(E12-F12)/(E12-G12)</f>
        <v>0</v>
      </c>
    </row>
    <row r="15" spans="2:18">
      <c r="B15" s="8" t="s">
        <v>1115</v>
      </c>
    </row>
    <row r="16" spans="2:18">
      <c r="E16" s="111" t="s">
        <v>0</v>
      </c>
      <c r="F16" s="111" t="s">
        <v>14</v>
      </c>
      <c r="G16" s="111" t="s">
        <v>1</v>
      </c>
      <c r="H16" s="111" t="s">
        <v>1112</v>
      </c>
      <c r="I16" s="111" t="s">
        <v>1113</v>
      </c>
      <c r="J16" s="111" t="s">
        <v>142</v>
      </c>
      <c r="K16" s="111" t="s">
        <v>143</v>
      </c>
      <c r="L16" s="111" t="s">
        <v>293</v>
      </c>
      <c r="M16" s="169"/>
      <c r="N16" s="170"/>
      <c r="O16" s="170"/>
      <c r="P16" s="170"/>
    </row>
    <row r="17" spans="2:20">
      <c r="E17" s="18" t="s">
        <v>132</v>
      </c>
      <c r="F17" s="18" t="s">
        <v>131</v>
      </c>
      <c r="G17" s="18" t="s">
        <v>132</v>
      </c>
      <c r="H17" s="18" t="s">
        <v>132</v>
      </c>
      <c r="I17" s="18" t="s">
        <v>131</v>
      </c>
      <c r="J17" s="18" t="s">
        <v>131</v>
      </c>
      <c r="K17" s="18" t="s">
        <v>131</v>
      </c>
      <c r="L17" s="18" t="s">
        <v>131</v>
      </c>
      <c r="M17" s="148"/>
      <c r="O17" s="1" t="s">
        <v>273</v>
      </c>
      <c r="P17" s="1" t="s">
        <v>274</v>
      </c>
      <c r="Q17" s="1" t="s">
        <v>275</v>
      </c>
    </row>
    <row r="18" spans="2:20" ht="15.75">
      <c r="B18" s="1" t="s">
        <v>129</v>
      </c>
      <c r="C18" s="1" t="s">
        <v>162</v>
      </c>
      <c r="E18" s="26">
        <f ca="1">Projektdaten!F46*0.001*Standardwerte!$D$6*$Q18</f>
        <v>2123.2448824867324</v>
      </c>
      <c r="F18" s="26">
        <f ca="1">Projektdaten!G46*$Q18</f>
        <v>0</v>
      </c>
      <c r="G18" s="26">
        <f ca="1">Projektdaten!H46*$Q18</f>
        <v>0</v>
      </c>
      <c r="H18" s="26">
        <f ca="1">Projektdaten!I46*$Q18</f>
        <v>0</v>
      </c>
      <c r="I18" s="26">
        <f ca="1">Projektdaten!J46*$Q18</f>
        <v>0</v>
      </c>
      <c r="J18" s="26">
        <f ca="1">Projektdaten!K46*$Q18</f>
        <v>0</v>
      </c>
      <c r="K18" s="26">
        <f ca="1">Projektdaten!L46*$Q18</f>
        <v>0</v>
      </c>
      <c r="L18" s="26">
        <f ca="1">Projektdaten!M46*$Q18</f>
        <v>0</v>
      </c>
      <c r="M18" s="167"/>
      <c r="N18" s="69"/>
      <c r="O18" s="16">
        <f ca="1">IFERROR(VLOOKUP(Projektdaten!E46,Klimastation!$AD$11:$AF$32,3,FALSE),0)</f>
        <v>2638</v>
      </c>
      <c r="P18" s="16">
        <f ca="1">Klimastation!G5</f>
        <v>3334</v>
      </c>
      <c r="Q18" s="16">
        <f ca="1">IF(O18=0,0,P18/O18)</f>
        <v>1.2638362395754359</v>
      </c>
    </row>
    <row r="19" spans="2:20" ht="15.75">
      <c r="C19" s="1" t="s">
        <v>162</v>
      </c>
      <c r="E19" s="26">
        <f ca="1">Projektdaten!F47*0.001*Standardwerte!$D$6*$Q19</f>
        <v>0</v>
      </c>
      <c r="F19" s="26">
        <f ca="1">Projektdaten!G47*$Q19</f>
        <v>0</v>
      </c>
      <c r="G19" s="26">
        <f ca="1">Projektdaten!H47*$Q19</f>
        <v>0</v>
      </c>
      <c r="H19" s="26">
        <f ca="1">Projektdaten!I47*$Q19</f>
        <v>0</v>
      </c>
      <c r="I19" s="26">
        <f ca="1">Projektdaten!J47*$Q19</f>
        <v>0</v>
      </c>
      <c r="J19" s="26">
        <f ca="1">Projektdaten!K47*$Q19</f>
        <v>0</v>
      </c>
      <c r="K19" s="26">
        <f ca="1">Projektdaten!L47*$Q19</f>
        <v>0</v>
      </c>
      <c r="L19" s="26">
        <f ca="1">Projektdaten!M47*$Q19</f>
        <v>0</v>
      </c>
      <c r="M19" s="167"/>
      <c r="N19" s="69"/>
      <c r="O19" s="16">
        <f ca="1">IFERROR(VLOOKUP(Projektdaten!E47,Klimastation!$AD$11:$AF$32,3,FALSE),0)</f>
        <v>0</v>
      </c>
      <c r="P19" s="16">
        <f ca="1">P18</f>
        <v>3334</v>
      </c>
      <c r="Q19" s="16">
        <f t="shared" ref="Q19:Q22" ca="1" si="0">IF(O19=0,0,P19/O19)</f>
        <v>0</v>
      </c>
    </row>
    <row r="20" spans="2:20" ht="15.75">
      <c r="C20" s="1" t="s">
        <v>162</v>
      </c>
      <c r="E20" s="26">
        <f ca="1">Projektdaten!F48*0.001*Standardwerte!$D$6*$Q20</f>
        <v>0</v>
      </c>
      <c r="F20" s="26">
        <f ca="1">Projektdaten!G48*$Q20</f>
        <v>0</v>
      </c>
      <c r="G20" s="26">
        <f ca="1">Projektdaten!H48*$Q20</f>
        <v>0</v>
      </c>
      <c r="H20" s="26">
        <f ca="1">Projektdaten!I48*$Q20</f>
        <v>0</v>
      </c>
      <c r="I20" s="26">
        <f ca="1">Projektdaten!J48*$Q20</f>
        <v>0</v>
      </c>
      <c r="J20" s="26">
        <f ca="1">Projektdaten!K48*$Q20</f>
        <v>0</v>
      </c>
      <c r="K20" s="26">
        <f ca="1">Projektdaten!L48*$Q20</f>
        <v>0</v>
      </c>
      <c r="L20" s="26">
        <f ca="1">Projektdaten!M48*$Q20</f>
        <v>0</v>
      </c>
      <c r="M20" s="167"/>
      <c r="N20" s="69"/>
      <c r="O20" s="16">
        <f ca="1">IFERROR(VLOOKUP(Projektdaten!E48,Klimastation!$AD$11:$AF$32,3,FALSE),0)</f>
        <v>0</v>
      </c>
      <c r="P20" s="16">
        <f ca="1">P19</f>
        <v>3334</v>
      </c>
      <c r="Q20" s="16">
        <f t="shared" ca="1" si="0"/>
        <v>0</v>
      </c>
    </row>
    <row r="21" spans="2:20" ht="15.75">
      <c r="C21" s="1" t="s">
        <v>162</v>
      </c>
      <c r="E21" s="26">
        <f ca="1">Projektdaten!F49*0.001*Standardwerte!$D$6*$Q21</f>
        <v>0</v>
      </c>
      <c r="F21" s="26">
        <f ca="1">Projektdaten!G49*$Q21</f>
        <v>0</v>
      </c>
      <c r="G21" s="26">
        <f ca="1">Projektdaten!H49*$Q21</f>
        <v>0</v>
      </c>
      <c r="H21" s="26">
        <f ca="1">Projektdaten!I49*$Q21</f>
        <v>0</v>
      </c>
      <c r="I21" s="26">
        <f ca="1">Projektdaten!J49*$Q21</f>
        <v>0</v>
      </c>
      <c r="J21" s="26">
        <f ca="1">Projektdaten!K49*$Q21</f>
        <v>0</v>
      </c>
      <c r="K21" s="26">
        <f ca="1">Projektdaten!L49*$Q21</f>
        <v>0</v>
      </c>
      <c r="L21" s="26">
        <f ca="1">Projektdaten!M49*$Q21</f>
        <v>0</v>
      </c>
      <c r="M21" s="167"/>
      <c r="N21" s="69"/>
      <c r="O21" s="16">
        <f ca="1">IFERROR(VLOOKUP(Projektdaten!E49,Klimastation!$AD$11:$AF$32,3,FALSE),0)</f>
        <v>0</v>
      </c>
      <c r="P21" s="16">
        <f t="shared" ref="P21:P22" ca="1" si="1">P20</f>
        <v>3334</v>
      </c>
      <c r="Q21" s="16">
        <f t="shared" ca="1" si="0"/>
        <v>0</v>
      </c>
    </row>
    <row r="22" spans="2:20" ht="15.75">
      <c r="C22" s="1" t="s">
        <v>162</v>
      </c>
      <c r="E22" s="26">
        <f ca="1">Projektdaten!F50*0.001*Standardwerte!$D$6*$Q22</f>
        <v>0</v>
      </c>
      <c r="F22" s="26">
        <f ca="1">Projektdaten!G50*$Q22</f>
        <v>0</v>
      </c>
      <c r="G22" s="26">
        <f ca="1">Projektdaten!H50*$Q22</f>
        <v>0</v>
      </c>
      <c r="H22" s="26">
        <f ca="1">Projektdaten!I50*$Q22</f>
        <v>0</v>
      </c>
      <c r="I22" s="26">
        <f ca="1">Projektdaten!J50*$Q22</f>
        <v>0</v>
      </c>
      <c r="J22" s="26">
        <f ca="1">Projektdaten!K50*$Q22</f>
        <v>0</v>
      </c>
      <c r="K22" s="26">
        <f ca="1">Projektdaten!L50*$Q22</f>
        <v>0</v>
      </c>
      <c r="L22" s="26">
        <f ca="1">Projektdaten!M50*$Q22</f>
        <v>0</v>
      </c>
      <c r="M22" s="167"/>
      <c r="N22" s="69"/>
      <c r="O22" s="16">
        <f ca="1">IFERROR(VLOOKUP(Projektdaten!E50,Klimastation!$AD$11:$AF$32,3,FALSE),0)</f>
        <v>0</v>
      </c>
      <c r="P22" s="16">
        <f t="shared" ca="1" si="1"/>
        <v>3334</v>
      </c>
      <c r="Q22" s="16">
        <f t="shared" ca="1" si="0"/>
        <v>0</v>
      </c>
    </row>
    <row r="23" spans="2:20" ht="15.75">
      <c r="B23" s="1" t="s">
        <v>21</v>
      </c>
      <c r="C23" s="1" t="s">
        <v>164</v>
      </c>
      <c r="D23" s="1" t="s">
        <v>26</v>
      </c>
      <c r="E23" s="16">
        <f>Standardwerte!E6</f>
        <v>12.5</v>
      </c>
      <c r="F23" s="16">
        <v>1</v>
      </c>
      <c r="G23" s="16">
        <f>Standardwerte!E8</f>
        <v>5.5</v>
      </c>
      <c r="H23" s="16">
        <f>Standardwerte!E9</f>
        <v>5.5</v>
      </c>
      <c r="I23" s="16">
        <v>1</v>
      </c>
      <c r="J23" s="16">
        <v>1</v>
      </c>
      <c r="K23" s="16">
        <v>1</v>
      </c>
      <c r="L23" s="16">
        <v>1</v>
      </c>
      <c r="M23" s="148"/>
    </row>
    <row r="24" spans="2:20" ht="15.75">
      <c r="B24" s="1" t="s">
        <v>161</v>
      </c>
      <c r="C24" s="1" t="s">
        <v>1137</v>
      </c>
      <c r="D24" s="32" t="s">
        <v>28</v>
      </c>
      <c r="E24" s="16">
        <f>Standardwerte!I6</f>
        <v>0.78</v>
      </c>
      <c r="F24" s="16">
        <f>Standardwerte!I7</f>
        <v>0.82</v>
      </c>
      <c r="G24" s="16">
        <f>Standardwerte!I8</f>
        <v>0.65</v>
      </c>
      <c r="H24" s="16">
        <f>Standardwerte!I9</f>
        <v>0.55000000000000004</v>
      </c>
      <c r="I24" s="16">
        <f>Standardwerte!I10</f>
        <v>2.1</v>
      </c>
      <c r="J24" s="16">
        <f>Standardwerte!I11</f>
        <v>2.9</v>
      </c>
      <c r="K24" s="16">
        <f>Standardwerte!I12</f>
        <v>2.7</v>
      </c>
      <c r="L24" s="16">
        <f>Standardwerte!I13</f>
        <v>0.98</v>
      </c>
      <c r="M24" s="148" t="s">
        <v>189</v>
      </c>
      <c r="N24" s="1" t="s">
        <v>1206</v>
      </c>
    </row>
    <row r="25" spans="2:20" ht="15.75">
      <c r="B25" s="1" t="s">
        <v>163</v>
      </c>
      <c r="C25" s="1" t="s">
        <v>165</v>
      </c>
      <c r="D25" s="1" t="s">
        <v>131</v>
      </c>
      <c r="E25" s="26">
        <f ca="1">IF(SUM(E18:E22)=0,0,AVERAGEIF(E18:E22,"&lt;&gt;0")*E23*E24)</f>
        <v>20701.637604245643</v>
      </c>
      <c r="F25" s="26">
        <f ca="1">IF(SUM(F18:F22)=0,0,AVERAGEIF(F18:F22,"&lt;&gt;0")*F23*F24)</f>
        <v>0</v>
      </c>
      <c r="G25" s="26">
        <f ca="1">IF(SUM(G18:G22)=0,0,AVERAGEIF(G18:G22,"&lt;&gt;0")*G23*G24)</f>
        <v>0</v>
      </c>
      <c r="H25" s="26">
        <f ca="1">IF(SUM(H18:H22)=0,0,AVERAGEIF(H18:H22,"&lt;&gt;0")*H23*H24)</f>
        <v>0</v>
      </c>
      <c r="I25" s="26">
        <f t="shared" ref="I25:L25" ca="1" si="2">IF(SUM(I18:I22)=0,0,AVERAGEIF(I18:I22,"&lt;&gt;0")*I23*I24)</f>
        <v>0</v>
      </c>
      <c r="J25" s="26">
        <f t="shared" ca="1" si="2"/>
        <v>0</v>
      </c>
      <c r="K25" s="26">
        <f t="shared" ca="1" si="2"/>
        <v>0</v>
      </c>
      <c r="L25" s="26">
        <f t="shared" ca="1" si="2"/>
        <v>0</v>
      </c>
      <c r="M25" s="26">
        <f ca="1">SUM(E25:L25)</f>
        <v>20701.637604245643</v>
      </c>
      <c r="N25" s="26">
        <f ca="1">Energie!M25-IF(Auswahllisten!G122=1,Energie!H9,0)</f>
        <v>20701.637604245643</v>
      </c>
      <c r="O25" s="69"/>
      <c r="P25" s="69"/>
      <c r="Q25" s="69"/>
    </row>
    <row r="26" spans="2:20" ht="15.75">
      <c r="B26" s="1" t="s">
        <v>161</v>
      </c>
      <c r="C26" s="1" t="s">
        <v>1138</v>
      </c>
      <c r="D26" s="32" t="s">
        <v>28</v>
      </c>
      <c r="E26" s="16">
        <f>Standardwerte!J6</f>
        <v>0.91</v>
      </c>
      <c r="F26" s="16">
        <f>Standardwerte!J7</f>
        <v>0.95</v>
      </c>
      <c r="G26" s="16">
        <f>Standardwerte!J8</f>
        <v>0.85</v>
      </c>
      <c r="H26" s="16">
        <f>Standardwerte!J9</f>
        <v>0.75</v>
      </c>
      <c r="I26" s="16">
        <f>Standardwerte!J10</f>
        <v>2.2999999999999998</v>
      </c>
      <c r="J26" s="16">
        <f>Standardwerte!J11</f>
        <v>3.1</v>
      </c>
      <c r="K26" s="16">
        <f>Standardwerte!J12</f>
        <v>2.9</v>
      </c>
      <c r="L26" s="16">
        <f>Standardwerte!J13</f>
        <v>0.99</v>
      </c>
      <c r="M26" s="148"/>
    </row>
    <row r="27" spans="2:20" ht="15.75">
      <c r="B27" s="1" t="s">
        <v>171</v>
      </c>
      <c r="C27" s="1" t="s">
        <v>1139</v>
      </c>
      <c r="D27" s="32" t="s">
        <v>28</v>
      </c>
      <c r="E27" s="16">
        <f>0.5*(1+E26)</f>
        <v>0.95500000000000007</v>
      </c>
      <c r="F27" s="16">
        <f t="shared" ref="F27:L27" si="3">0.5*(1+F26)</f>
        <v>0.97499999999999998</v>
      </c>
      <c r="G27" s="16">
        <f t="shared" si="3"/>
        <v>0.92500000000000004</v>
      </c>
      <c r="H27" s="16">
        <f t="shared" si="3"/>
        <v>0.875</v>
      </c>
      <c r="I27" s="16">
        <f t="shared" si="3"/>
        <v>1.65</v>
      </c>
      <c r="J27" s="16">
        <f t="shared" si="3"/>
        <v>2.0499999999999998</v>
      </c>
      <c r="K27" s="16">
        <f t="shared" si="3"/>
        <v>1.95</v>
      </c>
      <c r="L27" s="16">
        <f t="shared" si="3"/>
        <v>0.995</v>
      </c>
      <c r="M27" s="148"/>
    </row>
    <row r="28" spans="2:20">
      <c r="B28" s="1" t="s">
        <v>173</v>
      </c>
      <c r="C28" s="1" t="s">
        <v>174</v>
      </c>
      <c r="D28" s="1" t="s">
        <v>190</v>
      </c>
      <c r="E28" s="16">
        <f ca="1">Standardwerte!G69</f>
        <v>2300</v>
      </c>
      <c r="F28" s="16">
        <f ca="1">E28</f>
        <v>2300</v>
      </c>
      <c r="G28" s="16">
        <f ca="1">F28</f>
        <v>2300</v>
      </c>
      <c r="H28" s="16">
        <f t="shared" ref="H28:L28" ca="1" si="4">G28</f>
        <v>2300</v>
      </c>
      <c r="I28" s="16">
        <f t="shared" ca="1" si="4"/>
        <v>2300</v>
      </c>
      <c r="J28" s="16">
        <f t="shared" ca="1" si="4"/>
        <v>2300</v>
      </c>
      <c r="K28" s="16">
        <f t="shared" ca="1" si="4"/>
        <v>2300</v>
      </c>
      <c r="L28" s="16">
        <f t="shared" ca="1" si="4"/>
        <v>2300</v>
      </c>
      <c r="M28" s="148"/>
    </row>
    <row r="29" spans="2:20">
      <c r="B29" s="1" t="s">
        <v>172</v>
      </c>
      <c r="C29" s="1" t="s">
        <v>1140</v>
      </c>
      <c r="D29" s="1" t="s">
        <v>136</v>
      </c>
      <c r="E29" s="22">
        <f ca="1">IF(E28=0,0,E25*E27/(E28*E26))</f>
        <v>9.4458021557833689</v>
      </c>
      <c r="F29" s="22">
        <f t="shared" ref="F29:L29" ca="1" si="5">IF(F28=0,0,F25*F27/(F28*F26))</f>
        <v>0</v>
      </c>
      <c r="G29" s="22">
        <f t="shared" ca="1" si="5"/>
        <v>0</v>
      </c>
      <c r="H29" s="22">
        <f t="shared" ca="1" si="5"/>
        <v>0</v>
      </c>
      <c r="I29" s="22">
        <f t="shared" ca="1" si="5"/>
        <v>0</v>
      </c>
      <c r="J29" s="22">
        <f t="shared" ca="1" si="5"/>
        <v>0</v>
      </c>
      <c r="K29" s="22">
        <f t="shared" ca="1" si="5"/>
        <v>0</v>
      </c>
      <c r="L29" s="22">
        <f t="shared" ca="1" si="5"/>
        <v>0</v>
      </c>
      <c r="M29" s="22">
        <f ca="1">SUM(E29:L29)</f>
        <v>9.4458021557833689</v>
      </c>
      <c r="N29" s="33"/>
      <c r="O29" s="33"/>
      <c r="P29" s="33"/>
      <c r="Q29" s="33"/>
    </row>
    <row r="32" spans="2:20">
      <c r="E32" s="50" t="s">
        <v>954</v>
      </c>
      <c r="F32" s="2"/>
      <c r="G32" s="50" t="s">
        <v>955</v>
      </c>
      <c r="H32" s="2"/>
      <c r="I32" s="50" t="s">
        <v>956</v>
      </c>
      <c r="J32" s="2"/>
      <c r="K32" s="50" t="s">
        <v>957</v>
      </c>
      <c r="L32" s="2"/>
      <c r="M32" s="50" t="s">
        <v>958</v>
      </c>
      <c r="N32" s="2"/>
      <c r="O32" s="50" t="s">
        <v>959</v>
      </c>
      <c r="P32" s="2"/>
      <c r="Q32" s="50" t="s">
        <v>960</v>
      </c>
      <c r="R32" s="2"/>
      <c r="S32" s="50" t="s">
        <v>961</v>
      </c>
      <c r="T32" s="2"/>
    </row>
    <row r="33" spans="2:20">
      <c r="E33" s="16" t="s">
        <v>1141</v>
      </c>
      <c r="F33" s="16" t="s">
        <v>1142</v>
      </c>
      <c r="G33" s="16" t="s">
        <v>1141</v>
      </c>
      <c r="H33" s="16" t="s">
        <v>1142</v>
      </c>
      <c r="I33" s="16" t="s">
        <v>1141</v>
      </c>
      <c r="J33" s="16" t="s">
        <v>1142</v>
      </c>
      <c r="K33" s="16" t="s">
        <v>1141</v>
      </c>
      <c r="L33" s="16" t="s">
        <v>1142</v>
      </c>
      <c r="M33" s="16" t="s">
        <v>1141</v>
      </c>
      <c r="N33" s="16" t="s">
        <v>1142</v>
      </c>
      <c r="O33" s="16" t="s">
        <v>1141</v>
      </c>
      <c r="P33" s="16" t="s">
        <v>1142</v>
      </c>
      <c r="Q33" s="16" t="s">
        <v>1141</v>
      </c>
      <c r="R33" s="16" t="s">
        <v>1142</v>
      </c>
      <c r="S33" s="16" t="s">
        <v>1141</v>
      </c>
      <c r="T33" s="16" t="s">
        <v>1142</v>
      </c>
    </row>
    <row r="34" spans="2:20">
      <c r="B34" s="1" t="s">
        <v>1000</v>
      </c>
      <c r="E34" s="26" t="str">
        <f>Vergleich!F7</f>
        <v>Bitte wählen …</v>
      </c>
      <c r="F34" s="26" t="str">
        <f>Vergleich!H7</f>
        <v>Bitte wählen …</v>
      </c>
      <c r="G34" s="26" t="str">
        <f>Vergleich!K7</f>
        <v>Bitte wählen …</v>
      </c>
      <c r="H34" s="26" t="str">
        <f>Vergleich!M7</f>
        <v>Bitte wählen …</v>
      </c>
      <c r="I34" s="26" t="str">
        <f>Vergleich!P7</f>
        <v>Bitte wählen …</v>
      </c>
      <c r="J34" s="26" t="str">
        <f>Vergleich!R7</f>
        <v>Bitte wählen …</v>
      </c>
      <c r="K34" s="26" t="str">
        <f>Vergleich!U7</f>
        <v>Bitte wählen …</v>
      </c>
      <c r="L34" s="26" t="str">
        <f>Vergleich!W7</f>
        <v>Bitte wählen …</v>
      </c>
      <c r="M34" s="16"/>
      <c r="N34" s="16"/>
      <c r="O34" s="16"/>
      <c r="P34" s="16"/>
      <c r="Q34" s="16"/>
      <c r="R34" s="16"/>
      <c r="S34" s="16"/>
      <c r="T34" s="16"/>
    </row>
    <row r="35" spans="2:20">
      <c r="B35" s="1" t="s">
        <v>1144</v>
      </c>
      <c r="E35" s="16">
        <f ca="1">VLOOKUP(E34,Auswahllisten!$E$9:$F$22,2,FALSE)</f>
        <v>0</v>
      </c>
      <c r="F35" s="16">
        <f ca="1">VLOOKUP(F34,Auswahllisten!$E$9:$F$22,2,FALSE)</f>
        <v>0</v>
      </c>
      <c r="G35" s="16">
        <f ca="1">VLOOKUP(G34,Auswahllisten!$E$9:$F$22,2,FALSE)</f>
        <v>0</v>
      </c>
      <c r="H35" s="16">
        <f ca="1">VLOOKUP(H34,Auswahllisten!$E$9:$F$22,2,FALSE)</f>
        <v>0</v>
      </c>
      <c r="I35" s="16">
        <f ca="1">VLOOKUP(I34,Auswahllisten!$E$9:$F$22,2,FALSE)</f>
        <v>0</v>
      </c>
      <c r="J35" s="16">
        <f ca="1">VLOOKUP(J34,Auswahllisten!$E$9:$F$22,2,FALSE)</f>
        <v>0</v>
      </c>
      <c r="K35" s="16">
        <f ca="1">VLOOKUP(K34,Auswahllisten!$E$9:$F$22,2,FALSE)</f>
        <v>0</v>
      </c>
      <c r="L35" s="16">
        <f ca="1">VLOOKUP(L34,Auswahllisten!$E$9:$F$22,2,FALSE)</f>
        <v>0</v>
      </c>
      <c r="M35" s="16"/>
      <c r="N35" s="16"/>
      <c r="O35" s="16"/>
      <c r="P35" s="16"/>
      <c r="Q35" s="16"/>
      <c r="R35" s="16"/>
      <c r="S35" s="16"/>
      <c r="T35" s="16"/>
    </row>
    <row r="36" spans="2:20">
      <c r="B36" s="1" t="s">
        <v>1208</v>
      </c>
      <c r="E36" s="16" t="b">
        <f ca="1">(E35&lt;&gt;0)</f>
        <v>0</v>
      </c>
      <c r="F36" s="16" t="b">
        <f ca="1">(F35&lt;&gt;0)</f>
        <v>0</v>
      </c>
      <c r="G36" s="16" t="b">
        <f t="shared" ref="G36:L36" ca="1" si="6">(G35&lt;&gt;0)</f>
        <v>0</v>
      </c>
      <c r="H36" s="16" t="b">
        <f t="shared" ca="1" si="6"/>
        <v>0</v>
      </c>
      <c r="I36" s="16" t="b">
        <f t="shared" ca="1" si="6"/>
        <v>0</v>
      </c>
      <c r="J36" s="16" t="b">
        <f t="shared" ca="1" si="6"/>
        <v>0</v>
      </c>
      <c r="K36" s="16" t="b">
        <f t="shared" ca="1" si="6"/>
        <v>0</v>
      </c>
      <c r="L36" s="16" t="b">
        <f t="shared" ca="1" si="6"/>
        <v>0</v>
      </c>
      <c r="M36" s="16"/>
      <c r="N36" s="16"/>
      <c r="O36" s="16"/>
      <c r="P36" s="16"/>
      <c r="Q36" s="16"/>
      <c r="R36" s="16"/>
      <c r="S36" s="16"/>
      <c r="T36" s="16"/>
    </row>
    <row r="38" spans="2:20" ht="15.75">
      <c r="B38" s="57" t="s">
        <v>1116</v>
      </c>
    </row>
    <row r="39" spans="2:20">
      <c r="B39" s="8" t="s">
        <v>1117</v>
      </c>
    </row>
    <row r="40" spans="2:20">
      <c r="B40" s="1" t="s">
        <v>1118</v>
      </c>
      <c r="E40" s="171">
        <f ca="1">VLOOKUP(E34,Auswahllisten!$E$9:$H$22,3,FALSE)</f>
        <v>0</v>
      </c>
      <c r="F40" s="302"/>
      <c r="G40" s="171">
        <f ca="1">VLOOKUP(G34,Auswahllisten!$E$9:$H$22,3,FALSE)</f>
        <v>0</v>
      </c>
      <c r="H40" s="302"/>
      <c r="I40" s="171">
        <f ca="1">VLOOKUP(I34,Auswahllisten!$E$9:$H$22,3,FALSE)</f>
        <v>0</v>
      </c>
      <c r="J40" s="302"/>
      <c r="K40" s="171">
        <f ca="1">VLOOKUP(K34,Auswahllisten!$E$9:$H$22,3,FALSE)</f>
        <v>0</v>
      </c>
      <c r="L40" s="302"/>
      <c r="M40" s="16"/>
      <c r="N40" s="16"/>
      <c r="O40" s="16"/>
      <c r="P40" s="16"/>
      <c r="Q40" s="16"/>
      <c r="R40" s="16"/>
      <c r="S40" s="16"/>
      <c r="T40" s="16"/>
    </row>
    <row r="41" spans="2:20">
      <c r="B41" s="1" t="s">
        <v>1119</v>
      </c>
      <c r="E41" s="171">
        <f ca="1">VLOOKUP(E34,Auswahllisten!$E$9:$H$22,4,FALSE)</f>
        <v>0</v>
      </c>
      <c r="F41" s="302"/>
      <c r="G41" s="171">
        <f ca="1">VLOOKUP(G34,Auswahllisten!$E$9:$H$22,4,FALSE)</f>
        <v>0</v>
      </c>
      <c r="H41" s="302"/>
      <c r="I41" s="171">
        <f ca="1">VLOOKUP(I34,Auswahllisten!$E$9:$H$22,4,FALSE)</f>
        <v>0</v>
      </c>
      <c r="J41" s="302"/>
      <c r="K41" s="171">
        <f ca="1">VLOOKUP(K34,Auswahllisten!$E$9:$H$22,4,FALSE)</f>
        <v>0</v>
      </c>
      <c r="L41" s="302"/>
      <c r="M41" s="16"/>
      <c r="N41" s="16"/>
      <c r="O41" s="16"/>
      <c r="P41" s="16"/>
      <c r="Q41" s="16"/>
      <c r="R41" s="16"/>
      <c r="S41" s="16"/>
      <c r="T41" s="16"/>
    </row>
    <row r="42" spans="2:20">
      <c r="B42" s="8" t="s">
        <v>1123</v>
      </c>
    </row>
    <row r="43" spans="2:20">
      <c r="B43" s="1" t="s">
        <v>847</v>
      </c>
      <c r="D43" s="35" t="s">
        <v>695</v>
      </c>
      <c r="E43" s="16">
        <f ca="1">Vergleich!F12*E36</f>
        <v>0</v>
      </c>
      <c r="F43" s="302"/>
      <c r="G43" s="16">
        <f ca="1">Vergleich!K12*G36</f>
        <v>0</v>
      </c>
      <c r="H43" s="302"/>
      <c r="I43" s="16">
        <f ca="1">Vergleich!P12*I36</f>
        <v>0</v>
      </c>
      <c r="J43" s="302"/>
      <c r="K43" s="16">
        <f ca="1">Vergleich!U12*K36</f>
        <v>0</v>
      </c>
      <c r="L43" s="302"/>
      <c r="M43" s="16"/>
      <c r="N43" s="16"/>
      <c r="O43" s="16"/>
      <c r="P43" s="16"/>
      <c r="Q43" s="16"/>
      <c r="R43" s="16"/>
      <c r="S43" s="16"/>
      <c r="T43" s="16"/>
    </row>
    <row r="44" spans="2:20">
      <c r="B44" s="1" t="s">
        <v>1121</v>
      </c>
      <c r="D44" s="140" t="s">
        <v>28</v>
      </c>
      <c r="E44" s="16">
        <f ca="1">VLOOKUP(Vergleich!F13,Auswahllisten!$E$83:$F$87,2,FALSE)</f>
        <v>3</v>
      </c>
      <c r="F44" s="302"/>
      <c r="G44" s="16">
        <f ca="1">VLOOKUP(Vergleich!K13,Auswahllisten!$E$83:$F$87,2,FALSE)</f>
        <v>3</v>
      </c>
      <c r="H44" s="302"/>
      <c r="I44" s="16">
        <f ca="1">VLOOKUP(Vergleich!P13,Auswahllisten!$E$83:$F$87,2,FALSE)</f>
        <v>3</v>
      </c>
      <c r="J44" s="302"/>
      <c r="K44" s="16">
        <f ca="1">VLOOKUP(Vergleich!U13,Auswahllisten!$E$83:$F$87,2,FALSE)</f>
        <v>3</v>
      </c>
      <c r="L44" s="302"/>
      <c r="M44" s="16"/>
      <c r="N44" s="16"/>
      <c r="O44" s="16"/>
      <c r="P44" s="16"/>
      <c r="Q44" s="16"/>
      <c r="R44" s="16"/>
      <c r="S44" s="16"/>
      <c r="T44" s="16"/>
    </row>
    <row r="45" spans="2:20">
      <c r="B45" s="1" t="s">
        <v>1122</v>
      </c>
      <c r="D45" s="140" t="s">
        <v>28</v>
      </c>
      <c r="E45" s="16">
        <f ca="1">VLOOKUP(Vergleich!F14,Auswahllisten!$E$89:$F$91,2,FALSE)</f>
        <v>2</v>
      </c>
      <c r="F45" s="302"/>
      <c r="G45" s="16">
        <f ca="1">VLOOKUP(Vergleich!K14,Auswahllisten!$E$89:$F$91,2,FALSE)</f>
        <v>2</v>
      </c>
      <c r="H45" s="302"/>
      <c r="I45" s="16">
        <f ca="1">VLOOKUP(Vergleich!P14,Auswahllisten!$E$89:$F$91,2,FALSE)</f>
        <v>2</v>
      </c>
      <c r="J45" s="302"/>
      <c r="K45" s="16">
        <f ca="1">VLOOKUP(Vergleich!U14,Auswahllisten!$E$89:$F$91,2,FALSE)</f>
        <v>2</v>
      </c>
      <c r="L45" s="302"/>
      <c r="M45" s="16"/>
      <c r="N45" s="16"/>
      <c r="O45" s="16"/>
      <c r="P45" s="16"/>
      <c r="Q45" s="16"/>
      <c r="R45" s="16"/>
      <c r="S45" s="16"/>
      <c r="T45" s="16"/>
    </row>
    <row r="46" spans="2:20">
      <c r="B46" s="1" t="s">
        <v>838</v>
      </c>
      <c r="D46" s="140" t="s">
        <v>28</v>
      </c>
      <c r="E46" s="16" cm="1">
        <f t="array" aca="1" ref="E46" ca="1">INDEX(Auswahllisten!$I$85:$M$87,Energie!E45,Energie!E44)</f>
        <v>1.05</v>
      </c>
      <c r="F46" s="302"/>
      <c r="G46" s="16" cm="1">
        <f t="array" aca="1" ref="G46" ca="1">INDEX(Auswahllisten!$I$85:$M$87,Energie!G45,Energie!G44)</f>
        <v>1.05</v>
      </c>
      <c r="H46" s="302"/>
      <c r="I46" s="16" cm="1">
        <f t="array" aca="1" ref="I46" ca="1">INDEX(Auswahllisten!$I$85:$M$87,Energie!I45,Energie!I44)</f>
        <v>1.05</v>
      </c>
      <c r="J46" s="302"/>
      <c r="K46" s="16" cm="1">
        <f t="array" aca="1" ref="K46" ca="1">INDEX(Auswahllisten!$I$85:$M$87,Energie!K45,Energie!K44)</f>
        <v>1.05</v>
      </c>
      <c r="L46" s="302"/>
      <c r="M46" s="16"/>
      <c r="N46" s="16"/>
      <c r="O46" s="16"/>
      <c r="P46" s="16"/>
      <c r="Q46" s="16"/>
      <c r="R46" s="16"/>
      <c r="S46" s="16"/>
      <c r="T46" s="16"/>
    </row>
    <row r="47" spans="2:20">
      <c r="B47" s="1" t="s">
        <v>839</v>
      </c>
      <c r="D47" s="35" t="s">
        <v>840</v>
      </c>
      <c r="E47" s="16">
        <f>Projektdaten!E22</f>
        <v>0</v>
      </c>
      <c r="F47" s="302"/>
      <c r="G47" s="16">
        <f>Projektdaten!$E$22</f>
        <v>0</v>
      </c>
      <c r="H47" s="302"/>
      <c r="I47" s="16">
        <f>Projektdaten!$E$22</f>
        <v>0</v>
      </c>
      <c r="J47" s="302"/>
      <c r="K47" s="16">
        <f>Projektdaten!$E$22</f>
        <v>0</v>
      </c>
      <c r="L47" s="302"/>
      <c r="M47" s="16"/>
      <c r="N47" s="16"/>
      <c r="O47" s="16"/>
      <c r="P47" s="16"/>
      <c r="Q47" s="16"/>
      <c r="R47" s="16"/>
      <c r="S47" s="16"/>
      <c r="T47" s="16"/>
    </row>
    <row r="49" spans="2:20">
      <c r="B49" s="8" t="s">
        <v>836</v>
      </c>
    </row>
    <row r="50" spans="2:20">
      <c r="B50" s="83" t="s">
        <v>841</v>
      </c>
      <c r="E50" s="16">
        <f>IF(E47&lt;800,640,700)</f>
        <v>640</v>
      </c>
      <c r="F50" s="302"/>
      <c r="G50" s="16">
        <f>IF(G47&lt;800,640,700)</f>
        <v>640</v>
      </c>
      <c r="H50" s="302"/>
      <c r="I50" s="16">
        <f>IF(I47&lt;800,640,700)</f>
        <v>640</v>
      </c>
      <c r="J50" s="302"/>
      <c r="K50" s="16">
        <f>IF(K47&lt;800,640,700)</f>
        <v>640</v>
      </c>
      <c r="L50" s="302"/>
      <c r="M50" s="16"/>
      <c r="N50" s="16"/>
      <c r="O50" s="16"/>
      <c r="P50" s="16"/>
      <c r="Q50" s="16"/>
      <c r="R50" s="16"/>
      <c r="S50" s="16"/>
      <c r="T50" s="16"/>
    </row>
    <row r="51" spans="2:20">
      <c r="B51" s="83" t="s">
        <v>837</v>
      </c>
      <c r="E51" s="26">
        <f ca="1">IFERROR(MIN(E40*$K$5,E46*E50*E43/(1+106*E43/$K$5)),0)</f>
        <v>0</v>
      </c>
      <c r="F51" s="302"/>
      <c r="G51" s="26">
        <f ca="1">IFERROR(MIN(G40*$K$5,G46*G50*G43/(1+106*G43/$K$5)),0)</f>
        <v>0</v>
      </c>
      <c r="H51" s="302"/>
      <c r="I51" s="26">
        <f ca="1">IFERROR(MIN(I40*$K$5,I46*I50*I43/(1+106*I43/$K$5)),0)</f>
        <v>0</v>
      </c>
      <c r="J51" s="302"/>
      <c r="K51" s="26">
        <f ca="1">IFERROR(MIN(K40*$K$5,K46*K50*K43/(1+106*K43/$K$5)),0)</f>
        <v>0</v>
      </c>
      <c r="L51" s="302"/>
      <c r="M51" s="26"/>
      <c r="N51" s="16"/>
      <c r="O51" s="26"/>
      <c r="P51" s="16"/>
      <c r="Q51" s="26"/>
      <c r="R51" s="16"/>
      <c r="S51" s="26"/>
      <c r="T51" s="16"/>
    </row>
    <row r="52" spans="2:20">
      <c r="B52" s="83" t="s">
        <v>846</v>
      </c>
      <c r="E52" s="26">
        <f ca="1">$K$4-E51</f>
        <v>20700</v>
      </c>
      <c r="F52" s="302"/>
      <c r="G52" s="26">
        <f ca="1">$K$4-G51</f>
        <v>20700</v>
      </c>
      <c r="H52" s="302"/>
      <c r="I52" s="26">
        <f ca="1">$K$4-I51</f>
        <v>20700</v>
      </c>
      <c r="J52" s="302"/>
      <c r="K52" s="26">
        <f ca="1">$K$4-K51</f>
        <v>20700</v>
      </c>
      <c r="L52" s="302"/>
      <c r="M52" s="26"/>
      <c r="N52" s="16"/>
      <c r="O52" s="26"/>
      <c r="P52" s="16"/>
      <c r="Q52" s="26"/>
      <c r="R52" s="16"/>
      <c r="S52" s="26"/>
      <c r="T52" s="16"/>
    </row>
    <row r="54" spans="2:20">
      <c r="B54" s="8" t="s">
        <v>842</v>
      </c>
    </row>
    <row r="55" spans="2:20">
      <c r="B55" s="83" t="s">
        <v>848</v>
      </c>
      <c r="D55" s="35" t="s">
        <v>131</v>
      </c>
      <c r="E55" s="171">
        <f>IF(E47&lt;800,440,490)</f>
        <v>440</v>
      </c>
      <c r="F55" s="302"/>
      <c r="G55" s="171">
        <f>IF(G47&lt;800,440,490)</f>
        <v>440</v>
      </c>
      <c r="H55" s="302"/>
      <c r="I55" s="171">
        <f>IF(I47&lt;800,440,490)</f>
        <v>440</v>
      </c>
      <c r="J55" s="302"/>
      <c r="K55" s="171">
        <f>IF(K47&lt;800,440,490)</f>
        <v>440</v>
      </c>
      <c r="L55" s="302"/>
      <c r="M55" s="171"/>
      <c r="N55" s="16"/>
      <c r="O55" s="171"/>
      <c r="P55" s="16"/>
      <c r="Q55" s="171"/>
      <c r="R55" s="16"/>
      <c r="S55" s="171"/>
      <c r="T55" s="16"/>
    </row>
    <row r="56" spans="2:20">
      <c r="B56" s="83" t="s">
        <v>843</v>
      </c>
      <c r="D56" s="35" t="s">
        <v>131</v>
      </c>
      <c r="E56" s="89">
        <f ca="1">IFERROR(MIN(E41*($K$4+$K$5),E46*E55*E43/(1+170*E43/($K$4+$K$5))),0)</f>
        <v>0</v>
      </c>
      <c r="F56" s="302"/>
      <c r="G56" s="89">
        <f ca="1">IFERROR(MIN(G41*($K$4+$K$5),G46*G55*G43/(1+170*G43/($K$4+$K$5))),0)</f>
        <v>0</v>
      </c>
      <c r="H56" s="302"/>
      <c r="I56" s="89">
        <f ca="1">IFERROR(MIN(I41*($K$4+$K$5),I46*I55*I43/(1+170*I43/($K$4+$K$5))),0)</f>
        <v>0</v>
      </c>
      <c r="J56" s="302"/>
      <c r="K56" s="89">
        <f ca="1">IFERROR(MIN(K41*($K$4+$K$5),K46*K55*K43/(1+170*K43/($K$4+$K$5))),0)</f>
        <v>0</v>
      </c>
      <c r="L56" s="302"/>
      <c r="M56" s="89"/>
      <c r="N56" s="16"/>
      <c r="O56" s="89"/>
      <c r="P56" s="16"/>
      <c r="Q56" s="89"/>
      <c r="R56" s="16"/>
      <c r="S56" s="89"/>
      <c r="T56" s="16"/>
    </row>
    <row r="57" spans="2:20">
      <c r="B57" s="83" t="s">
        <v>844</v>
      </c>
      <c r="D57" s="35" t="s">
        <v>131</v>
      </c>
      <c r="E57" s="89">
        <f ca="1">MAX(MIN(E41*$K$4,E56-0.7*$K$5),0)</f>
        <v>0</v>
      </c>
      <c r="F57" s="302"/>
      <c r="G57" s="89">
        <f ca="1">MAX(MIN(G41*$K$4,G56-0.7*$K$5),0)</f>
        <v>0</v>
      </c>
      <c r="H57" s="302"/>
      <c r="I57" s="89">
        <f ca="1">MAX(MIN(I41*$K$4,I56-0.7*$K$5),0)</f>
        <v>0</v>
      </c>
      <c r="J57" s="302"/>
      <c r="K57" s="89">
        <f ca="1">MAX(MIN(K41*$K$4,K56-0.7*$K$5),0)</f>
        <v>0</v>
      </c>
      <c r="L57" s="302"/>
      <c r="M57" s="171"/>
      <c r="N57" s="16"/>
      <c r="O57" s="171"/>
      <c r="P57" s="16"/>
      <c r="Q57" s="171"/>
      <c r="R57" s="16"/>
      <c r="S57" s="171"/>
      <c r="T57" s="16"/>
    </row>
    <row r="58" spans="2:20">
      <c r="B58" s="83" t="s">
        <v>845</v>
      </c>
      <c r="D58" s="35" t="s">
        <v>131</v>
      </c>
      <c r="E58" s="89">
        <f ca="1">E56-E57</f>
        <v>0</v>
      </c>
      <c r="F58" s="302"/>
      <c r="G58" s="89">
        <f ca="1">G56-G57</f>
        <v>0</v>
      </c>
      <c r="H58" s="302"/>
      <c r="I58" s="89">
        <f ca="1">I56-I57</f>
        <v>0</v>
      </c>
      <c r="J58" s="302"/>
      <c r="K58" s="89">
        <f ca="1">K56-K57</f>
        <v>0</v>
      </c>
      <c r="L58" s="302"/>
      <c r="M58" s="89"/>
      <c r="N58" s="16"/>
      <c r="O58" s="89"/>
      <c r="P58" s="16"/>
      <c r="Q58" s="89"/>
      <c r="R58" s="16"/>
      <c r="S58" s="89"/>
      <c r="T58" s="16"/>
    </row>
    <row r="59" spans="2:20">
      <c r="B59" s="83" t="s">
        <v>846</v>
      </c>
      <c r="D59" s="35" t="s">
        <v>131</v>
      </c>
      <c r="E59" s="89">
        <f ca="1">($K$4+$K$5)-E56</f>
        <v>20700</v>
      </c>
      <c r="F59" s="302"/>
      <c r="G59" s="89">
        <f ca="1">($K$4+$K$5)-G56</f>
        <v>20700</v>
      </c>
      <c r="H59" s="302"/>
      <c r="I59" s="89">
        <f ca="1">($K$4+$K$5)-I56</f>
        <v>20700</v>
      </c>
      <c r="J59" s="302"/>
      <c r="K59" s="89">
        <f ca="1">($K$4+$K$5)-K56</f>
        <v>20700</v>
      </c>
      <c r="L59" s="302"/>
      <c r="M59" s="89"/>
      <c r="N59" s="16"/>
      <c r="O59" s="89"/>
      <c r="P59" s="16"/>
      <c r="Q59" s="89"/>
      <c r="R59" s="16"/>
      <c r="S59" s="89"/>
      <c r="T59" s="16"/>
    </row>
    <row r="61" spans="2:20">
      <c r="B61" s="65" t="s">
        <v>859</v>
      </c>
    </row>
    <row r="62" spans="2:20">
      <c r="B62" s="83" t="s">
        <v>862</v>
      </c>
      <c r="D62" s="172" t="s">
        <v>131</v>
      </c>
      <c r="E62" s="16">
        <f ca="1">ROUND(IFERROR(IF(Vergleich!F10=Auswahllisten!$E$107,Energie!E57,0),0),-2)</f>
        <v>0</v>
      </c>
      <c r="F62" s="302"/>
      <c r="G62" s="16">
        <f ca="1">ROUND(IFERROR(IF(Vergleich!K10=Auswahllisten!$E$107,Energie!G57,0),0),-2)</f>
        <v>0</v>
      </c>
      <c r="H62" s="302"/>
      <c r="I62" s="16">
        <f ca="1">ROUND(IFERROR(IF(Vergleich!P10=Auswahllisten!$E$107,Energie!I57,0),0),-2)</f>
        <v>0</v>
      </c>
      <c r="J62" s="302"/>
      <c r="K62" s="16">
        <f ca="1">ROUND(IFERROR(IF(Vergleich!U10=Auswahllisten!$E$107,Energie!K57,0),0),-2)</f>
        <v>0</v>
      </c>
      <c r="L62" s="302"/>
      <c r="M62" s="16"/>
      <c r="N62" s="16"/>
      <c r="O62" s="16"/>
      <c r="P62" s="16"/>
      <c r="Q62" s="16"/>
      <c r="R62" s="16"/>
      <c r="S62" s="16"/>
      <c r="T62" s="16"/>
    </row>
    <row r="63" spans="2:20">
      <c r="B63" s="83" t="s">
        <v>861</v>
      </c>
      <c r="D63" s="172" t="s">
        <v>131</v>
      </c>
      <c r="E63" s="26">
        <f ca="1">ROUND(IFERROR(IF(Vergleich!F10=Auswahllisten!$E$105,0,IF(Vergleich!F10=Auswahllisten!$E$106,E51,E58)),0),-2)</f>
        <v>0</v>
      </c>
      <c r="F63" s="303"/>
      <c r="G63" s="26">
        <f ca="1">ROUND(IFERROR(IF(Vergleich!K10=Auswahllisten!$E$105,0,IF(Vergleich!K10=Auswahllisten!$E$106,G51,G58)),0),-2)</f>
        <v>0</v>
      </c>
      <c r="H63" s="303"/>
      <c r="I63" s="26">
        <f ca="1">ROUND(IFERROR(IF(Vergleich!P10=Auswahllisten!$E$105,0,IF(Vergleich!P10=Auswahllisten!$E$106,I51,I58)),0),-2)</f>
        <v>0</v>
      </c>
      <c r="J63" s="303"/>
      <c r="K63" s="26">
        <f ca="1">ROUND(IFERROR(IF(Vergleich!U10=Auswahllisten!$E$105,0,IF(Vergleich!U10=Auswahllisten!$E$106,K51,K58)),0),-2)</f>
        <v>0</v>
      </c>
      <c r="L63" s="303"/>
      <c r="M63" s="16"/>
      <c r="N63" s="16"/>
      <c r="O63" s="16"/>
      <c r="P63" s="16"/>
      <c r="Q63" s="16"/>
      <c r="R63" s="16"/>
      <c r="S63" s="16"/>
      <c r="T63" s="16"/>
    </row>
    <row r="64" spans="2:20">
      <c r="B64" s="83" t="s">
        <v>1127</v>
      </c>
      <c r="D64" s="172" t="s">
        <v>131</v>
      </c>
      <c r="E64" s="26">
        <f ca="1">SUM(E62:E63)</f>
        <v>0</v>
      </c>
      <c r="F64" s="302"/>
      <c r="G64" s="26">
        <f ca="1">SUM(G62:G63)</f>
        <v>0</v>
      </c>
      <c r="H64" s="302"/>
      <c r="I64" s="26">
        <f ca="1">SUM(I62:I63)</f>
        <v>0</v>
      </c>
      <c r="J64" s="302"/>
      <c r="K64" s="26">
        <f ca="1">SUM(K62:K63)</f>
        <v>0</v>
      </c>
      <c r="L64" s="302"/>
      <c r="M64" s="26"/>
      <c r="N64" s="16"/>
      <c r="O64" s="26"/>
      <c r="P64" s="16"/>
      <c r="Q64" s="26"/>
      <c r="R64" s="16"/>
      <c r="S64" s="26"/>
      <c r="T64" s="16"/>
    </row>
    <row r="65" spans="2:20">
      <c r="B65" s="65" t="s">
        <v>1216</v>
      </c>
      <c r="D65" s="35"/>
      <c r="E65" s="69"/>
      <c r="F65" s="69"/>
      <c r="G65" s="69"/>
      <c r="H65" s="69"/>
      <c r="I65" s="69"/>
      <c r="J65" s="69"/>
      <c r="K65" s="69"/>
      <c r="L65" s="69"/>
      <c r="M65" s="69"/>
      <c r="N65" s="69"/>
      <c r="O65" s="69"/>
      <c r="P65" s="69"/>
      <c r="Q65" s="69"/>
      <c r="R65" s="69"/>
      <c r="S65" s="69"/>
    </row>
    <row r="66" spans="2:20">
      <c r="B66" s="83" t="s">
        <v>862</v>
      </c>
      <c r="D66" s="172" t="s">
        <v>131</v>
      </c>
      <c r="E66" s="26">
        <f ca="1">E62*Vergleich!F21</f>
        <v>0</v>
      </c>
      <c r="F66" s="26">
        <f ca="1">E62-E66</f>
        <v>0</v>
      </c>
      <c r="G66" s="26">
        <f ca="1">G62*Vergleich!K21</f>
        <v>0</v>
      </c>
      <c r="H66" s="26">
        <f ca="1">G62-G66</f>
        <v>0</v>
      </c>
      <c r="I66" s="26">
        <f t="shared" ref="I66:L66" ca="1" si="7">H62-H66</f>
        <v>0</v>
      </c>
      <c r="J66" s="26">
        <f t="shared" ca="1" si="7"/>
        <v>0</v>
      </c>
      <c r="K66" s="26">
        <f t="shared" ca="1" si="7"/>
        <v>0</v>
      </c>
      <c r="L66" s="26">
        <f t="shared" ca="1" si="7"/>
        <v>0</v>
      </c>
      <c r="M66" s="26"/>
      <c r="N66" s="26"/>
      <c r="O66" s="26"/>
      <c r="P66" s="26"/>
      <c r="Q66" s="26"/>
      <c r="R66" s="26"/>
      <c r="S66" s="26"/>
      <c r="T66" s="16"/>
    </row>
    <row r="67" spans="2:20">
      <c r="B67" s="83" t="s">
        <v>861</v>
      </c>
      <c r="D67" s="172" t="s">
        <v>131</v>
      </c>
      <c r="E67" s="26">
        <f ca="1">E63*Vergleich!F22</f>
        <v>0</v>
      </c>
      <c r="F67" s="26">
        <f ca="1">E63-E67</f>
        <v>0</v>
      </c>
      <c r="G67" s="26">
        <f ca="1">G63*Vergleich!K22</f>
        <v>0</v>
      </c>
      <c r="H67" s="26">
        <f ca="1">G63-G67</f>
        <v>0</v>
      </c>
      <c r="I67" s="26">
        <f ca="1">I63*Vergleich!P22</f>
        <v>0</v>
      </c>
      <c r="J67" s="26">
        <f ca="1">I63-I67</f>
        <v>0</v>
      </c>
      <c r="K67" s="26">
        <f ca="1">K63*Vergleich!U22</f>
        <v>0</v>
      </c>
      <c r="L67" s="26">
        <f ca="1">K63-K67</f>
        <v>0</v>
      </c>
      <c r="M67" s="26"/>
      <c r="N67" s="26"/>
      <c r="O67" s="26"/>
      <c r="P67" s="26"/>
      <c r="Q67" s="26"/>
      <c r="R67" s="26"/>
      <c r="S67" s="26"/>
      <c r="T67" s="16"/>
    </row>
    <row r="68" spans="2:20">
      <c r="B68" s="83" t="s">
        <v>1127</v>
      </c>
      <c r="D68" s="172" t="s">
        <v>131</v>
      </c>
      <c r="E68" s="26">
        <f ca="1">SUM(E66:E67)</f>
        <v>0</v>
      </c>
      <c r="F68" s="26">
        <f ca="1">SUM(F66:F67)</f>
        <v>0</v>
      </c>
      <c r="G68" s="26">
        <f ca="1">SUM(G66:G67)</f>
        <v>0</v>
      </c>
      <c r="H68" s="26">
        <f ca="1">SUM(H66:H67)</f>
        <v>0</v>
      </c>
      <c r="I68" s="26">
        <f t="shared" ref="I68:L68" ca="1" si="8">SUM(I66:I67)</f>
        <v>0</v>
      </c>
      <c r="J68" s="26">
        <f t="shared" ca="1" si="8"/>
        <v>0</v>
      </c>
      <c r="K68" s="26">
        <f t="shared" ca="1" si="8"/>
        <v>0</v>
      </c>
      <c r="L68" s="26">
        <f t="shared" ca="1" si="8"/>
        <v>0</v>
      </c>
      <c r="M68" s="26"/>
      <c r="N68" s="26"/>
      <c r="O68" s="26"/>
      <c r="P68" s="26"/>
      <c r="Q68" s="26"/>
      <c r="R68" s="26"/>
      <c r="S68" s="26"/>
      <c r="T68" s="16"/>
    </row>
    <row r="69" spans="2:20">
      <c r="B69" s="83" t="s">
        <v>1124</v>
      </c>
      <c r="D69" s="172" t="s">
        <v>131</v>
      </c>
      <c r="E69" s="26">
        <f ca="1">$K$4*Vergleich!F26-E66</f>
        <v>0</v>
      </c>
      <c r="F69" s="26">
        <f ca="1">IFERROR($K$4*Vergleich!H26-F66,0)</f>
        <v>0</v>
      </c>
      <c r="G69" s="26">
        <f ca="1">$K$4*Vergleich!K26-G66</f>
        <v>0</v>
      </c>
      <c r="H69" s="26">
        <f ca="1">IFERROR($K$4*Vergleich!M26-H66,0)</f>
        <v>0</v>
      </c>
      <c r="I69" s="26">
        <f ca="1">$K$4*Vergleich!P26-I66</f>
        <v>0</v>
      </c>
      <c r="J69" s="26">
        <f ca="1">IFERROR($K$4*Vergleich!R26-J66,0)</f>
        <v>0</v>
      </c>
      <c r="K69" s="26">
        <f ca="1">$K$4*Vergleich!U26-K66</f>
        <v>0</v>
      </c>
      <c r="L69" s="26">
        <f ca="1">IFERROR($K$4*Vergleich!W26-L66,0)</f>
        <v>0</v>
      </c>
      <c r="M69" s="26"/>
      <c r="N69" s="26"/>
      <c r="O69" s="26"/>
      <c r="P69" s="26"/>
      <c r="Q69" s="26"/>
      <c r="R69" s="26"/>
      <c r="S69" s="26"/>
      <c r="T69" s="16"/>
    </row>
    <row r="70" spans="2:20">
      <c r="B70" s="83" t="s">
        <v>1125</v>
      </c>
      <c r="D70" s="172" t="s">
        <v>131</v>
      </c>
      <c r="E70" s="26">
        <f ca="1">MAX($K$5*Vergleich!F27-E67,0)</f>
        <v>0</v>
      </c>
      <c r="F70" s="26">
        <f ca="1">IFERROR(MAX($K$5*Vergleich!H27-F67,0),0)</f>
        <v>0</v>
      </c>
      <c r="G70" s="26">
        <f ca="1">MAX($K$5*Vergleich!K27-G67,0)</f>
        <v>0</v>
      </c>
      <c r="H70" s="26">
        <f ca="1">IFERROR(MAX($K$5*Vergleich!M27-H67,0),0)</f>
        <v>0</v>
      </c>
      <c r="I70" s="26">
        <f ca="1">MAX($K$5*Vergleich!P27-I67,0)</f>
        <v>0</v>
      </c>
      <c r="J70" s="26">
        <f ca="1">IFERROR(MAX($K$5*Vergleich!R27-J67,0),0)</f>
        <v>0</v>
      </c>
      <c r="K70" s="26">
        <f ca="1">MAX($K$5*Vergleich!U27-K67,0)</f>
        <v>0</v>
      </c>
      <c r="L70" s="26">
        <f ca="1">IFERROR(MAX($K$5*Vergleich!W27-L67,0),0)</f>
        <v>0</v>
      </c>
      <c r="M70" s="16"/>
      <c r="N70" s="16"/>
      <c r="O70" s="16"/>
      <c r="P70" s="16"/>
      <c r="Q70" s="16"/>
      <c r="R70" s="16"/>
      <c r="S70" s="16"/>
      <c r="T70" s="16"/>
    </row>
    <row r="72" spans="2:20">
      <c r="B72" s="8" t="s">
        <v>708</v>
      </c>
      <c r="E72" s="50" t="s">
        <v>954</v>
      </c>
      <c r="F72" s="2"/>
      <c r="G72" s="50" t="s">
        <v>955</v>
      </c>
      <c r="H72" s="2"/>
      <c r="I72" s="50" t="s">
        <v>956</v>
      </c>
      <c r="J72" s="2"/>
      <c r="K72" s="50" t="s">
        <v>957</v>
      </c>
      <c r="L72" s="2"/>
      <c r="M72" s="50" t="s">
        <v>958</v>
      </c>
      <c r="N72" s="2"/>
      <c r="O72" s="50" t="s">
        <v>959</v>
      </c>
      <c r="P72" s="2"/>
      <c r="Q72" s="50" t="s">
        <v>960</v>
      </c>
      <c r="R72" s="2"/>
      <c r="S72" s="50" t="s">
        <v>961</v>
      </c>
      <c r="T72" s="2"/>
    </row>
    <row r="73" spans="2:20">
      <c r="B73" s="1" t="s">
        <v>1263</v>
      </c>
      <c r="E73" s="16">
        <f ca="1">VLOOKUP(Vergleich!F88,Auswahllisten!$E$94:$F$95,2,FALSE)</f>
        <v>0</v>
      </c>
      <c r="F73" s="302"/>
      <c r="G73" s="16">
        <f ca="1">VLOOKUP(Vergleich!K88,Auswahllisten!$E$94:$F$95,2,FALSE)</f>
        <v>0</v>
      </c>
      <c r="H73" s="302"/>
      <c r="I73" s="16">
        <f ca="1">VLOOKUP(Vergleich!P88,Auswahllisten!$E$94:$F$95,2,FALSE)</f>
        <v>0</v>
      </c>
      <c r="J73" s="302"/>
      <c r="K73" s="16">
        <f ca="1">VLOOKUP(Vergleich!U88,Auswahllisten!$E$94:$F$95,2,FALSE)</f>
        <v>0</v>
      </c>
      <c r="L73" s="302"/>
      <c r="M73" s="16"/>
      <c r="N73" s="16"/>
      <c r="O73" s="16"/>
      <c r="P73" s="16"/>
      <c r="Q73" s="16"/>
      <c r="R73" s="16"/>
      <c r="S73" s="16"/>
      <c r="T73" s="16"/>
    </row>
    <row r="74" spans="2:20">
      <c r="B74" s="83" t="s">
        <v>1104</v>
      </c>
      <c r="D74" s="35" t="s">
        <v>701</v>
      </c>
      <c r="E74" s="26">
        <f ca="1">Vergleich!F89*E36</f>
        <v>0</v>
      </c>
      <c r="F74" s="302"/>
      <c r="G74" s="26">
        <f ca="1">Vergleich!K89*G36</f>
        <v>0</v>
      </c>
      <c r="H74" s="302"/>
      <c r="I74" s="26">
        <f ca="1">Vergleich!P89*I36</f>
        <v>0</v>
      </c>
      <c r="J74" s="302"/>
      <c r="K74" s="26">
        <f ca="1">Vergleich!U89*K36</f>
        <v>0</v>
      </c>
      <c r="L74" s="302"/>
      <c r="M74" s="26"/>
      <c r="N74" s="16"/>
      <c r="O74" s="26"/>
      <c r="P74" s="16"/>
      <c r="Q74" s="26"/>
      <c r="R74" s="16"/>
      <c r="S74" s="26"/>
      <c r="T74" s="16"/>
    </row>
    <row r="75" spans="2:20">
      <c r="B75" s="83" t="s">
        <v>1121</v>
      </c>
      <c r="D75" s="140" t="s">
        <v>28</v>
      </c>
      <c r="E75" s="16">
        <f ca="1">VLOOKUP(Vergleich!F90,Auswahllisten!$E$83:$F$87,2,FALSE)</f>
        <v>2</v>
      </c>
      <c r="F75" s="302"/>
      <c r="G75" s="16">
        <f ca="1">VLOOKUP(Vergleich!K90,Auswahllisten!$E$83:$F$87,2,FALSE)</f>
        <v>2</v>
      </c>
      <c r="H75" s="302"/>
      <c r="I75" s="16">
        <f ca="1">VLOOKUP(Vergleich!P90,Auswahllisten!$E$83:$F$87,2,FALSE)</f>
        <v>2</v>
      </c>
      <c r="J75" s="302"/>
      <c r="K75" s="16">
        <f ca="1">VLOOKUP(Vergleich!U90,Auswahllisten!$E$83:$F$87,2,FALSE)</f>
        <v>2</v>
      </c>
      <c r="L75" s="302"/>
      <c r="M75" s="16"/>
      <c r="N75" s="16"/>
      <c r="O75" s="16"/>
      <c r="P75" s="16"/>
      <c r="Q75" s="16"/>
      <c r="R75" s="16"/>
      <c r="S75" s="16"/>
      <c r="T75" s="16"/>
    </row>
    <row r="76" spans="2:20">
      <c r="B76" s="83" t="s">
        <v>1122</v>
      </c>
      <c r="D76" s="140" t="s">
        <v>28</v>
      </c>
      <c r="E76" s="16">
        <f ca="1">VLOOKUP(Vergleich!F91,Auswahllisten!$E$89:$F$91,2,FALSE)</f>
        <v>2</v>
      </c>
      <c r="F76" s="302"/>
      <c r="G76" s="16">
        <f ca="1">VLOOKUP(Vergleich!K91,Auswahllisten!$E$89:$F$91,2,FALSE)</f>
        <v>2</v>
      </c>
      <c r="H76" s="302"/>
      <c r="I76" s="16">
        <f ca="1">VLOOKUP(Vergleich!P91,Auswahllisten!$E$89:$F$91,2,FALSE)</f>
        <v>2</v>
      </c>
      <c r="J76" s="302"/>
      <c r="K76" s="16">
        <f ca="1">VLOOKUP(Vergleich!U91,Auswahllisten!$E$89:$F$91,2,FALSE)</f>
        <v>2</v>
      </c>
      <c r="L76" s="302"/>
      <c r="M76" s="16"/>
      <c r="N76" s="16"/>
      <c r="O76" s="16"/>
      <c r="P76" s="16"/>
      <c r="Q76" s="16"/>
      <c r="R76" s="16"/>
      <c r="S76" s="16"/>
      <c r="T76" s="16"/>
    </row>
    <row r="77" spans="2:20">
      <c r="B77" s="1" t="s">
        <v>838</v>
      </c>
      <c r="D77" s="140" t="s">
        <v>28</v>
      </c>
      <c r="E77" s="16" cm="1">
        <f t="array" aca="1" ref="E77" ca="1">INDEX(Auswahllisten!$I$85:$M$87,E76,E75)</f>
        <v>1</v>
      </c>
      <c r="F77" s="302"/>
      <c r="G77" s="16" cm="1">
        <f t="array" aca="1" ref="G77" ca="1">INDEX(Auswahllisten!$I$85:$M$87,G76,G75)</f>
        <v>1</v>
      </c>
      <c r="H77" s="302"/>
      <c r="I77" s="16" cm="1">
        <f t="array" aca="1" ref="I77" ca="1">INDEX(Auswahllisten!$I$85:$M$87,I76,I75)</f>
        <v>1</v>
      </c>
      <c r="J77" s="302"/>
      <c r="K77" s="16" cm="1">
        <f t="array" aca="1" ref="K77" ca="1">INDEX(Auswahllisten!$I$85:$M$87,K76,K75)</f>
        <v>1</v>
      </c>
      <c r="L77" s="302"/>
      <c r="M77" s="16"/>
      <c r="N77" s="16"/>
      <c r="O77" s="16"/>
      <c r="P77" s="16"/>
      <c r="Q77" s="16"/>
      <c r="R77" s="16"/>
      <c r="S77" s="16"/>
      <c r="T77" s="16"/>
    </row>
    <row r="78" spans="2:20">
      <c r="B78" s="83" t="s">
        <v>1129</v>
      </c>
      <c r="D78" s="35" t="s">
        <v>131</v>
      </c>
      <c r="E78" s="26">
        <f ca="1">Standardwerte!$O$55*E74*E77</f>
        <v>0</v>
      </c>
      <c r="F78" s="302"/>
      <c r="G78" s="26">
        <f ca="1">Standardwerte!$O$55*G74*G77</f>
        <v>0</v>
      </c>
      <c r="H78" s="302"/>
      <c r="I78" s="26">
        <f ca="1">Standardwerte!$O$55*I74*I77</f>
        <v>0</v>
      </c>
      <c r="J78" s="302"/>
      <c r="K78" s="26">
        <f ca="1">Standardwerte!$O$55*K74*K77</f>
        <v>0</v>
      </c>
      <c r="L78" s="302"/>
      <c r="M78" s="26"/>
      <c r="N78" s="16"/>
      <c r="O78" s="26"/>
      <c r="P78" s="16"/>
      <c r="Q78" s="26"/>
      <c r="R78" s="16"/>
      <c r="S78" s="26"/>
      <c r="T78" s="16"/>
    </row>
    <row r="79" spans="2:20">
      <c r="B79" s="83" t="s">
        <v>975</v>
      </c>
      <c r="D79" s="35" t="s">
        <v>701</v>
      </c>
      <c r="E79" s="16">
        <f ca="1">Vergleich!F92*E36</f>
        <v>0</v>
      </c>
      <c r="F79" s="302"/>
      <c r="G79" s="16">
        <f ca="1">Vergleich!K92*G36</f>
        <v>0</v>
      </c>
      <c r="H79" s="302"/>
      <c r="I79" s="16">
        <f ca="1">Vergleich!P92*I36</f>
        <v>0</v>
      </c>
      <c r="J79" s="302"/>
      <c r="K79" s="16">
        <f ca="1">Vergleich!U92*K36</f>
        <v>0</v>
      </c>
      <c r="L79" s="302"/>
      <c r="M79" s="16"/>
      <c r="N79" s="16"/>
      <c r="O79" s="16"/>
      <c r="P79" s="16"/>
      <c r="Q79" s="16"/>
      <c r="R79" s="16"/>
      <c r="S79" s="16"/>
      <c r="T79" s="16"/>
    </row>
    <row r="80" spans="2:20">
      <c r="B80" s="83" t="s">
        <v>1121</v>
      </c>
      <c r="D80" s="140" t="s">
        <v>28</v>
      </c>
      <c r="E80" s="16">
        <f ca="1">VLOOKUP(Vergleich!F93,Auswahllisten!$E$83:$F$87,2,FALSE)</f>
        <v>3</v>
      </c>
      <c r="F80" s="302"/>
      <c r="G80" s="16">
        <f ca="1">VLOOKUP(Vergleich!K93,Auswahllisten!$E$83:$F$87,2,FALSE)</f>
        <v>3</v>
      </c>
      <c r="H80" s="302"/>
      <c r="I80" s="16">
        <f ca="1">VLOOKUP(Vergleich!P93,Auswahllisten!$E$83:$F$87,2,FALSE)</f>
        <v>3</v>
      </c>
      <c r="J80" s="302"/>
      <c r="K80" s="16">
        <f ca="1">VLOOKUP(Vergleich!U93,Auswahllisten!$E$83:$F$87,2,FALSE)</f>
        <v>3</v>
      </c>
      <c r="L80" s="302"/>
      <c r="M80" s="16"/>
      <c r="N80" s="16"/>
      <c r="O80" s="16"/>
      <c r="P80" s="16"/>
      <c r="Q80" s="16"/>
      <c r="R80" s="16"/>
      <c r="S80" s="16"/>
      <c r="T80" s="16"/>
    </row>
    <row r="81" spans="2:20">
      <c r="B81" s="83" t="s">
        <v>1122</v>
      </c>
      <c r="D81" s="140" t="s">
        <v>28</v>
      </c>
      <c r="E81" s="16">
        <f ca="1">VLOOKUP(Vergleich!F94,Auswahllisten!$E$89:$F$91,2,FALSE)</f>
        <v>2</v>
      </c>
      <c r="F81" s="302"/>
      <c r="G81" s="16">
        <f ca="1">VLOOKUP(Vergleich!K94,Auswahllisten!$E$89:$F$91,2,FALSE)</f>
        <v>2</v>
      </c>
      <c r="H81" s="302"/>
      <c r="I81" s="16">
        <f ca="1">VLOOKUP(Vergleich!P94,Auswahllisten!$E$89:$F$91,2,FALSE)</f>
        <v>2</v>
      </c>
      <c r="J81" s="302"/>
      <c r="K81" s="16">
        <f ca="1">VLOOKUP(Vergleich!U94,Auswahllisten!$E$89:$F$91,2,FALSE)</f>
        <v>2</v>
      </c>
      <c r="L81" s="302"/>
      <c r="M81" s="16"/>
      <c r="N81" s="16"/>
      <c r="O81" s="16"/>
      <c r="P81" s="16"/>
      <c r="Q81" s="16"/>
      <c r="R81" s="16"/>
      <c r="S81" s="16"/>
      <c r="T81" s="16"/>
    </row>
    <row r="82" spans="2:20">
      <c r="B82" s="1" t="s">
        <v>838</v>
      </c>
      <c r="D82" s="140" t="s">
        <v>28</v>
      </c>
      <c r="E82" s="16" cm="1">
        <f t="array" aca="1" ref="E82" ca="1">INDEX(Auswahllisten!$I$85:$M$87,E81,E80)</f>
        <v>1.05</v>
      </c>
      <c r="F82" s="302"/>
      <c r="G82" s="16" cm="1">
        <f t="array" aca="1" ref="G82" ca="1">INDEX(Auswahllisten!$I$85:$M$87,G81,G80)</f>
        <v>1.05</v>
      </c>
      <c r="H82" s="302"/>
      <c r="I82" s="16" cm="1">
        <f t="array" aca="1" ref="I82" ca="1">INDEX(Auswahllisten!$I$85:$M$87,I81,I80)</f>
        <v>1.05</v>
      </c>
      <c r="J82" s="302"/>
      <c r="K82" s="16" cm="1">
        <f t="array" aca="1" ref="K82" ca="1">INDEX(Auswahllisten!$I$85:$M$87,K81,K80)</f>
        <v>1.05</v>
      </c>
      <c r="L82" s="302"/>
      <c r="M82" s="16"/>
      <c r="N82" s="16"/>
      <c r="O82" s="16"/>
      <c r="P82" s="16"/>
      <c r="Q82" s="16"/>
      <c r="R82" s="16"/>
      <c r="S82" s="16"/>
      <c r="T82" s="16"/>
    </row>
    <row r="83" spans="2:20">
      <c r="B83" s="83" t="s">
        <v>1130</v>
      </c>
      <c r="D83" s="35" t="s">
        <v>131</v>
      </c>
      <c r="E83" s="26">
        <f ca="1">Standardwerte!$O$55*E79*E82</f>
        <v>0</v>
      </c>
      <c r="F83" s="302"/>
      <c r="G83" s="26">
        <f ca="1">Standardwerte!$O$55*G79*G82</f>
        <v>0</v>
      </c>
      <c r="H83" s="302"/>
      <c r="I83" s="26">
        <f ca="1">Standardwerte!$O$55*I79*I82</f>
        <v>0</v>
      </c>
      <c r="J83" s="302"/>
      <c r="K83" s="26">
        <f ca="1">Standardwerte!$O$55*K79*K82</f>
        <v>0</v>
      </c>
      <c r="L83" s="302"/>
      <c r="M83" s="16"/>
      <c r="N83" s="16"/>
      <c r="O83" s="16"/>
      <c r="P83" s="16"/>
      <c r="Q83" s="16"/>
      <c r="R83" s="16"/>
      <c r="S83" s="16"/>
      <c r="T83" s="16"/>
    </row>
    <row r="84" spans="2:20">
      <c r="B84" s="83" t="s">
        <v>1131</v>
      </c>
      <c r="D84" s="35" t="s">
        <v>131</v>
      </c>
      <c r="E84" s="26">
        <f ca="1">(E78+E83)*E73</f>
        <v>0</v>
      </c>
      <c r="F84" s="302"/>
      <c r="G84" s="26">
        <f ca="1">(G78+G83)*G73</f>
        <v>0</v>
      </c>
      <c r="H84" s="302"/>
      <c r="I84" s="26">
        <f ca="1">(I78+I83)*I73</f>
        <v>0</v>
      </c>
      <c r="J84" s="302"/>
      <c r="K84" s="26">
        <f ca="1">(K78+K83)*K73</f>
        <v>0</v>
      </c>
      <c r="L84" s="302"/>
      <c r="M84" s="26"/>
      <c r="N84" s="16"/>
      <c r="O84" s="26"/>
      <c r="P84" s="16"/>
      <c r="Q84" s="26"/>
      <c r="R84" s="16"/>
      <c r="S84" s="26"/>
      <c r="T84" s="16"/>
    </row>
    <row r="85" spans="2:20">
      <c r="B85" s="1" t="s">
        <v>1233</v>
      </c>
      <c r="D85" s="35" t="s">
        <v>201</v>
      </c>
      <c r="E85" s="22">
        <f>Vergleich!F95</f>
        <v>0</v>
      </c>
      <c r="F85" s="302"/>
      <c r="G85" s="22">
        <f>Vergleich!K95</f>
        <v>0</v>
      </c>
      <c r="H85" s="302"/>
      <c r="I85" s="22">
        <f>Vergleich!P95</f>
        <v>0</v>
      </c>
      <c r="J85" s="302"/>
      <c r="K85" s="22">
        <f>Vergleich!U95</f>
        <v>0</v>
      </c>
      <c r="L85" s="302"/>
      <c r="M85" s="26"/>
      <c r="N85" s="16"/>
      <c r="O85" s="26"/>
      <c r="P85" s="16"/>
      <c r="Q85" s="26"/>
      <c r="R85" s="16"/>
      <c r="S85" s="26"/>
      <c r="T85" s="16"/>
    </row>
    <row r="86" spans="2:20">
      <c r="B86" s="83" t="s">
        <v>1234</v>
      </c>
      <c r="D86" s="35" t="s">
        <v>131</v>
      </c>
      <c r="E86" s="26">
        <f ca="1">E84*(1-E85)</f>
        <v>0</v>
      </c>
      <c r="F86" s="302"/>
      <c r="G86" s="26">
        <f ca="1">G84*(1-G85)</f>
        <v>0</v>
      </c>
      <c r="H86" s="302"/>
      <c r="I86" s="26">
        <f ca="1">I84*(1-I85)</f>
        <v>0</v>
      </c>
      <c r="J86" s="302"/>
      <c r="K86" s="26">
        <f ca="1">K84*(1-K85)</f>
        <v>0</v>
      </c>
      <c r="L86" s="302"/>
      <c r="M86" s="26"/>
      <c r="N86" s="16"/>
      <c r="O86" s="26"/>
      <c r="P86" s="16"/>
      <c r="Q86" s="26"/>
      <c r="R86" s="16"/>
      <c r="S86" s="26"/>
      <c r="T86" s="16"/>
    </row>
    <row r="87" spans="2:20">
      <c r="B87" s="83" t="s">
        <v>704</v>
      </c>
      <c r="D87" s="35" t="s">
        <v>175</v>
      </c>
      <c r="E87" s="26">
        <f ca="1">E86*Standardwerte!$D$76</f>
        <v>0</v>
      </c>
      <c r="F87" s="302"/>
      <c r="G87" s="26">
        <f ca="1">G86*Standardwerte!$D$76</f>
        <v>0</v>
      </c>
      <c r="H87" s="302"/>
      <c r="I87" s="26">
        <f ca="1">I86*Standardwerte!$D$76</f>
        <v>0</v>
      </c>
      <c r="J87" s="302"/>
      <c r="K87" s="26">
        <f ca="1">K86*Standardwerte!$D$76</f>
        <v>0</v>
      </c>
      <c r="L87" s="302"/>
      <c r="M87" s="26"/>
      <c r="N87" s="16"/>
      <c r="O87" s="26"/>
      <c r="P87" s="16"/>
      <c r="Q87" s="26"/>
      <c r="R87" s="16"/>
      <c r="S87" s="26"/>
      <c r="T87" s="16"/>
    </row>
    <row r="88" spans="2:20">
      <c r="B88" s="83" t="s">
        <v>1235</v>
      </c>
      <c r="D88" s="35" t="s">
        <v>131</v>
      </c>
      <c r="E88" s="26">
        <f ca="1">E84*E85</f>
        <v>0</v>
      </c>
      <c r="F88" s="302"/>
      <c r="G88" s="26">
        <f ca="1">G84*G85</f>
        <v>0</v>
      </c>
      <c r="H88" s="302"/>
      <c r="I88" s="26">
        <f ca="1">I84*I85</f>
        <v>0</v>
      </c>
      <c r="J88" s="302"/>
      <c r="K88" s="26">
        <f ca="1">K84*K85</f>
        <v>0</v>
      </c>
      <c r="L88" s="302"/>
      <c r="M88" s="26"/>
      <c r="N88" s="16"/>
      <c r="O88" s="26"/>
      <c r="P88" s="16"/>
      <c r="Q88" s="26"/>
      <c r="R88" s="16"/>
      <c r="S88" s="26"/>
      <c r="T88" s="16"/>
    </row>
    <row r="89" spans="2:20">
      <c r="B89" s="83" t="s">
        <v>1232</v>
      </c>
      <c r="D89" s="35" t="s">
        <v>175</v>
      </c>
      <c r="E89" s="26">
        <f ca="1">E88*E170</f>
        <v>0</v>
      </c>
      <c r="F89" s="302"/>
      <c r="G89" s="26">
        <f ca="1">G88*G170</f>
        <v>0</v>
      </c>
      <c r="H89" s="302"/>
      <c r="I89" s="26">
        <f ca="1">I88*I170</f>
        <v>0</v>
      </c>
      <c r="J89" s="302"/>
      <c r="K89" s="26">
        <f ca="1">K88*K170</f>
        <v>0</v>
      </c>
      <c r="L89" s="302"/>
      <c r="M89" s="26"/>
      <c r="N89" s="16"/>
      <c r="O89" s="26"/>
      <c r="P89" s="16"/>
      <c r="Q89" s="26"/>
      <c r="R89" s="16"/>
      <c r="S89" s="26"/>
      <c r="T89" s="16"/>
    </row>
    <row r="92" spans="2:20">
      <c r="B92" s="8" t="s">
        <v>1128</v>
      </c>
    </row>
    <row r="93" spans="2:20">
      <c r="E93" s="50" t="s">
        <v>954</v>
      </c>
      <c r="F93" s="2"/>
      <c r="G93" s="50" t="s">
        <v>955</v>
      </c>
      <c r="H93" s="2"/>
      <c r="I93" s="50" t="s">
        <v>956</v>
      </c>
      <c r="J93" s="2"/>
      <c r="K93" s="50" t="s">
        <v>957</v>
      </c>
      <c r="L93" s="2"/>
      <c r="M93" s="50" t="s">
        <v>958</v>
      </c>
      <c r="N93" s="2"/>
      <c r="O93" s="50" t="s">
        <v>959</v>
      </c>
      <c r="P93" s="2"/>
      <c r="Q93" s="50" t="s">
        <v>960</v>
      </c>
      <c r="R93" s="2"/>
      <c r="S93" s="50" t="s">
        <v>961</v>
      </c>
      <c r="T93" s="2"/>
    </row>
    <row r="94" spans="2:20">
      <c r="E94" s="16" t="s">
        <v>1141</v>
      </c>
      <c r="F94" s="16" t="s">
        <v>1142</v>
      </c>
      <c r="G94" s="16" t="s">
        <v>1141</v>
      </c>
      <c r="H94" s="16" t="s">
        <v>1142</v>
      </c>
      <c r="I94" s="16" t="s">
        <v>1141</v>
      </c>
      <c r="J94" s="16" t="s">
        <v>1142</v>
      </c>
      <c r="K94" s="16" t="s">
        <v>1141</v>
      </c>
      <c r="L94" s="16" t="s">
        <v>1142</v>
      </c>
      <c r="M94" s="16" t="s">
        <v>1141</v>
      </c>
      <c r="N94" s="16" t="s">
        <v>1142</v>
      </c>
      <c r="O94" s="16" t="s">
        <v>1141</v>
      </c>
      <c r="P94" s="16" t="s">
        <v>1142</v>
      </c>
      <c r="Q94" s="16" t="s">
        <v>1141</v>
      </c>
      <c r="R94" s="16" t="s">
        <v>1142</v>
      </c>
      <c r="S94" s="16" t="s">
        <v>1141</v>
      </c>
      <c r="T94" s="16" t="s">
        <v>1142</v>
      </c>
    </row>
    <row r="95" spans="2:20">
      <c r="B95" s="1" t="s">
        <v>262</v>
      </c>
      <c r="D95" s="35" t="s">
        <v>131</v>
      </c>
      <c r="E95" s="26">
        <f ca="1">IF(OR(E35=8),E69+E70,0)</f>
        <v>0</v>
      </c>
      <c r="F95" s="26">
        <f ca="1">IF(OR(F35=8),F69+F70,0)</f>
        <v>0</v>
      </c>
      <c r="G95" s="26">
        <f ca="1">IF(OR(G35=8),G69+G70,0)</f>
        <v>0</v>
      </c>
      <c r="H95" s="26">
        <f ca="1">IF(OR(H35=8),H69+H70,0)</f>
        <v>0</v>
      </c>
      <c r="I95" s="26">
        <f t="shared" ref="I95:L95" ca="1" si="9">IF(OR(I35=8),I69+I70,0)</f>
        <v>0</v>
      </c>
      <c r="J95" s="26">
        <f t="shared" ca="1" si="9"/>
        <v>0</v>
      </c>
      <c r="K95" s="26">
        <f t="shared" ca="1" si="9"/>
        <v>0</v>
      </c>
      <c r="L95" s="26">
        <f t="shared" ca="1" si="9"/>
        <v>0</v>
      </c>
      <c r="M95" s="16"/>
      <c r="N95" s="16"/>
      <c r="O95" s="16"/>
      <c r="P95" s="16"/>
      <c r="Q95" s="16"/>
      <c r="R95" s="16"/>
      <c r="S95" s="16"/>
      <c r="T95" s="16"/>
    </row>
    <row r="96" spans="2:20">
      <c r="B96" s="1" t="s">
        <v>1132</v>
      </c>
      <c r="D96" s="140" t="s">
        <v>28</v>
      </c>
      <c r="E96" s="403">
        <f ca="1">Variante_A!$M$208</f>
        <v>0</v>
      </c>
      <c r="F96" s="403">
        <f ca="1">Variante_A!$X$208</f>
        <v>0</v>
      </c>
      <c r="G96" s="403">
        <f ca="1">Variante_B!$M$208</f>
        <v>0</v>
      </c>
      <c r="H96" s="403">
        <f ca="1">Variante_B!$X$208</f>
        <v>0</v>
      </c>
      <c r="I96" s="403">
        <f ca="1">Variante_C!$M$208</f>
        <v>0</v>
      </c>
      <c r="J96" s="403">
        <f ca="1">Variante_C!$X$208</f>
        <v>0</v>
      </c>
      <c r="K96" s="403">
        <f ca="1">Variante_D!$M$208</f>
        <v>0</v>
      </c>
      <c r="L96" s="403">
        <f ca="1">Variante_D!$X$208</f>
        <v>0</v>
      </c>
      <c r="M96" s="403"/>
      <c r="N96" s="403"/>
      <c r="O96" s="403"/>
      <c r="P96" s="403"/>
      <c r="Q96" s="403"/>
      <c r="R96" s="403"/>
      <c r="S96" s="403"/>
      <c r="T96" s="403"/>
    </row>
    <row r="97" spans="2:20">
      <c r="B97" s="1" t="s">
        <v>1133</v>
      </c>
      <c r="D97" s="35" t="s">
        <v>131</v>
      </c>
      <c r="E97" s="26">
        <f ca="1">E95/(1-E96)*E96</f>
        <v>0</v>
      </c>
      <c r="F97" s="26">
        <f t="shared" ref="F97:L97" ca="1" si="10">F95/(1-F96)*F96</f>
        <v>0</v>
      </c>
      <c r="G97" s="26">
        <f t="shared" ca="1" si="10"/>
        <v>0</v>
      </c>
      <c r="H97" s="26">
        <f t="shared" ca="1" si="10"/>
        <v>0</v>
      </c>
      <c r="I97" s="26">
        <f t="shared" ca="1" si="10"/>
        <v>0</v>
      </c>
      <c r="J97" s="26">
        <f t="shared" ca="1" si="10"/>
        <v>0</v>
      </c>
      <c r="K97" s="26">
        <f t="shared" ca="1" si="10"/>
        <v>0</v>
      </c>
      <c r="L97" s="26">
        <f t="shared" ca="1" si="10"/>
        <v>0</v>
      </c>
      <c r="M97" s="16"/>
      <c r="N97" s="16"/>
      <c r="O97" s="16"/>
      <c r="P97" s="16"/>
      <c r="Q97" s="16"/>
      <c r="R97" s="16"/>
      <c r="S97" s="16"/>
      <c r="T97" s="16"/>
    </row>
    <row r="98" spans="2:20">
      <c r="B98" s="1" t="s">
        <v>1233</v>
      </c>
      <c r="D98" s="35" t="s">
        <v>201</v>
      </c>
      <c r="E98" s="113">
        <f>Vergleich!F29</f>
        <v>0</v>
      </c>
      <c r="F98" s="113">
        <f>Vergleich!H29</f>
        <v>0</v>
      </c>
      <c r="G98" s="113">
        <f>Vergleich!K29</f>
        <v>0</v>
      </c>
      <c r="H98" s="113">
        <f>Vergleich!M29</f>
        <v>0</v>
      </c>
      <c r="I98" s="113">
        <f>Vergleich!P29</f>
        <v>0</v>
      </c>
      <c r="J98" s="113">
        <f>Vergleich!R29</f>
        <v>0</v>
      </c>
      <c r="K98" s="113">
        <f>Vergleich!U29</f>
        <v>0</v>
      </c>
      <c r="L98" s="113">
        <f>Vergleich!W29</f>
        <v>0</v>
      </c>
      <c r="M98" s="16"/>
      <c r="N98" s="16"/>
      <c r="O98" s="16"/>
      <c r="P98" s="16"/>
      <c r="Q98" s="16"/>
      <c r="R98" s="16"/>
      <c r="S98" s="16"/>
      <c r="T98" s="16"/>
    </row>
    <row r="99" spans="2:20">
      <c r="B99" s="83" t="s">
        <v>1234</v>
      </c>
      <c r="D99" s="35" t="s">
        <v>131</v>
      </c>
      <c r="E99" s="26">
        <f ca="1">E97*(1-E98)</f>
        <v>0</v>
      </c>
      <c r="F99" s="26">
        <f t="shared" ref="F99:L99" ca="1" si="11">F97*(1-F98)</f>
        <v>0</v>
      </c>
      <c r="G99" s="26">
        <f t="shared" ca="1" si="11"/>
        <v>0</v>
      </c>
      <c r="H99" s="26">
        <f t="shared" ca="1" si="11"/>
        <v>0</v>
      </c>
      <c r="I99" s="26">
        <f t="shared" ca="1" si="11"/>
        <v>0</v>
      </c>
      <c r="J99" s="26">
        <f t="shared" ca="1" si="11"/>
        <v>0</v>
      </c>
      <c r="K99" s="26">
        <f t="shared" ca="1" si="11"/>
        <v>0</v>
      </c>
      <c r="L99" s="26">
        <f t="shared" ca="1" si="11"/>
        <v>0</v>
      </c>
      <c r="M99" s="16"/>
      <c r="N99" s="16"/>
      <c r="O99" s="16"/>
      <c r="P99" s="16"/>
      <c r="Q99" s="16"/>
      <c r="R99" s="16"/>
      <c r="S99" s="16"/>
      <c r="T99" s="16"/>
    </row>
    <row r="100" spans="2:20">
      <c r="B100" s="83" t="s">
        <v>704</v>
      </c>
      <c r="D100" s="35" t="s">
        <v>175</v>
      </c>
      <c r="E100" s="26">
        <f ca="1">E99*Standardwerte!$D$76</f>
        <v>0</v>
      </c>
      <c r="F100" s="26">
        <f ca="1">F99*Standardwerte!$D$76</f>
        <v>0</v>
      </c>
      <c r="G100" s="26">
        <f ca="1">G99*Standardwerte!$D$76</f>
        <v>0</v>
      </c>
      <c r="H100" s="26">
        <f ca="1">H99*Standardwerte!$D$76</f>
        <v>0</v>
      </c>
      <c r="I100" s="26">
        <f ca="1">I99*Standardwerte!$D$76</f>
        <v>0</v>
      </c>
      <c r="J100" s="26">
        <f ca="1">J99*Standardwerte!$D$76</f>
        <v>0</v>
      </c>
      <c r="K100" s="26">
        <f ca="1">K99*Standardwerte!$D$76</f>
        <v>0</v>
      </c>
      <c r="L100" s="26">
        <f ca="1">L99*Standardwerte!$D$76</f>
        <v>0</v>
      </c>
      <c r="M100" s="16"/>
      <c r="N100" s="16"/>
      <c r="O100" s="16"/>
      <c r="P100" s="16"/>
      <c r="Q100" s="16"/>
      <c r="R100" s="16"/>
      <c r="S100" s="16"/>
      <c r="T100" s="16"/>
    </row>
    <row r="101" spans="2:20">
      <c r="B101" s="83" t="s">
        <v>1235</v>
      </c>
      <c r="D101" s="35" t="s">
        <v>131</v>
      </c>
      <c r="E101" s="26">
        <f ca="1">E97*E98</f>
        <v>0</v>
      </c>
      <c r="F101" s="26">
        <f ca="1">F97*F98</f>
        <v>0</v>
      </c>
      <c r="G101" s="26">
        <f t="shared" ref="G101:L101" ca="1" si="12">G97*G98</f>
        <v>0</v>
      </c>
      <c r="H101" s="26">
        <f t="shared" ca="1" si="12"/>
        <v>0</v>
      </c>
      <c r="I101" s="26">
        <f t="shared" ca="1" si="12"/>
        <v>0</v>
      </c>
      <c r="J101" s="26">
        <f t="shared" ca="1" si="12"/>
        <v>0</v>
      </c>
      <c r="K101" s="26">
        <f t="shared" ca="1" si="12"/>
        <v>0</v>
      </c>
      <c r="L101" s="26">
        <f t="shared" ca="1" si="12"/>
        <v>0</v>
      </c>
      <c r="M101" s="16"/>
      <c r="N101" s="16"/>
      <c r="O101" s="16"/>
      <c r="P101" s="16"/>
      <c r="Q101" s="16"/>
      <c r="R101" s="16"/>
      <c r="S101" s="16"/>
      <c r="T101" s="16"/>
    </row>
    <row r="102" spans="2:20">
      <c r="B102" s="83" t="s">
        <v>1232</v>
      </c>
      <c r="D102" s="35" t="s">
        <v>175</v>
      </c>
      <c r="E102" s="26">
        <f ca="1">E101*E170</f>
        <v>0</v>
      </c>
      <c r="F102" s="26">
        <f t="shared" ref="F102:L102" ca="1" si="13">F101*F170</f>
        <v>0</v>
      </c>
      <c r="G102" s="26">
        <f t="shared" ca="1" si="13"/>
        <v>0</v>
      </c>
      <c r="H102" s="26">
        <f t="shared" ca="1" si="13"/>
        <v>0</v>
      </c>
      <c r="I102" s="26">
        <f t="shared" ca="1" si="13"/>
        <v>0</v>
      </c>
      <c r="J102" s="26">
        <f t="shared" ca="1" si="13"/>
        <v>0</v>
      </c>
      <c r="K102" s="26">
        <f t="shared" ca="1" si="13"/>
        <v>0</v>
      </c>
      <c r="L102" s="26">
        <f t="shared" ca="1" si="13"/>
        <v>0</v>
      </c>
      <c r="M102" s="16"/>
      <c r="N102" s="16"/>
      <c r="O102" s="16"/>
      <c r="P102" s="16"/>
      <c r="Q102" s="16"/>
      <c r="R102" s="16"/>
      <c r="S102" s="16"/>
      <c r="T102" s="16"/>
    </row>
    <row r="103" spans="2:20">
      <c r="B103" s="83"/>
      <c r="D103" s="35"/>
    </row>
    <row r="104" spans="2:20" ht="15.75">
      <c r="B104" s="57" t="s">
        <v>193</v>
      </c>
    </row>
    <row r="105" spans="2:20">
      <c r="E105" s="50" t="s">
        <v>954</v>
      </c>
      <c r="F105" s="2"/>
      <c r="G105" s="50" t="s">
        <v>955</v>
      </c>
      <c r="H105" s="2"/>
      <c r="I105" s="50" t="s">
        <v>956</v>
      </c>
      <c r="J105" s="2"/>
      <c r="K105" s="50" t="s">
        <v>957</v>
      </c>
      <c r="L105" s="2"/>
      <c r="M105" s="50" t="s">
        <v>958</v>
      </c>
      <c r="N105" s="2"/>
      <c r="O105" s="50" t="s">
        <v>959</v>
      </c>
      <c r="P105" s="2"/>
      <c r="Q105" s="50" t="s">
        <v>960</v>
      </c>
      <c r="R105" s="2"/>
      <c r="S105" s="50" t="s">
        <v>961</v>
      </c>
      <c r="T105" s="2"/>
    </row>
    <row r="106" spans="2:20">
      <c r="E106" s="16" t="s">
        <v>1141</v>
      </c>
      <c r="F106" s="16" t="s">
        <v>1142</v>
      </c>
      <c r="G106" s="16" t="s">
        <v>1141</v>
      </c>
      <c r="H106" s="16" t="s">
        <v>1142</v>
      </c>
      <c r="I106" s="16" t="s">
        <v>1141</v>
      </c>
      <c r="J106" s="16" t="s">
        <v>1142</v>
      </c>
      <c r="K106" s="16" t="s">
        <v>1141</v>
      </c>
      <c r="L106" s="16" t="s">
        <v>1142</v>
      </c>
      <c r="M106" s="16" t="s">
        <v>1141</v>
      </c>
      <c r="N106" s="16" t="s">
        <v>1142</v>
      </c>
      <c r="O106" s="16" t="s">
        <v>1141</v>
      </c>
      <c r="P106" s="16" t="s">
        <v>1142</v>
      </c>
      <c r="Q106" s="16" t="s">
        <v>1141</v>
      </c>
      <c r="R106" s="16" t="s">
        <v>1142</v>
      </c>
      <c r="S106" s="16" t="s">
        <v>1141</v>
      </c>
      <c r="T106" s="16" t="s">
        <v>1142</v>
      </c>
    </row>
    <row r="107" spans="2:20">
      <c r="B107" s="1" t="s">
        <v>1150</v>
      </c>
      <c r="D107" s="140" t="s">
        <v>28</v>
      </c>
      <c r="E107" s="22">
        <f ca="1">VLOOKUP(E35,Standardwerte!$C$5:$L$18,8,FALSE)</f>
        <v>0</v>
      </c>
      <c r="F107" s="22">
        <f ca="1">VLOOKUP(F35,Standardwerte!$C$5:$L$18,8,FALSE)</f>
        <v>0</v>
      </c>
      <c r="G107" s="22">
        <f ca="1">VLOOKUP(G35,Standardwerte!$C$5:$L$18,8,FALSE)</f>
        <v>0</v>
      </c>
      <c r="H107" s="22">
        <f ca="1">VLOOKUP(H35,Standardwerte!$C$5:$L$18,8,FALSE)</f>
        <v>0</v>
      </c>
      <c r="I107" s="22">
        <f ca="1">VLOOKUP(I35,Standardwerte!$C$5:$L$18,8,FALSE)</f>
        <v>0</v>
      </c>
      <c r="J107" s="22">
        <f ca="1">VLOOKUP(J35,Standardwerte!$C$5:$L$18,8,FALSE)</f>
        <v>0</v>
      </c>
      <c r="K107" s="22">
        <f ca="1">VLOOKUP(K35,Standardwerte!$C$5:$L$18,8,FALSE)</f>
        <v>0</v>
      </c>
      <c r="L107" s="22">
        <f ca="1">VLOOKUP(L35,Standardwerte!$C$5:$L$18,8,FALSE)</f>
        <v>0</v>
      </c>
      <c r="M107" s="26"/>
      <c r="N107" s="26"/>
      <c r="O107" s="26"/>
      <c r="P107" s="26"/>
      <c r="Q107" s="26"/>
      <c r="R107" s="26"/>
      <c r="S107" s="26"/>
      <c r="T107" s="26"/>
    </row>
    <row r="108" spans="2:20">
      <c r="B108" s="1" t="s">
        <v>1151</v>
      </c>
      <c r="D108" s="140" t="s">
        <v>28</v>
      </c>
      <c r="E108" s="22">
        <f ca="1">VLOOKUP(E35,Standardwerte!$C$5:$L$18,10,FALSE)</f>
        <v>0</v>
      </c>
      <c r="F108" s="22">
        <f ca="1">VLOOKUP(F35,Standardwerte!$C$5:$L$18,10,FALSE)</f>
        <v>0</v>
      </c>
      <c r="G108" s="22">
        <f ca="1">VLOOKUP(G35,Standardwerte!$C$5:$L$18,10,FALSE)</f>
        <v>0</v>
      </c>
      <c r="H108" s="22">
        <f ca="1">VLOOKUP(H35,Standardwerte!$C$5:$L$18,10,FALSE)</f>
        <v>0</v>
      </c>
      <c r="I108" s="22">
        <f ca="1">VLOOKUP(I35,Standardwerte!$C$5:$L$18,10,FALSE)</f>
        <v>0</v>
      </c>
      <c r="J108" s="22">
        <f ca="1">VLOOKUP(J35,Standardwerte!$C$5:$L$18,10,FALSE)</f>
        <v>0</v>
      </c>
      <c r="K108" s="22">
        <f ca="1">VLOOKUP(K35,Standardwerte!$C$5:$L$18,10,FALSE)</f>
        <v>0</v>
      </c>
      <c r="L108" s="22">
        <f ca="1">VLOOKUP(L35,Standardwerte!$C$5:$L$18,10,FALSE)</f>
        <v>0</v>
      </c>
      <c r="M108" s="26"/>
      <c r="N108" s="26"/>
      <c r="O108" s="26"/>
      <c r="P108" s="26"/>
      <c r="Q108" s="26"/>
      <c r="R108" s="26"/>
      <c r="S108" s="26"/>
      <c r="T108" s="26"/>
    </row>
    <row r="109" spans="2:20">
      <c r="B109" s="1" t="s">
        <v>1682</v>
      </c>
      <c r="D109" s="140" t="s">
        <v>28</v>
      </c>
      <c r="E109" s="22">
        <f ca="1">Vergleich!F28*OR(E35=2,E35=8)</f>
        <v>0</v>
      </c>
      <c r="F109" s="22">
        <f ca="1">Vergleich!H28*OR(F35=2,F35=8)</f>
        <v>0</v>
      </c>
      <c r="G109" s="22">
        <f ca="1">Vergleich!K28*OR(G35=2,G35=8)</f>
        <v>0</v>
      </c>
      <c r="H109" s="22">
        <f ca="1">Vergleich!M28*OR(H35=2,H35=8)</f>
        <v>0</v>
      </c>
      <c r="I109" s="22">
        <f ca="1">Vergleich!P28*OR(I35=2,I35=8)</f>
        <v>0</v>
      </c>
      <c r="J109" s="22">
        <f ca="1">Vergleich!R28*OR(J35=2,J35=8)</f>
        <v>0</v>
      </c>
      <c r="K109" s="22">
        <f ca="1">Vergleich!U28*OR(K35=2,K35=8)</f>
        <v>0</v>
      </c>
      <c r="L109" s="22">
        <f ca="1">Vergleich!W28*OR(L35=2,L35=8)</f>
        <v>0</v>
      </c>
      <c r="M109" s="26"/>
      <c r="N109" s="26"/>
      <c r="O109" s="26"/>
      <c r="P109" s="26"/>
      <c r="Q109" s="26"/>
      <c r="R109" s="26"/>
      <c r="S109" s="26"/>
      <c r="T109" s="26"/>
    </row>
    <row r="110" spans="2:20">
      <c r="B110" s="1" t="s">
        <v>1146</v>
      </c>
      <c r="D110" s="35" t="s">
        <v>263</v>
      </c>
      <c r="E110" s="22">
        <f ca="1">IF(E35=8,E95+E97,E69)*(1-E109)*0.001</f>
        <v>0</v>
      </c>
      <c r="F110" s="22">
        <f t="shared" ref="F110:L110" ca="1" si="14">IF(F35=8,F95+F97,F69)*(1-F109)*0.001</f>
        <v>0</v>
      </c>
      <c r="G110" s="22">
        <f t="shared" ca="1" si="14"/>
        <v>0</v>
      </c>
      <c r="H110" s="22">
        <f t="shared" ca="1" si="14"/>
        <v>0</v>
      </c>
      <c r="I110" s="22">
        <f t="shared" ca="1" si="14"/>
        <v>0</v>
      </c>
      <c r="J110" s="22">
        <f t="shared" ca="1" si="14"/>
        <v>0</v>
      </c>
      <c r="K110" s="22">
        <f t="shared" ca="1" si="14"/>
        <v>0</v>
      </c>
      <c r="L110" s="22">
        <f t="shared" ca="1" si="14"/>
        <v>0</v>
      </c>
      <c r="M110" s="26"/>
      <c r="N110" s="26"/>
      <c r="O110" s="26"/>
      <c r="P110" s="26"/>
      <c r="Q110" s="26"/>
      <c r="R110" s="26"/>
      <c r="S110" s="26"/>
      <c r="T110" s="26"/>
    </row>
    <row r="111" spans="2:20">
      <c r="B111" s="1" t="s">
        <v>1145</v>
      </c>
      <c r="D111" s="35" t="s">
        <v>263</v>
      </c>
      <c r="E111" s="22">
        <f ca="1">IF(E35=8,0,E70*(1-E109)*0.001)</f>
        <v>0</v>
      </c>
      <c r="F111" s="22">
        <f t="shared" ref="F111:L111" ca="1" si="15">IF(F35=8,0,F70*(1-F109)*0.001)</f>
        <v>0</v>
      </c>
      <c r="G111" s="22">
        <f t="shared" ca="1" si="15"/>
        <v>0</v>
      </c>
      <c r="H111" s="22">
        <f t="shared" ca="1" si="15"/>
        <v>0</v>
      </c>
      <c r="I111" s="22">
        <f t="shared" ca="1" si="15"/>
        <v>0</v>
      </c>
      <c r="J111" s="22">
        <f t="shared" ca="1" si="15"/>
        <v>0</v>
      </c>
      <c r="K111" s="22">
        <f t="shared" ca="1" si="15"/>
        <v>0</v>
      </c>
      <c r="L111" s="22">
        <f t="shared" ca="1" si="15"/>
        <v>0</v>
      </c>
      <c r="M111" s="26"/>
      <c r="N111" s="26"/>
      <c r="O111" s="26"/>
      <c r="P111" s="26"/>
      <c r="Q111" s="26"/>
      <c r="R111" s="26"/>
      <c r="S111" s="26"/>
      <c r="T111" s="26"/>
    </row>
    <row r="112" spans="2:20">
      <c r="B112" s="1" t="s">
        <v>1179</v>
      </c>
      <c r="D112" s="35" t="s">
        <v>263</v>
      </c>
      <c r="E112" s="22">
        <f ca="1">IF(E35=0,0,E110/E107+E111/E108)</f>
        <v>0</v>
      </c>
      <c r="F112" s="22">
        <f ca="1">IF(F35=0,0,F110/F107+F111/F108)</f>
        <v>0</v>
      </c>
      <c r="G112" s="22">
        <f t="shared" ref="G112:L112" ca="1" si="16">IF(G35=0,0,G110/G107+G111/G108)</f>
        <v>0</v>
      </c>
      <c r="H112" s="22">
        <f t="shared" ca="1" si="16"/>
        <v>0</v>
      </c>
      <c r="I112" s="22">
        <f t="shared" ca="1" si="16"/>
        <v>0</v>
      </c>
      <c r="J112" s="22">
        <f t="shared" ca="1" si="16"/>
        <v>0</v>
      </c>
      <c r="K112" s="22">
        <f t="shared" ca="1" si="16"/>
        <v>0</v>
      </c>
      <c r="L112" s="22">
        <f t="shared" ca="1" si="16"/>
        <v>0</v>
      </c>
      <c r="M112" s="26"/>
      <c r="N112" s="26"/>
      <c r="O112" s="26"/>
      <c r="P112" s="26"/>
      <c r="Q112" s="26"/>
      <c r="R112" s="26"/>
      <c r="S112" s="26"/>
      <c r="T112" s="26"/>
    </row>
    <row r="113" spans="2:20">
      <c r="B113" s="1" t="s">
        <v>1149</v>
      </c>
      <c r="D113" s="35" t="s">
        <v>314</v>
      </c>
      <c r="E113" s="22">
        <f t="shared" ref="E113:L113" ca="1" si="17">VLOOKUP(E35,$B$165:$T$178,E267,FALSE)*1000</f>
        <v>0</v>
      </c>
      <c r="F113" s="22">
        <f t="shared" ca="1" si="17"/>
        <v>0</v>
      </c>
      <c r="G113" s="22">
        <f t="shared" ca="1" si="17"/>
        <v>0</v>
      </c>
      <c r="H113" s="22">
        <f t="shared" ca="1" si="17"/>
        <v>0</v>
      </c>
      <c r="I113" s="22">
        <f t="shared" ca="1" si="17"/>
        <v>0</v>
      </c>
      <c r="J113" s="22">
        <f t="shared" ca="1" si="17"/>
        <v>0</v>
      </c>
      <c r="K113" s="22">
        <f t="shared" ca="1" si="17"/>
        <v>0</v>
      </c>
      <c r="L113" s="22">
        <f t="shared" ca="1" si="17"/>
        <v>0</v>
      </c>
      <c r="M113" s="26"/>
      <c r="N113" s="26"/>
      <c r="O113" s="26"/>
      <c r="P113" s="26"/>
      <c r="Q113" s="26"/>
      <c r="R113" s="26"/>
      <c r="S113" s="26"/>
      <c r="T113" s="26"/>
    </row>
    <row r="114" spans="2:20">
      <c r="B114" s="8" t="s">
        <v>193</v>
      </c>
      <c r="C114" s="8"/>
      <c r="D114" s="124" t="s">
        <v>175</v>
      </c>
      <c r="E114" s="180">
        <f ca="1">E112*E113</f>
        <v>0</v>
      </c>
      <c r="F114" s="180">
        <f ca="1">F112*F113</f>
        <v>0</v>
      </c>
      <c r="G114" s="180">
        <f t="shared" ref="G114:L114" ca="1" si="18">G112*G113</f>
        <v>0</v>
      </c>
      <c r="H114" s="180">
        <f t="shared" ca="1" si="18"/>
        <v>0</v>
      </c>
      <c r="I114" s="180">
        <f t="shared" ca="1" si="18"/>
        <v>0</v>
      </c>
      <c r="J114" s="180">
        <f t="shared" ca="1" si="18"/>
        <v>0</v>
      </c>
      <c r="K114" s="180">
        <f t="shared" ca="1" si="18"/>
        <v>0</v>
      </c>
      <c r="L114" s="180">
        <f t="shared" ca="1" si="18"/>
        <v>0</v>
      </c>
      <c r="M114" s="180"/>
      <c r="N114" s="180"/>
      <c r="O114" s="180"/>
      <c r="P114" s="180"/>
      <c r="Q114" s="180"/>
      <c r="R114" s="180"/>
      <c r="S114" s="180"/>
      <c r="T114" s="180"/>
    </row>
    <row r="115" spans="2:20">
      <c r="B115" s="1" t="s">
        <v>1162</v>
      </c>
      <c r="D115" s="35" t="s">
        <v>291</v>
      </c>
      <c r="E115" s="26">
        <f ca="1">VLOOKUP(E35,Standardwerte!$C$5:$L$18,5,FALSE)</f>
        <v>0</v>
      </c>
      <c r="F115" s="26">
        <f ca="1">VLOOKUP(F35,Standardwerte!$C$5:$L$18,5,FALSE)</f>
        <v>0</v>
      </c>
      <c r="G115" s="26">
        <f ca="1">VLOOKUP(G35,Standardwerte!$C$5:$L$18,5,FALSE)</f>
        <v>0</v>
      </c>
      <c r="H115" s="26">
        <f ca="1">VLOOKUP(H35,Standardwerte!$C$5:$L$18,5,FALSE)</f>
        <v>0</v>
      </c>
      <c r="I115" s="26">
        <f ca="1">VLOOKUP(I35,Standardwerte!$C$5:$L$18,5,FALSE)</f>
        <v>0</v>
      </c>
      <c r="J115" s="26">
        <f ca="1">VLOOKUP(J35,Standardwerte!$C$5:$L$18,5,FALSE)</f>
        <v>0</v>
      </c>
      <c r="K115" s="26">
        <f ca="1">VLOOKUP(K35,Standardwerte!$C$5:$L$18,5,FALSE)</f>
        <v>0</v>
      </c>
      <c r="L115" s="26">
        <f ca="1">VLOOKUP(L35,Standardwerte!$C$5:$L$18,5,FALSE)</f>
        <v>0</v>
      </c>
      <c r="M115" s="26"/>
      <c r="N115" s="26"/>
      <c r="O115" s="26"/>
      <c r="P115" s="26"/>
      <c r="Q115" s="26"/>
      <c r="R115" s="26"/>
      <c r="S115" s="26"/>
      <c r="T115" s="26"/>
    </row>
    <row r="116" spans="2:20">
      <c r="B116" s="1" t="s">
        <v>1152</v>
      </c>
      <c r="D116" s="35" t="s">
        <v>132</v>
      </c>
      <c r="E116" s="26">
        <f ca="1">E112*E115</f>
        <v>0</v>
      </c>
      <c r="F116" s="26">
        <f ca="1">F112*F115</f>
        <v>0</v>
      </c>
      <c r="G116" s="26">
        <f t="shared" ref="G116:L116" ca="1" si="19">G112*G115</f>
        <v>0</v>
      </c>
      <c r="H116" s="26">
        <f t="shared" ca="1" si="19"/>
        <v>0</v>
      </c>
      <c r="I116" s="26">
        <f t="shared" ca="1" si="19"/>
        <v>0</v>
      </c>
      <c r="J116" s="26">
        <f t="shared" ca="1" si="19"/>
        <v>0</v>
      </c>
      <c r="K116" s="26">
        <f t="shared" ca="1" si="19"/>
        <v>0</v>
      </c>
      <c r="L116" s="26">
        <f t="shared" ca="1" si="19"/>
        <v>0</v>
      </c>
      <c r="M116" s="26"/>
      <c r="N116" s="26"/>
      <c r="O116" s="26"/>
      <c r="P116" s="26"/>
      <c r="Q116" s="26"/>
      <c r="R116" s="26"/>
      <c r="S116" s="26"/>
      <c r="T116" s="26"/>
    </row>
    <row r="117" spans="2:20">
      <c r="B117" s="1" t="s">
        <v>1163</v>
      </c>
      <c r="D117" s="35" t="s">
        <v>291</v>
      </c>
      <c r="E117" s="26">
        <f ca="1">VLOOKUP(E35,Standardwerte!$C$5:$L$18,4,FALSE)</f>
        <v>0</v>
      </c>
      <c r="F117" s="26">
        <f ca="1">VLOOKUP(F35,Standardwerte!$C$5:$L$18,4,FALSE)</f>
        <v>0</v>
      </c>
      <c r="G117" s="26">
        <f ca="1">VLOOKUP(G35,Standardwerte!$C$5:$L$18,4,FALSE)</f>
        <v>0</v>
      </c>
      <c r="H117" s="26">
        <f ca="1">VLOOKUP(H35,Standardwerte!$C$5:$L$18,4,FALSE)</f>
        <v>0</v>
      </c>
      <c r="I117" s="26">
        <f ca="1">VLOOKUP(I35,Standardwerte!$C$5:$L$18,4,FALSE)</f>
        <v>0</v>
      </c>
      <c r="J117" s="26">
        <f ca="1">VLOOKUP(J35,Standardwerte!$C$5:$L$18,4,FALSE)</f>
        <v>0</v>
      </c>
      <c r="K117" s="26">
        <f ca="1">VLOOKUP(K35,Standardwerte!$C$5:$L$18,4,FALSE)</f>
        <v>0</v>
      </c>
      <c r="L117" s="26">
        <f ca="1">VLOOKUP(L35,Standardwerte!$C$5:$L$18,4,FALSE)</f>
        <v>0</v>
      </c>
      <c r="M117" s="26"/>
      <c r="N117" s="26"/>
      <c r="O117" s="26"/>
      <c r="P117" s="26"/>
      <c r="Q117" s="26"/>
      <c r="R117" s="26"/>
      <c r="S117" s="26"/>
      <c r="T117" s="26"/>
    </row>
    <row r="118" spans="2:20">
      <c r="B118" s="1" t="s">
        <v>1153</v>
      </c>
      <c r="D118" s="35" t="s">
        <v>132</v>
      </c>
      <c r="E118" s="26">
        <f ca="1">E112*E117</f>
        <v>0</v>
      </c>
      <c r="F118" s="26">
        <f ca="1">F112*F117</f>
        <v>0</v>
      </c>
      <c r="G118" s="26">
        <f t="shared" ref="G118:L118" ca="1" si="20">G112*G117</f>
        <v>0</v>
      </c>
      <c r="H118" s="26">
        <f t="shared" ca="1" si="20"/>
        <v>0</v>
      </c>
      <c r="I118" s="26">
        <f t="shared" ca="1" si="20"/>
        <v>0</v>
      </c>
      <c r="J118" s="26">
        <f t="shared" ca="1" si="20"/>
        <v>0</v>
      </c>
      <c r="K118" s="26">
        <f t="shared" ca="1" si="20"/>
        <v>0</v>
      </c>
      <c r="L118" s="26">
        <f t="shared" ca="1" si="20"/>
        <v>0</v>
      </c>
      <c r="M118" s="26"/>
      <c r="N118" s="26"/>
      <c r="O118" s="26"/>
      <c r="P118" s="26"/>
      <c r="Q118" s="26"/>
      <c r="R118" s="26"/>
      <c r="S118" s="26"/>
      <c r="T118" s="26"/>
    </row>
    <row r="119" spans="2:20">
      <c r="B119" s="1" t="s">
        <v>1164</v>
      </c>
      <c r="D119" s="35" t="s">
        <v>1169</v>
      </c>
      <c r="E119" s="26">
        <f ca="1">VLOOKUP(E35,Standardwerte!$C$5:$L$18,6,FALSE)</f>
        <v>0</v>
      </c>
      <c r="F119" s="26">
        <f ca="1">VLOOKUP(F35,Standardwerte!$C$5:$L$18,6,FALSE)</f>
        <v>0</v>
      </c>
      <c r="G119" s="26">
        <f ca="1">VLOOKUP(G35,Standardwerte!$C$5:$L$18,6,FALSE)</f>
        <v>0</v>
      </c>
      <c r="H119" s="26">
        <f ca="1">VLOOKUP(H35,Standardwerte!$C$5:$L$18,6,FALSE)</f>
        <v>0</v>
      </c>
      <c r="I119" s="26">
        <f ca="1">VLOOKUP(I35,Standardwerte!$C$5:$L$18,6,FALSE)</f>
        <v>0</v>
      </c>
      <c r="J119" s="26">
        <f ca="1">VLOOKUP(J35,Standardwerte!$C$5:$L$18,6,FALSE)</f>
        <v>0</v>
      </c>
      <c r="K119" s="26">
        <f ca="1">VLOOKUP(K35,Standardwerte!$C$5:$L$18,6,FALSE)</f>
        <v>0</v>
      </c>
      <c r="L119" s="26">
        <f ca="1">VLOOKUP(L35,Standardwerte!$C$5:$L$18,6,FALSE)</f>
        <v>0</v>
      </c>
      <c r="M119" s="26"/>
      <c r="N119" s="26"/>
      <c r="O119" s="26"/>
      <c r="P119" s="26"/>
      <c r="Q119" s="26"/>
      <c r="R119" s="26"/>
      <c r="S119" s="26"/>
      <c r="T119" s="26"/>
    </row>
    <row r="120" spans="2:20">
      <c r="B120" s="1" t="s">
        <v>1154</v>
      </c>
      <c r="D120" s="140" t="s">
        <v>1165</v>
      </c>
      <c r="E120" s="26">
        <f ca="1">E112*E119</f>
        <v>0</v>
      </c>
      <c r="F120" s="26">
        <f ca="1">F112*F119</f>
        <v>0</v>
      </c>
      <c r="G120" s="26">
        <f t="shared" ref="G120:L120" ca="1" si="21">G112*G119</f>
        <v>0</v>
      </c>
      <c r="H120" s="26">
        <f t="shared" ca="1" si="21"/>
        <v>0</v>
      </c>
      <c r="I120" s="26">
        <f t="shared" ca="1" si="21"/>
        <v>0</v>
      </c>
      <c r="J120" s="26">
        <f t="shared" ca="1" si="21"/>
        <v>0</v>
      </c>
      <c r="K120" s="26">
        <f t="shared" ca="1" si="21"/>
        <v>0</v>
      </c>
      <c r="L120" s="26">
        <f t="shared" ca="1" si="21"/>
        <v>0</v>
      </c>
      <c r="M120" s="26"/>
      <c r="N120" s="26"/>
      <c r="O120" s="26"/>
      <c r="P120" s="26"/>
      <c r="Q120" s="26"/>
      <c r="R120" s="26"/>
      <c r="S120" s="26"/>
      <c r="T120" s="26"/>
    </row>
    <row r="121" spans="2:20">
      <c r="B121" s="1" t="s">
        <v>1159</v>
      </c>
      <c r="D121" s="140" t="s">
        <v>1161</v>
      </c>
      <c r="E121" s="26">
        <f ca="1">VLOOKUP(E35,Standardwerte!$C$35:$J$48,8,FALSE)</f>
        <v>0</v>
      </c>
      <c r="F121" s="26">
        <f ca="1">VLOOKUP(F35,Standardwerte!$C$35:$J$48,8,FALSE)</f>
        <v>0</v>
      </c>
      <c r="G121" s="26">
        <f ca="1">VLOOKUP(G35,Standardwerte!$C$35:$J$48,8,FALSE)</f>
        <v>0</v>
      </c>
      <c r="H121" s="26">
        <f ca="1">VLOOKUP(H35,Standardwerte!$C$35:$J$48,8,FALSE)</f>
        <v>0</v>
      </c>
      <c r="I121" s="26">
        <f ca="1">VLOOKUP(I35,Standardwerte!$C$35:$J$48,8,FALSE)</f>
        <v>0</v>
      </c>
      <c r="J121" s="26">
        <f ca="1">VLOOKUP(J35,Standardwerte!$C$35:$J$48,8,FALSE)</f>
        <v>0</v>
      </c>
      <c r="K121" s="26">
        <f ca="1">VLOOKUP(K35,Standardwerte!$C$35:$J$48,8,FALSE)</f>
        <v>0</v>
      </c>
      <c r="L121" s="26">
        <f ca="1">VLOOKUP(L35,Standardwerte!$C$35:$J$48,8,FALSE)</f>
        <v>0</v>
      </c>
      <c r="M121" s="26"/>
      <c r="N121" s="26"/>
      <c r="O121" s="26"/>
      <c r="P121" s="26"/>
      <c r="Q121" s="26"/>
      <c r="R121" s="26"/>
      <c r="S121" s="26"/>
      <c r="T121" s="26"/>
    </row>
    <row r="122" spans="2:20">
      <c r="B122" s="8" t="s">
        <v>1160</v>
      </c>
      <c r="C122" s="8"/>
      <c r="D122" s="181" t="s">
        <v>175</v>
      </c>
      <c r="E122" s="180">
        <f ca="1">E118*E121*0.001</f>
        <v>0</v>
      </c>
      <c r="F122" s="180">
        <f ca="1">F118*F121*0.001</f>
        <v>0</v>
      </c>
      <c r="G122" s="180">
        <f t="shared" ref="G122:L122" ca="1" si="22">G118*G121*0.001</f>
        <v>0</v>
      </c>
      <c r="H122" s="180">
        <f t="shared" ca="1" si="22"/>
        <v>0</v>
      </c>
      <c r="I122" s="180">
        <f t="shared" ca="1" si="22"/>
        <v>0</v>
      </c>
      <c r="J122" s="180">
        <f t="shared" ca="1" si="22"/>
        <v>0</v>
      </c>
      <c r="K122" s="180">
        <f t="shared" ca="1" si="22"/>
        <v>0</v>
      </c>
      <c r="L122" s="180">
        <f t="shared" ca="1" si="22"/>
        <v>0</v>
      </c>
      <c r="M122" s="180"/>
      <c r="N122" s="180"/>
      <c r="O122" s="180"/>
      <c r="P122" s="180"/>
      <c r="Q122" s="180"/>
      <c r="R122" s="180"/>
      <c r="S122" s="180"/>
      <c r="T122" s="180"/>
    </row>
    <row r="123" spans="2:20" ht="8.25" customHeight="1">
      <c r="B123" s="8"/>
      <c r="C123" s="8"/>
      <c r="D123" s="181"/>
      <c r="E123" s="180"/>
      <c r="F123" s="180"/>
      <c r="G123" s="180"/>
      <c r="H123" s="180"/>
      <c r="I123" s="180"/>
      <c r="J123" s="180"/>
      <c r="K123" s="180"/>
      <c r="L123" s="180"/>
      <c r="M123" s="180"/>
      <c r="N123" s="180"/>
      <c r="O123" s="180"/>
      <c r="P123" s="180"/>
      <c r="Q123" s="180"/>
      <c r="R123" s="180"/>
      <c r="S123" s="180"/>
      <c r="T123" s="180"/>
    </row>
    <row r="124" spans="2:20">
      <c r="B124" s="1" t="s">
        <v>1147</v>
      </c>
      <c r="D124" s="35" t="s">
        <v>263</v>
      </c>
      <c r="E124" s="22">
        <f ca="1">IF(E35=8,E95+E97,E69)*E109*0.001</f>
        <v>0</v>
      </c>
      <c r="F124" s="22">
        <f t="shared" ref="F124:L124" ca="1" si="23">IF(F35=8,F95+F97,F69)*F109*0.001</f>
        <v>0</v>
      </c>
      <c r="G124" s="22">
        <f t="shared" ca="1" si="23"/>
        <v>0</v>
      </c>
      <c r="H124" s="22">
        <f t="shared" ca="1" si="23"/>
        <v>0</v>
      </c>
      <c r="I124" s="22">
        <f t="shared" ca="1" si="23"/>
        <v>0</v>
      </c>
      <c r="J124" s="22">
        <f t="shared" ca="1" si="23"/>
        <v>0</v>
      </c>
      <c r="K124" s="22">
        <f t="shared" ca="1" si="23"/>
        <v>0</v>
      </c>
      <c r="L124" s="22">
        <f t="shared" ca="1" si="23"/>
        <v>0</v>
      </c>
      <c r="M124" s="26"/>
      <c r="N124" s="26"/>
      <c r="O124" s="26"/>
      <c r="P124" s="26"/>
      <c r="Q124" s="26"/>
      <c r="R124" s="26"/>
      <c r="S124" s="26"/>
      <c r="T124" s="26"/>
    </row>
    <row r="125" spans="2:20">
      <c r="B125" s="1" t="s">
        <v>1148</v>
      </c>
      <c r="D125" s="35" t="s">
        <v>263</v>
      </c>
      <c r="E125" s="22">
        <f ca="1">IF(E35=8,0,E70*E109*0.001)</f>
        <v>0</v>
      </c>
      <c r="F125" s="22">
        <f t="shared" ref="F125:L125" ca="1" si="24">IF(F35=8,0,F70*F109*0.001)</f>
        <v>0</v>
      </c>
      <c r="G125" s="22">
        <f t="shared" ca="1" si="24"/>
        <v>0</v>
      </c>
      <c r="H125" s="22">
        <f t="shared" ca="1" si="24"/>
        <v>0</v>
      </c>
      <c r="I125" s="22">
        <f t="shared" ca="1" si="24"/>
        <v>0</v>
      </c>
      <c r="J125" s="22">
        <f t="shared" ca="1" si="24"/>
        <v>0</v>
      </c>
      <c r="K125" s="22">
        <f t="shared" ca="1" si="24"/>
        <v>0</v>
      </c>
      <c r="L125" s="22">
        <f t="shared" ca="1" si="24"/>
        <v>0</v>
      </c>
      <c r="M125" s="26"/>
      <c r="N125" s="26"/>
      <c r="O125" s="26"/>
      <c r="P125" s="26"/>
      <c r="Q125" s="26"/>
      <c r="R125" s="26"/>
      <c r="S125" s="26"/>
      <c r="T125" s="26"/>
    </row>
    <row r="126" spans="2:20">
      <c r="B126" s="1" t="s">
        <v>1180</v>
      </c>
      <c r="D126" s="35"/>
      <c r="E126" s="22">
        <f ca="1">IF(E35=0,0,E124/E107+E125/E108)</f>
        <v>0</v>
      </c>
      <c r="F126" s="22">
        <f ca="1">IF(F35=0,0,F124/F107+F125/F108)</f>
        <v>0</v>
      </c>
      <c r="G126" s="22">
        <f ca="1">IF(G35=0,0,G124/G107+G125/G108)</f>
        <v>0</v>
      </c>
      <c r="H126" s="22">
        <f ca="1">IF(H35=0,0,H124/H107+H125/H108)</f>
        <v>0</v>
      </c>
      <c r="I126" s="22">
        <f t="shared" ref="I126:L126" ca="1" si="25">IF(I35=0,0,I124/I107+I125/I108)</f>
        <v>0</v>
      </c>
      <c r="J126" s="22">
        <f t="shared" ca="1" si="25"/>
        <v>0</v>
      </c>
      <c r="K126" s="22">
        <f t="shared" ca="1" si="25"/>
        <v>0</v>
      </c>
      <c r="L126" s="22">
        <f t="shared" ca="1" si="25"/>
        <v>0</v>
      </c>
      <c r="M126" s="26"/>
      <c r="N126" s="26"/>
      <c r="O126" s="26"/>
      <c r="P126" s="26"/>
      <c r="Q126" s="26"/>
      <c r="R126" s="26"/>
      <c r="S126" s="26"/>
      <c r="T126" s="26"/>
    </row>
    <row r="127" spans="2:20">
      <c r="B127" s="1" t="s">
        <v>1149</v>
      </c>
      <c r="D127" s="35" t="s">
        <v>314</v>
      </c>
      <c r="E127" s="22">
        <f t="shared" ref="E127:L127" ca="1" si="26">VLOOKUP(E35,$B$197:$T$210,E267,FALSE)*1000</f>
        <v>0</v>
      </c>
      <c r="F127" s="22">
        <f t="shared" ca="1" si="26"/>
        <v>0</v>
      </c>
      <c r="G127" s="22">
        <f t="shared" ca="1" si="26"/>
        <v>0</v>
      </c>
      <c r="H127" s="22">
        <f t="shared" ca="1" si="26"/>
        <v>0</v>
      </c>
      <c r="I127" s="22">
        <f t="shared" ca="1" si="26"/>
        <v>0</v>
      </c>
      <c r="J127" s="22">
        <f t="shared" ca="1" si="26"/>
        <v>0</v>
      </c>
      <c r="K127" s="22">
        <f t="shared" ca="1" si="26"/>
        <v>0</v>
      </c>
      <c r="L127" s="22">
        <f t="shared" ca="1" si="26"/>
        <v>0</v>
      </c>
      <c r="M127" s="26"/>
      <c r="N127" s="26"/>
      <c r="O127" s="26"/>
      <c r="P127" s="26"/>
      <c r="Q127" s="26"/>
      <c r="R127" s="26"/>
      <c r="S127" s="26"/>
      <c r="T127" s="26"/>
    </row>
    <row r="128" spans="2:20">
      <c r="B128" s="8" t="s">
        <v>193</v>
      </c>
      <c r="C128" s="8"/>
      <c r="D128" s="124" t="s">
        <v>175</v>
      </c>
      <c r="E128" s="180">
        <f ca="1">E126*E127</f>
        <v>0</v>
      </c>
      <c r="F128" s="180">
        <f ca="1">F126*F127</f>
        <v>0</v>
      </c>
      <c r="G128" s="180">
        <f t="shared" ref="G128:L128" ca="1" si="27">G126*G127</f>
        <v>0</v>
      </c>
      <c r="H128" s="180">
        <f t="shared" ca="1" si="27"/>
        <v>0</v>
      </c>
      <c r="I128" s="180">
        <f t="shared" ca="1" si="27"/>
        <v>0</v>
      </c>
      <c r="J128" s="180">
        <f t="shared" ca="1" si="27"/>
        <v>0</v>
      </c>
      <c r="K128" s="180">
        <f t="shared" ca="1" si="27"/>
        <v>0</v>
      </c>
      <c r="L128" s="180">
        <f t="shared" ca="1" si="27"/>
        <v>0</v>
      </c>
      <c r="M128" s="180"/>
      <c r="N128" s="180"/>
      <c r="O128" s="180"/>
      <c r="P128" s="180"/>
      <c r="Q128" s="180"/>
      <c r="R128" s="180"/>
      <c r="S128" s="180"/>
      <c r="T128" s="180"/>
    </row>
    <row r="129" spans="2:20">
      <c r="B129" s="1" t="s">
        <v>1162</v>
      </c>
      <c r="D129" s="35" t="s">
        <v>291</v>
      </c>
      <c r="E129" s="26">
        <f ca="1">VLOOKUP(E35,Standardwerte!$C$5:$O$18,12,FALSE)</f>
        <v>0</v>
      </c>
      <c r="F129" s="26">
        <f ca="1">VLOOKUP(F35,Standardwerte!$C$5:$O$18,12,FALSE)</f>
        <v>0</v>
      </c>
      <c r="G129" s="26">
        <f ca="1">VLOOKUP(G35,Standardwerte!$C$5:$O$18,12,FALSE)</f>
        <v>0</v>
      </c>
      <c r="H129" s="26">
        <f ca="1">VLOOKUP(H35,Standardwerte!$C$5:$O$18,12,FALSE)</f>
        <v>0</v>
      </c>
      <c r="I129" s="26">
        <f ca="1">VLOOKUP(I35,Standardwerte!$C$5:$O$18,12,FALSE)</f>
        <v>0</v>
      </c>
      <c r="J129" s="26">
        <f ca="1">VLOOKUP(J35,Standardwerte!$C$5:$O$18,12,FALSE)</f>
        <v>0</v>
      </c>
      <c r="K129" s="26">
        <f ca="1">VLOOKUP(K35,Standardwerte!$C$5:$O$18,12,FALSE)</f>
        <v>0</v>
      </c>
      <c r="L129" s="26">
        <f ca="1">VLOOKUP(L35,Standardwerte!$C$5:$O$18,12,FALSE)</f>
        <v>0</v>
      </c>
      <c r="M129" s="26"/>
      <c r="N129" s="26"/>
      <c r="O129" s="26"/>
      <c r="P129" s="26"/>
      <c r="Q129" s="26"/>
      <c r="R129" s="26"/>
      <c r="S129" s="26"/>
      <c r="T129" s="26"/>
    </row>
    <row r="130" spans="2:20">
      <c r="B130" s="1" t="s">
        <v>1152</v>
      </c>
      <c r="D130" s="35" t="s">
        <v>132</v>
      </c>
      <c r="E130" s="26">
        <f ca="1">E126*E129</f>
        <v>0</v>
      </c>
      <c r="F130" s="26">
        <f ca="1">F126*F129</f>
        <v>0</v>
      </c>
      <c r="G130" s="26">
        <f t="shared" ref="G130" ca="1" si="28">G126*G129</f>
        <v>0</v>
      </c>
      <c r="H130" s="26">
        <f ca="1">H126*H129</f>
        <v>0</v>
      </c>
      <c r="I130" s="26">
        <f t="shared" ref="I130:L130" ca="1" si="29">I126*I129</f>
        <v>0</v>
      </c>
      <c r="J130" s="26">
        <f t="shared" ca="1" si="29"/>
        <v>0</v>
      </c>
      <c r="K130" s="26">
        <f t="shared" ca="1" si="29"/>
        <v>0</v>
      </c>
      <c r="L130" s="26">
        <f t="shared" ca="1" si="29"/>
        <v>0</v>
      </c>
      <c r="M130" s="26"/>
      <c r="N130" s="26"/>
      <c r="O130" s="26"/>
      <c r="P130" s="26"/>
      <c r="Q130" s="26"/>
      <c r="R130" s="26"/>
      <c r="S130" s="26"/>
      <c r="T130" s="26"/>
    </row>
    <row r="131" spans="2:20">
      <c r="B131" s="1" t="s">
        <v>1163</v>
      </c>
      <c r="D131" s="35" t="s">
        <v>291</v>
      </c>
      <c r="E131" s="26">
        <f ca="1">VLOOKUP(E35,Standardwerte!$C$5:$O$18,11,FALSE)</f>
        <v>0</v>
      </c>
      <c r="F131" s="26">
        <f ca="1">VLOOKUP(F35,Standardwerte!$C$5:$O$18,11,FALSE)</f>
        <v>0</v>
      </c>
      <c r="G131" s="26">
        <f ca="1">VLOOKUP(G35,Standardwerte!$C$5:$O$18,11,FALSE)</f>
        <v>0</v>
      </c>
      <c r="H131" s="26">
        <f ca="1">VLOOKUP(H35,Standardwerte!$C$5:$O$18,11,FALSE)</f>
        <v>0</v>
      </c>
      <c r="I131" s="26">
        <f ca="1">VLOOKUP(I35,Standardwerte!$C$5:$O$18,11,FALSE)</f>
        <v>0</v>
      </c>
      <c r="J131" s="26">
        <f ca="1">VLOOKUP(J35,Standardwerte!$C$5:$O$18,11,FALSE)</f>
        <v>0</v>
      </c>
      <c r="K131" s="26">
        <f ca="1">VLOOKUP(K35,Standardwerte!$C$5:$O$18,11,FALSE)</f>
        <v>0</v>
      </c>
      <c r="L131" s="26">
        <f ca="1">VLOOKUP(L35,Standardwerte!$C$5:$O$18,11,FALSE)</f>
        <v>0</v>
      </c>
      <c r="M131" s="26"/>
      <c r="N131" s="26"/>
      <c r="O131" s="26"/>
      <c r="P131" s="26"/>
      <c r="Q131" s="26"/>
      <c r="R131" s="26"/>
      <c r="S131" s="26"/>
      <c r="T131" s="26"/>
    </row>
    <row r="132" spans="2:20">
      <c r="B132" s="1" t="s">
        <v>1153</v>
      </c>
      <c r="D132" s="35" t="s">
        <v>132</v>
      </c>
      <c r="E132" s="26">
        <f ca="1">E126*E131</f>
        <v>0</v>
      </c>
      <c r="F132" s="26">
        <f ca="1">F126*F131</f>
        <v>0</v>
      </c>
      <c r="G132" s="26">
        <f t="shared" ref="G132:L132" ca="1" si="30">G126*G131</f>
        <v>0</v>
      </c>
      <c r="H132" s="26">
        <f t="shared" ca="1" si="30"/>
        <v>0</v>
      </c>
      <c r="I132" s="26">
        <f t="shared" ca="1" si="30"/>
        <v>0</v>
      </c>
      <c r="J132" s="26">
        <f t="shared" ca="1" si="30"/>
        <v>0</v>
      </c>
      <c r="K132" s="26">
        <f t="shared" ca="1" si="30"/>
        <v>0</v>
      </c>
      <c r="L132" s="26">
        <f t="shared" ca="1" si="30"/>
        <v>0</v>
      </c>
      <c r="M132" s="26"/>
      <c r="N132" s="26"/>
      <c r="O132" s="26"/>
      <c r="P132" s="26"/>
      <c r="Q132" s="26"/>
      <c r="R132" s="26"/>
      <c r="S132" s="26"/>
      <c r="T132" s="26"/>
    </row>
    <row r="133" spans="2:20">
      <c r="B133" s="1" t="s">
        <v>1164</v>
      </c>
      <c r="D133" s="35" t="s">
        <v>1166</v>
      </c>
      <c r="E133" s="26">
        <f ca="1">VLOOKUP(E35,Standardwerte!$C$5:$O$18,13,FALSE)</f>
        <v>0</v>
      </c>
      <c r="F133" s="26">
        <f ca="1">VLOOKUP(F35,Standardwerte!$C$5:$O$18,13,FALSE)</f>
        <v>0</v>
      </c>
      <c r="G133" s="26">
        <f ca="1">VLOOKUP(G35,Standardwerte!$C$5:$O$18,13,FALSE)</f>
        <v>0</v>
      </c>
      <c r="H133" s="26">
        <f ca="1">VLOOKUP(H35,Standardwerte!$C$5:$O$18,13,FALSE)</f>
        <v>0</v>
      </c>
      <c r="I133" s="26">
        <f ca="1">VLOOKUP(I35,Standardwerte!$C$5:$O$18,13,FALSE)</f>
        <v>0</v>
      </c>
      <c r="J133" s="26">
        <f ca="1">VLOOKUP(J35,Standardwerte!$C$5:$O$18,13,FALSE)</f>
        <v>0</v>
      </c>
      <c r="K133" s="26">
        <f ca="1">VLOOKUP(K35,Standardwerte!$C$5:$O$18,13,FALSE)</f>
        <v>0</v>
      </c>
      <c r="L133" s="26">
        <f ca="1">VLOOKUP(L35,Standardwerte!$C$5:$O$18,13,FALSE)</f>
        <v>0</v>
      </c>
      <c r="M133" s="26"/>
      <c r="N133" s="26"/>
      <c r="O133" s="26"/>
      <c r="P133" s="26"/>
      <c r="Q133" s="26"/>
      <c r="R133" s="26"/>
      <c r="S133" s="26"/>
      <c r="T133" s="26"/>
    </row>
    <row r="134" spans="2:20">
      <c r="B134" s="1" t="s">
        <v>1154</v>
      </c>
      <c r="D134" s="140" t="s">
        <v>28</v>
      </c>
      <c r="E134" s="26">
        <f ca="1">E126*E133</f>
        <v>0</v>
      </c>
      <c r="F134" s="26">
        <f ca="1">F126*F133</f>
        <v>0</v>
      </c>
      <c r="G134" s="26">
        <f t="shared" ref="G134:L134" ca="1" si="31">G126*G133</f>
        <v>0</v>
      </c>
      <c r="H134" s="26">
        <f t="shared" ca="1" si="31"/>
        <v>0</v>
      </c>
      <c r="I134" s="26">
        <f t="shared" ca="1" si="31"/>
        <v>0</v>
      </c>
      <c r="J134" s="26">
        <f t="shared" ca="1" si="31"/>
        <v>0</v>
      </c>
      <c r="K134" s="26">
        <f t="shared" ca="1" si="31"/>
        <v>0</v>
      </c>
      <c r="L134" s="26">
        <f t="shared" ca="1" si="31"/>
        <v>0</v>
      </c>
      <c r="M134" s="26"/>
      <c r="N134" s="26"/>
      <c r="O134" s="26"/>
      <c r="P134" s="26"/>
      <c r="Q134" s="26"/>
      <c r="R134" s="26"/>
      <c r="S134" s="26"/>
      <c r="T134" s="26"/>
    </row>
    <row r="135" spans="2:20" ht="6.6" customHeight="1">
      <c r="D135" s="35"/>
      <c r="E135" s="69"/>
      <c r="F135" s="69"/>
      <c r="G135" s="69"/>
      <c r="H135" s="69"/>
      <c r="I135" s="69"/>
      <c r="J135" s="69"/>
      <c r="K135" s="69"/>
      <c r="L135" s="69"/>
      <c r="M135" s="69"/>
      <c r="N135" s="69"/>
      <c r="O135" s="69"/>
      <c r="P135" s="69"/>
      <c r="Q135" s="69"/>
      <c r="R135" s="69"/>
      <c r="S135" s="69"/>
      <c r="T135" s="69"/>
    </row>
    <row r="136" spans="2:20">
      <c r="B136" s="1" t="s">
        <v>1155</v>
      </c>
      <c r="D136" s="35" t="s">
        <v>136</v>
      </c>
      <c r="E136" s="26" t="str">
        <f ca="1">Vergleich!G25</f>
        <v/>
      </c>
      <c r="F136" s="26" t="str">
        <f ca="1">Vergleich!I25</f>
        <v/>
      </c>
      <c r="G136" s="26" t="str">
        <f ca="1">Vergleich!L25</f>
        <v/>
      </c>
      <c r="H136" s="26" t="str">
        <f ca="1">Vergleich!N25</f>
        <v/>
      </c>
      <c r="I136" s="26" t="str">
        <f ca="1">Vergleich!Q25</f>
        <v/>
      </c>
      <c r="J136" s="26" t="str">
        <f ca="1">Vergleich!S25</f>
        <v/>
      </c>
      <c r="K136" s="26" t="str">
        <f ca="1">Vergleich!V25</f>
        <v/>
      </c>
      <c r="L136" s="26" t="str">
        <f ca="1">Vergleich!X25</f>
        <v/>
      </c>
      <c r="M136" s="26"/>
      <c r="N136" s="26"/>
      <c r="O136" s="26"/>
      <c r="P136" s="26"/>
      <c r="Q136" s="26"/>
      <c r="R136" s="26"/>
      <c r="S136" s="26"/>
      <c r="T136" s="26"/>
    </row>
    <row r="137" spans="2:20">
      <c r="B137" s="1" t="s">
        <v>1156</v>
      </c>
      <c r="D137" s="35" t="s">
        <v>195</v>
      </c>
      <c r="E137" s="22">
        <f t="shared" ref="E137:L137" ca="1" si="32">VLOOKUP(E35,$B$229:$T$242,E267,FALSE)</f>
        <v>0</v>
      </c>
      <c r="F137" s="22">
        <f t="shared" ca="1" si="32"/>
        <v>0</v>
      </c>
      <c r="G137" s="22">
        <f t="shared" ca="1" si="32"/>
        <v>0</v>
      </c>
      <c r="H137" s="22">
        <f t="shared" ca="1" si="32"/>
        <v>0</v>
      </c>
      <c r="I137" s="22">
        <f t="shared" ca="1" si="32"/>
        <v>0</v>
      </c>
      <c r="J137" s="22">
        <f t="shared" ca="1" si="32"/>
        <v>0</v>
      </c>
      <c r="K137" s="22">
        <f t="shared" ca="1" si="32"/>
        <v>0</v>
      </c>
      <c r="L137" s="22">
        <f t="shared" ca="1" si="32"/>
        <v>0</v>
      </c>
      <c r="M137" s="26"/>
      <c r="N137" s="26"/>
      <c r="O137" s="26"/>
      <c r="P137" s="26"/>
      <c r="Q137" s="26"/>
      <c r="R137" s="26"/>
      <c r="S137" s="26"/>
      <c r="T137" s="26"/>
    </row>
    <row r="138" spans="2:20">
      <c r="B138" s="8" t="s">
        <v>312</v>
      </c>
      <c r="C138" s="8"/>
      <c r="D138" s="124" t="s">
        <v>175</v>
      </c>
      <c r="E138" s="180">
        <f ca="1">IFERROR(E136*E137,0)</f>
        <v>0</v>
      </c>
      <c r="F138" s="180">
        <f ca="1">IFERROR(F136*F137,0)</f>
        <v>0</v>
      </c>
      <c r="G138" s="180">
        <f t="shared" ref="G138:L138" ca="1" si="33">IFERROR(G136*G137,0)</f>
        <v>0</v>
      </c>
      <c r="H138" s="180">
        <f t="shared" ca="1" si="33"/>
        <v>0</v>
      </c>
      <c r="I138" s="180">
        <f t="shared" ca="1" si="33"/>
        <v>0</v>
      </c>
      <c r="J138" s="180">
        <f t="shared" ca="1" si="33"/>
        <v>0</v>
      </c>
      <c r="K138" s="180">
        <f t="shared" ca="1" si="33"/>
        <v>0</v>
      </c>
      <c r="L138" s="180">
        <f t="shared" ca="1" si="33"/>
        <v>0</v>
      </c>
      <c r="M138" s="180"/>
      <c r="N138" s="180"/>
      <c r="O138" s="180"/>
      <c r="P138" s="180"/>
      <c r="Q138" s="180"/>
      <c r="R138" s="180"/>
      <c r="S138" s="180"/>
      <c r="T138" s="180"/>
    </row>
    <row r="139" spans="2:20">
      <c r="D139" s="35"/>
    </row>
    <row r="140" spans="2:20">
      <c r="B140" s="8" t="s">
        <v>1237</v>
      </c>
      <c r="D140" s="35"/>
    </row>
    <row r="141" spans="2:20">
      <c r="B141" s="1" t="s">
        <v>1239</v>
      </c>
      <c r="D141" s="35" t="s">
        <v>131</v>
      </c>
      <c r="E141" s="26">
        <f ca="1">E84+E97+F97</f>
        <v>0</v>
      </c>
      <c r="F141" s="302"/>
      <c r="G141" s="26">
        <f ca="1">G84+G97+H97</f>
        <v>0</v>
      </c>
      <c r="H141" s="302"/>
      <c r="I141" s="26">
        <f ca="1">I84+I97+J97</f>
        <v>0</v>
      </c>
      <c r="J141" s="302"/>
      <c r="K141" s="26">
        <f ca="1">K84+K97+L97</f>
        <v>0</v>
      </c>
      <c r="L141" s="302"/>
      <c r="M141" s="26">
        <f>M84+M97+N97</f>
        <v>0</v>
      </c>
      <c r="N141" s="302"/>
      <c r="O141" s="26">
        <f>O84+O97+P97</f>
        <v>0</v>
      </c>
      <c r="P141" s="302"/>
      <c r="Q141" s="26">
        <f>Q84+Q97+R97</f>
        <v>0</v>
      </c>
      <c r="R141" s="302"/>
      <c r="S141" s="26">
        <f>S84+S97+T97</f>
        <v>0</v>
      </c>
      <c r="T141" s="302"/>
    </row>
    <row r="142" spans="2:20">
      <c r="B142" s="1" t="s">
        <v>1298</v>
      </c>
      <c r="D142" s="35" t="s">
        <v>131</v>
      </c>
      <c r="E142" s="296">
        <f ca="1">MAX(E141:T141)</f>
        <v>0</v>
      </c>
    </row>
    <row r="143" spans="2:20">
      <c r="B143" s="1" t="s">
        <v>1240</v>
      </c>
      <c r="D143" s="35" t="s">
        <v>131</v>
      </c>
      <c r="E143" s="26">
        <f ca="1">($E$142-E141)*E36</f>
        <v>0</v>
      </c>
      <c r="F143" s="302"/>
      <c r="G143" s="26">
        <f ca="1">($E$142-G141)*G36</f>
        <v>0</v>
      </c>
      <c r="H143" s="302"/>
      <c r="I143" s="26">
        <f ca="1">($E$142-I141)*I36</f>
        <v>0</v>
      </c>
      <c r="J143" s="302"/>
      <c r="K143" s="26">
        <f ca="1">($E$142-K141)*K36</f>
        <v>0</v>
      </c>
      <c r="L143" s="302"/>
      <c r="M143" s="26">
        <f ca="1">($E$142-M141)*M36</f>
        <v>0</v>
      </c>
      <c r="N143" s="302"/>
      <c r="O143" s="26">
        <f ca="1">($E$142-O141)*O36</f>
        <v>0</v>
      </c>
      <c r="P143" s="302"/>
      <c r="Q143" s="26">
        <f ca="1">($E$142-Q141)*Q36</f>
        <v>0</v>
      </c>
      <c r="R143" s="302"/>
      <c r="S143" s="26">
        <f ca="1">($E$142-S141)*S36</f>
        <v>0</v>
      </c>
      <c r="T143" s="302"/>
    </row>
    <row r="144" spans="2:20">
      <c r="B144" s="1" t="s">
        <v>1241</v>
      </c>
      <c r="D144" s="35" t="s">
        <v>175</v>
      </c>
      <c r="E144" s="26">
        <f ca="1">E143*E170</f>
        <v>0</v>
      </c>
      <c r="F144" s="303"/>
      <c r="G144" s="26">
        <f ca="1">G143*G170</f>
        <v>0</v>
      </c>
      <c r="H144" s="303"/>
      <c r="I144" s="26">
        <f ca="1">I143*I170</f>
        <v>0</v>
      </c>
      <c r="J144" s="303"/>
      <c r="K144" s="26">
        <f ca="1">K143*K170</f>
        <v>0</v>
      </c>
      <c r="L144" s="303"/>
      <c r="M144" s="26">
        <f ca="1">M143*M170</f>
        <v>0</v>
      </c>
      <c r="N144" s="303"/>
      <c r="O144" s="26">
        <f ca="1">O143*O170</f>
        <v>0</v>
      </c>
      <c r="P144" s="303"/>
      <c r="Q144" s="26">
        <f ca="1">Q143*Q170</f>
        <v>0</v>
      </c>
      <c r="R144" s="303"/>
      <c r="S144" s="26">
        <f ca="1">S143*S170</f>
        <v>0</v>
      </c>
      <c r="T144" s="303"/>
    </row>
    <row r="145" spans="2:24">
      <c r="D145" s="35"/>
    </row>
    <row r="147" spans="2:24" ht="15.75">
      <c r="B147" s="57" t="s">
        <v>1171</v>
      </c>
      <c r="D147" s="35"/>
    </row>
    <row r="148" spans="2:24">
      <c r="B148" s="1" t="s">
        <v>193</v>
      </c>
      <c r="C148" s="1" t="s">
        <v>1672</v>
      </c>
      <c r="D148" s="35" t="s">
        <v>175</v>
      </c>
      <c r="E148" s="26">
        <f ca="1">E144</f>
        <v>0</v>
      </c>
      <c r="F148" s="26">
        <f t="shared" ref="F148:T148" si="34">F144</f>
        <v>0</v>
      </c>
      <c r="G148" s="26">
        <f t="shared" ca="1" si="34"/>
        <v>0</v>
      </c>
      <c r="H148" s="26">
        <f t="shared" si="34"/>
        <v>0</v>
      </c>
      <c r="I148" s="26">
        <f t="shared" ca="1" si="34"/>
        <v>0</v>
      </c>
      <c r="J148" s="26">
        <f t="shared" si="34"/>
        <v>0</v>
      </c>
      <c r="K148" s="26">
        <f t="shared" ca="1" si="34"/>
        <v>0</v>
      </c>
      <c r="L148" s="26">
        <f t="shared" si="34"/>
        <v>0</v>
      </c>
      <c r="M148" s="26">
        <f t="shared" ca="1" si="34"/>
        <v>0</v>
      </c>
      <c r="N148" s="26">
        <f t="shared" si="34"/>
        <v>0</v>
      </c>
      <c r="O148" s="26">
        <f t="shared" ca="1" si="34"/>
        <v>0</v>
      </c>
      <c r="P148" s="26">
        <f t="shared" si="34"/>
        <v>0</v>
      </c>
      <c r="Q148" s="26">
        <f t="shared" ca="1" si="34"/>
        <v>0</v>
      </c>
      <c r="R148" s="26">
        <f t="shared" si="34"/>
        <v>0</v>
      </c>
      <c r="S148" s="26">
        <f t="shared" ca="1" si="34"/>
        <v>0</v>
      </c>
      <c r="T148" s="26">
        <f t="shared" si="34"/>
        <v>0</v>
      </c>
    </row>
    <row r="149" spans="2:24">
      <c r="C149" s="1" t="s">
        <v>1648</v>
      </c>
      <c r="D149" s="35" t="s">
        <v>175</v>
      </c>
      <c r="E149" s="26">
        <f ca="1">E114</f>
        <v>0</v>
      </c>
      <c r="F149" s="26">
        <f t="shared" ref="F149:T149" ca="1" si="35">F114</f>
        <v>0</v>
      </c>
      <c r="G149" s="26">
        <f t="shared" ca="1" si="35"/>
        <v>0</v>
      </c>
      <c r="H149" s="26">
        <f t="shared" ca="1" si="35"/>
        <v>0</v>
      </c>
      <c r="I149" s="26">
        <f t="shared" ca="1" si="35"/>
        <v>0</v>
      </c>
      <c r="J149" s="26">
        <f t="shared" ca="1" si="35"/>
        <v>0</v>
      </c>
      <c r="K149" s="26">
        <f t="shared" ca="1" si="35"/>
        <v>0</v>
      </c>
      <c r="L149" s="26">
        <f t="shared" ca="1" si="35"/>
        <v>0</v>
      </c>
      <c r="M149" s="26">
        <f t="shared" si="35"/>
        <v>0</v>
      </c>
      <c r="N149" s="26">
        <f t="shared" si="35"/>
        <v>0</v>
      </c>
      <c r="O149" s="26">
        <f t="shared" si="35"/>
        <v>0</v>
      </c>
      <c r="P149" s="26">
        <f t="shared" si="35"/>
        <v>0</v>
      </c>
      <c r="Q149" s="26">
        <f t="shared" si="35"/>
        <v>0</v>
      </c>
      <c r="R149" s="26">
        <f t="shared" si="35"/>
        <v>0</v>
      </c>
      <c r="S149" s="26">
        <f t="shared" si="35"/>
        <v>0</v>
      </c>
      <c r="T149" s="26">
        <f t="shared" si="35"/>
        <v>0</v>
      </c>
    </row>
    <row r="150" spans="2:24">
      <c r="C150" s="1" t="s">
        <v>1650</v>
      </c>
      <c r="D150" s="35" t="s">
        <v>175</v>
      </c>
      <c r="E150" s="26">
        <f ca="1">E128</f>
        <v>0</v>
      </c>
      <c r="F150" s="26">
        <f t="shared" ref="F150:T150" ca="1" si="36">F128</f>
        <v>0</v>
      </c>
      <c r="G150" s="26">
        <f t="shared" ca="1" si="36"/>
        <v>0</v>
      </c>
      <c r="H150" s="26">
        <f t="shared" ca="1" si="36"/>
        <v>0</v>
      </c>
      <c r="I150" s="26">
        <f t="shared" ca="1" si="36"/>
        <v>0</v>
      </c>
      <c r="J150" s="26">
        <f t="shared" ca="1" si="36"/>
        <v>0</v>
      </c>
      <c r="K150" s="26">
        <f t="shared" ca="1" si="36"/>
        <v>0</v>
      </c>
      <c r="L150" s="26">
        <f t="shared" ca="1" si="36"/>
        <v>0</v>
      </c>
      <c r="M150" s="26">
        <f t="shared" si="36"/>
        <v>0</v>
      </c>
      <c r="N150" s="26">
        <f t="shared" si="36"/>
        <v>0</v>
      </c>
      <c r="O150" s="26">
        <f t="shared" si="36"/>
        <v>0</v>
      </c>
      <c r="P150" s="26">
        <f t="shared" si="36"/>
        <v>0</v>
      </c>
      <c r="Q150" s="26">
        <f t="shared" si="36"/>
        <v>0</v>
      </c>
      <c r="R150" s="26">
        <f t="shared" si="36"/>
        <v>0</v>
      </c>
      <c r="S150" s="26">
        <f t="shared" si="36"/>
        <v>0</v>
      </c>
      <c r="T150" s="26">
        <f t="shared" si="36"/>
        <v>0</v>
      </c>
    </row>
    <row r="151" spans="2:24">
      <c r="C151" s="1" t="s">
        <v>172</v>
      </c>
      <c r="D151" s="35" t="s">
        <v>175</v>
      </c>
      <c r="E151" s="26">
        <f ca="1">E138</f>
        <v>0</v>
      </c>
      <c r="F151" s="26">
        <f t="shared" ref="F151:T151" ca="1" si="37">F138</f>
        <v>0</v>
      </c>
      <c r="G151" s="26">
        <f t="shared" ca="1" si="37"/>
        <v>0</v>
      </c>
      <c r="H151" s="26">
        <f t="shared" ca="1" si="37"/>
        <v>0</v>
      </c>
      <c r="I151" s="26">
        <f t="shared" ca="1" si="37"/>
        <v>0</v>
      </c>
      <c r="J151" s="26">
        <f t="shared" ca="1" si="37"/>
        <v>0</v>
      </c>
      <c r="K151" s="26">
        <f t="shared" ca="1" si="37"/>
        <v>0</v>
      </c>
      <c r="L151" s="26">
        <f t="shared" ca="1" si="37"/>
        <v>0</v>
      </c>
      <c r="M151" s="26">
        <f t="shared" si="37"/>
        <v>0</v>
      </c>
      <c r="N151" s="26">
        <f t="shared" si="37"/>
        <v>0</v>
      </c>
      <c r="O151" s="26">
        <f t="shared" si="37"/>
        <v>0</v>
      </c>
      <c r="P151" s="26">
        <f t="shared" si="37"/>
        <v>0</v>
      </c>
      <c r="Q151" s="26">
        <f t="shared" si="37"/>
        <v>0</v>
      </c>
      <c r="R151" s="26">
        <f t="shared" si="37"/>
        <v>0</v>
      </c>
      <c r="S151" s="26">
        <f t="shared" si="37"/>
        <v>0</v>
      </c>
      <c r="T151" s="26">
        <f t="shared" si="37"/>
        <v>0</v>
      </c>
    </row>
    <row r="152" spans="2:24">
      <c r="B152" s="83" t="s">
        <v>704</v>
      </c>
      <c r="D152" s="35" t="s">
        <v>175</v>
      </c>
      <c r="E152" s="26">
        <f ca="1">E87+E100</f>
        <v>0</v>
      </c>
      <c r="F152" s="26">
        <f ca="1">F87+F100</f>
        <v>0</v>
      </c>
      <c r="G152" s="26">
        <f ca="1">G87+G100</f>
        <v>0</v>
      </c>
      <c r="H152" s="26">
        <f t="shared" ref="H152:T152" ca="1" si="38">H87+H100</f>
        <v>0</v>
      </c>
      <c r="I152" s="26">
        <f t="shared" ca="1" si="38"/>
        <v>0</v>
      </c>
      <c r="J152" s="26">
        <f t="shared" ca="1" si="38"/>
        <v>0</v>
      </c>
      <c r="K152" s="26">
        <f t="shared" ca="1" si="38"/>
        <v>0</v>
      </c>
      <c r="L152" s="26">
        <f t="shared" ca="1" si="38"/>
        <v>0</v>
      </c>
      <c r="M152" s="26">
        <f t="shared" si="38"/>
        <v>0</v>
      </c>
      <c r="N152" s="26">
        <f t="shared" si="38"/>
        <v>0</v>
      </c>
      <c r="O152" s="26">
        <f t="shared" si="38"/>
        <v>0</v>
      </c>
      <c r="P152" s="26">
        <f t="shared" si="38"/>
        <v>0</v>
      </c>
      <c r="Q152" s="26">
        <f t="shared" si="38"/>
        <v>0</v>
      </c>
      <c r="R152" s="26">
        <f t="shared" si="38"/>
        <v>0</v>
      </c>
      <c r="S152" s="26">
        <f t="shared" si="38"/>
        <v>0</v>
      </c>
      <c r="T152" s="26">
        <f t="shared" si="38"/>
        <v>0</v>
      </c>
    </row>
    <row r="153" spans="2:24">
      <c r="B153" s="83" t="s">
        <v>1232</v>
      </c>
      <c r="D153" s="35" t="s">
        <v>175</v>
      </c>
      <c r="E153" s="26">
        <f ca="1">E89+E102</f>
        <v>0</v>
      </c>
      <c r="F153" s="26">
        <f ca="1">F89+F102</f>
        <v>0</v>
      </c>
      <c r="G153" s="26">
        <f ca="1">G89+G102</f>
        <v>0</v>
      </c>
      <c r="H153" s="26">
        <f t="shared" ref="H153:T153" ca="1" si="39">H89+H102</f>
        <v>0</v>
      </c>
      <c r="I153" s="26">
        <f t="shared" ca="1" si="39"/>
        <v>0</v>
      </c>
      <c r="J153" s="26">
        <f t="shared" ca="1" si="39"/>
        <v>0</v>
      </c>
      <c r="K153" s="26">
        <f t="shared" ca="1" si="39"/>
        <v>0</v>
      </c>
      <c r="L153" s="26">
        <f t="shared" ca="1" si="39"/>
        <v>0</v>
      </c>
      <c r="M153" s="26">
        <f t="shared" si="39"/>
        <v>0</v>
      </c>
      <c r="N153" s="26">
        <f t="shared" si="39"/>
        <v>0</v>
      </c>
      <c r="O153" s="26">
        <f t="shared" si="39"/>
        <v>0</v>
      </c>
      <c r="P153" s="26">
        <f t="shared" si="39"/>
        <v>0</v>
      </c>
      <c r="Q153" s="26">
        <f t="shared" si="39"/>
        <v>0</v>
      </c>
      <c r="R153" s="26">
        <f t="shared" si="39"/>
        <v>0</v>
      </c>
      <c r="S153" s="26">
        <f t="shared" si="39"/>
        <v>0</v>
      </c>
      <c r="T153" s="26">
        <f t="shared" si="39"/>
        <v>0</v>
      </c>
    </row>
    <row r="154" spans="2:24">
      <c r="B154" s="1" t="s">
        <v>1262</v>
      </c>
      <c r="D154" s="35" t="s">
        <v>175</v>
      </c>
      <c r="E154" s="26">
        <f ca="1">SUM(E148:E151)-E152-E153</f>
        <v>0</v>
      </c>
      <c r="F154" s="26">
        <f t="shared" ref="F154:T154" ca="1" si="40">SUM(F148:F151)-F152-F153</f>
        <v>0</v>
      </c>
      <c r="G154" s="26">
        <f t="shared" ca="1" si="40"/>
        <v>0</v>
      </c>
      <c r="H154" s="26">
        <f t="shared" ca="1" si="40"/>
        <v>0</v>
      </c>
      <c r="I154" s="26">
        <f t="shared" ca="1" si="40"/>
        <v>0</v>
      </c>
      <c r="J154" s="26">
        <f t="shared" ca="1" si="40"/>
        <v>0</v>
      </c>
      <c r="K154" s="26">
        <f t="shared" ca="1" si="40"/>
        <v>0</v>
      </c>
      <c r="L154" s="26">
        <f t="shared" ca="1" si="40"/>
        <v>0</v>
      </c>
      <c r="M154" s="26">
        <f t="shared" ca="1" si="40"/>
        <v>0</v>
      </c>
      <c r="N154" s="26">
        <f t="shared" si="40"/>
        <v>0</v>
      </c>
      <c r="O154" s="26">
        <f t="shared" ca="1" si="40"/>
        <v>0</v>
      </c>
      <c r="P154" s="26">
        <f t="shared" si="40"/>
        <v>0</v>
      </c>
      <c r="Q154" s="26">
        <f t="shared" ca="1" si="40"/>
        <v>0</v>
      </c>
      <c r="R154" s="26">
        <f t="shared" si="40"/>
        <v>0</v>
      </c>
      <c r="S154" s="26">
        <f t="shared" ca="1" si="40"/>
        <v>0</v>
      </c>
      <c r="T154" s="26">
        <f t="shared" si="40"/>
        <v>0</v>
      </c>
    </row>
    <row r="155" spans="2:24">
      <c r="W155" s="1">
        <v>15.75</v>
      </c>
      <c r="X155" s="1">
        <v>9.0999999999999998E-2</v>
      </c>
    </row>
    <row r="156" spans="2:24">
      <c r="B156" s="125" t="s">
        <v>1295</v>
      </c>
      <c r="W156" s="1">
        <v>31.5</v>
      </c>
      <c r="X156" s="1">
        <v>8.3000000000000004E-2</v>
      </c>
    </row>
    <row r="157" spans="2:24">
      <c r="B157" s="1" t="s">
        <v>1296</v>
      </c>
      <c r="D157" s="35" t="s">
        <v>175</v>
      </c>
      <c r="E157" s="26">
        <f ca="1">E138*(1+Projektdaten!$E$62)</f>
        <v>0</v>
      </c>
      <c r="F157" s="26">
        <f ca="1">F138*(1+Projektdaten!$E$62)</f>
        <v>0</v>
      </c>
      <c r="G157" s="26">
        <f ca="1">G138*(1+Projektdaten!$E$62)</f>
        <v>0</v>
      </c>
      <c r="H157" s="26">
        <f ca="1">H138*(1+Projektdaten!$E$62)</f>
        <v>0</v>
      </c>
      <c r="I157" s="26">
        <f ca="1">I138*(1+Projektdaten!$E$62)</f>
        <v>0</v>
      </c>
      <c r="J157" s="26">
        <f ca="1">J138*(1+Projektdaten!$E$62)</f>
        <v>0</v>
      </c>
      <c r="K157" s="26">
        <f ca="1">K138*(1+Projektdaten!$E$62)</f>
        <v>0</v>
      </c>
      <c r="L157" s="26">
        <f ca="1">L138*(1+Projektdaten!$E$62)</f>
        <v>0</v>
      </c>
      <c r="M157" s="26">
        <f>M138*(1+Projektdaten!$E$62)</f>
        <v>0</v>
      </c>
      <c r="N157" s="26">
        <f>N138*(1+Projektdaten!$E$62)</f>
        <v>0</v>
      </c>
      <c r="O157" s="26">
        <f>O138*(1+Projektdaten!$E$62)</f>
        <v>0</v>
      </c>
      <c r="P157" s="26">
        <f>P138*(1+Projektdaten!$E$62)</f>
        <v>0</v>
      </c>
      <c r="Q157" s="26">
        <f>Q138*(1+Projektdaten!$E$62)</f>
        <v>0</v>
      </c>
      <c r="R157" s="26">
        <f>R138*(1+Projektdaten!$E$62)</f>
        <v>0</v>
      </c>
      <c r="S157" s="26">
        <f>S138*(1+Projektdaten!$E$62)</f>
        <v>0</v>
      </c>
      <c r="T157" s="26">
        <f>T138*(1+Projektdaten!$E$62)</f>
        <v>0</v>
      </c>
      <c r="W157" s="1">
        <v>63</v>
      </c>
      <c r="X157" s="1">
        <v>0.08</v>
      </c>
    </row>
    <row r="158" spans="2:24">
      <c r="B158" s="1" t="s">
        <v>1193</v>
      </c>
      <c r="D158" s="35" t="s">
        <v>175</v>
      </c>
      <c r="E158" s="26">
        <f ca="1">(E114+E128+E144)*(1+Projektdaten!$E$62)</f>
        <v>0</v>
      </c>
      <c r="F158" s="26">
        <f ca="1">(F114+F128+F144)*(1+Projektdaten!$E$62)</f>
        <v>0</v>
      </c>
      <c r="G158" s="26">
        <f ca="1">(G114+G128+G144)*(1+Projektdaten!$E$62)</f>
        <v>0</v>
      </c>
      <c r="H158" s="26">
        <f ca="1">(H114+H128+H144)*(1+Projektdaten!$E$62)</f>
        <v>0</v>
      </c>
      <c r="I158" s="26">
        <f ca="1">(I114+I128+I144)*(1+Projektdaten!$E$62)</f>
        <v>0</v>
      </c>
      <c r="J158" s="26">
        <f ca="1">(J114+J128+J144)*(1+Projektdaten!$E$62)</f>
        <v>0</v>
      </c>
      <c r="K158" s="26">
        <f ca="1">(K114+K128+K144)*(1+Projektdaten!$E$62)</f>
        <v>0</v>
      </c>
      <c r="L158" s="26">
        <f ca="1">(L114+L128+L144)*(1+Projektdaten!$E$62)</f>
        <v>0</v>
      </c>
      <c r="M158" s="26">
        <f ca="1">(M114+M128+M144)*(1+Projektdaten!$E$62)</f>
        <v>0</v>
      </c>
      <c r="N158" s="26">
        <f>(N114+N128+N144)*(1+Projektdaten!$E$62)</f>
        <v>0</v>
      </c>
      <c r="O158" s="26">
        <f ca="1">(O114+O128+O144)*(1+Projektdaten!$E$62)</f>
        <v>0</v>
      </c>
      <c r="P158" s="26">
        <f>(P114+P128+P144)*(1+Projektdaten!$E$62)</f>
        <v>0</v>
      </c>
      <c r="Q158" s="26">
        <f ca="1">(Q114+Q128+Q144)*(1+Projektdaten!$E$62)</f>
        <v>0</v>
      </c>
      <c r="R158" s="26">
        <f>(R114+R128+R144)*(1+Projektdaten!$E$62)</f>
        <v>0</v>
      </c>
      <c r="S158" s="26">
        <f ca="1">(S114+S128+S144)*(1+Projektdaten!$E$62)</f>
        <v>0</v>
      </c>
      <c r="T158" s="26">
        <f>(T114+T128+T144)*(1+Projektdaten!$E$62)</f>
        <v>0</v>
      </c>
      <c r="W158" s="1">
        <v>94.5</v>
      </c>
      <c r="X158" s="1">
        <v>7.9000000000000001E-2</v>
      </c>
    </row>
    <row r="159" spans="2:24">
      <c r="B159" s="1" t="s">
        <v>1297</v>
      </c>
      <c r="D159" s="35" t="s">
        <v>175</v>
      </c>
      <c r="E159" s="26">
        <f ca="1">(E87+E100)*(1+Projektdaten!$E$63)</f>
        <v>0</v>
      </c>
      <c r="F159" s="26">
        <f ca="1">(F87+F100)*(1+Projektdaten!$E$63)</f>
        <v>0</v>
      </c>
      <c r="G159" s="26">
        <f ca="1">(G87+G100)*(1+Projektdaten!$E$63)</f>
        <v>0</v>
      </c>
      <c r="H159" s="26">
        <f ca="1">(H87+H100)*(1+Projektdaten!$E$63)</f>
        <v>0</v>
      </c>
      <c r="I159" s="26">
        <f ca="1">(I87+I100)*(1+Projektdaten!$E$63)</f>
        <v>0</v>
      </c>
      <c r="J159" s="26">
        <f ca="1">(J87+J100)*(1+Projektdaten!$E$63)</f>
        <v>0</v>
      </c>
      <c r="K159" s="26">
        <f ca="1">(K87+K100)*(1+Projektdaten!$E$63)</f>
        <v>0</v>
      </c>
      <c r="L159" s="26">
        <f ca="1">(L87+L100)*(1+Projektdaten!$E$63)</f>
        <v>0</v>
      </c>
      <c r="M159" s="26">
        <f>(M87+M100)*(1+Projektdaten!$E$63)</f>
        <v>0</v>
      </c>
      <c r="N159" s="26">
        <f>(N87+N100)*(1+Projektdaten!$E$63)</f>
        <v>0</v>
      </c>
      <c r="O159" s="26">
        <f>(O87+O100)*(1+Projektdaten!$E$63)</f>
        <v>0</v>
      </c>
      <c r="P159" s="26">
        <f>(P87+P100)*(1+Projektdaten!$E$63)</f>
        <v>0</v>
      </c>
      <c r="Q159" s="26">
        <f>(Q87+Q100)*(1+Projektdaten!$E$63)</f>
        <v>0</v>
      </c>
      <c r="R159" s="26">
        <f>(R87+R100)*(1+Projektdaten!$E$63)</f>
        <v>0</v>
      </c>
      <c r="S159" s="26">
        <f>(S87+S100)*(1+Projektdaten!$E$63)</f>
        <v>0</v>
      </c>
      <c r="T159" s="26">
        <f>(T87+T100)*(1+Projektdaten!$E$63)</f>
        <v>0</v>
      </c>
      <c r="W159" s="1">
        <v>147</v>
      </c>
      <c r="X159" s="1">
        <v>7.6999999999999999E-2</v>
      </c>
    </row>
    <row r="160" spans="2:24">
      <c r="B160" s="1" t="s">
        <v>1232</v>
      </c>
      <c r="D160" s="35" t="s">
        <v>175</v>
      </c>
      <c r="E160" s="26">
        <f ca="1">(E89+E102)*(1+Projektdaten!$E$62)</f>
        <v>0</v>
      </c>
      <c r="F160" s="26">
        <f ca="1">(F89+F102)*(1+Projektdaten!$E$62)</f>
        <v>0</v>
      </c>
      <c r="G160" s="26">
        <f ca="1">(G89+G102)*(1+Projektdaten!$E$62)</f>
        <v>0</v>
      </c>
      <c r="H160" s="26">
        <f ca="1">(H89+H102)*(1+Projektdaten!$E$62)</f>
        <v>0</v>
      </c>
      <c r="I160" s="26">
        <f ca="1">(I89+I102)*(1+Projektdaten!$E$62)</f>
        <v>0</v>
      </c>
      <c r="J160" s="26">
        <f ca="1">(J89+J102)*(1+Projektdaten!$E$62)</f>
        <v>0</v>
      </c>
      <c r="K160" s="26">
        <f ca="1">(K89+K102)*(1+Projektdaten!$E$62)</f>
        <v>0</v>
      </c>
      <c r="L160" s="26">
        <f ca="1">(L89+L102)*(1+Projektdaten!$E$62)</f>
        <v>0</v>
      </c>
      <c r="M160" s="26">
        <f>(M89+M102)*(1+Projektdaten!$E$62)</f>
        <v>0</v>
      </c>
      <c r="N160" s="26">
        <f>(N89+N102)*(1+Projektdaten!$E$62)</f>
        <v>0</v>
      </c>
      <c r="O160" s="26">
        <f>(O89+O102)*(1+Projektdaten!$E$62)</f>
        <v>0</v>
      </c>
      <c r="P160" s="26">
        <f>(P89+P102)*(1+Projektdaten!$E$62)</f>
        <v>0</v>
      </c>
      <c r="Q160" s="26">
        <f>(Q89+Q102)*(1+Projektdaten!$E$62)</f>
        <v>0</v>
      </c>
      <c r="R160" s="26">
        <f>(R89+R102)*(1+Projektdaten!$E$62)</f>
        <v>0</v>
      </c>
      <c r="S160" s="26">
        <f>(S89+S102)*(1+Projektdaten!$E$62)</f>
        <v>0</v>
      </c>
      <c r="T160" s="26">
        <f>(T89+T102)*(1+Projektdaten!$E$62)</f>
        <v>0</v>
      </c>
      <c r="W160" s="1">
        <v>210</v>
      </c>
      <c r="X160" s="1">
        <v>7.6999999999999999E-2</v>
      </c>
    </row>
    <row r="161" spans="2:24">
      <c r="B161" s="1" t="s">
        <v>196</v>
      </c>
      <c r="D161" s="35" t="s">
        <v>175</v>
      </c>
      <c r="E161" s="26">
        <f ca="1">E122*(1+Projektdaten!$E$62)</f>
        <v>0</v>
      </c>
      <c r="F161" s="26">
        <f ca="1">F122*(1+Projektdaten!$E$62)</f>
        <v>0</v>
      </c>
      <c r="G161" s="26">
        <f ca="1">G122*(1+Projektdaten!$E$62)</f>
        <v>0</v>
      </c>
      <c r="H161" s="26">
        <f ca="1">H122*(1+Projektdaten!$E$62)</f>
        <v>0</v>
      </c>
      <c r="I161" s="26">
        <f ca="1">I122*(1+Projektdaten!$E$62)</f>
        <v>0</v>
      </c>
      <c r="J161" s="26">
        <f ca="1">J122*(1+Projektdaten!$E$62)</f>
        <v>0</v>
      </c>
      <c r="K161" s="26">
        <f ca="1">K122*(1+Projektdaten!$E$62)</f>
        <v>0</v>
      </c>
      <c r="L161" s="26">
        <f ca="1">L122*(1+Projektdaten!$E$62)</f>
        <v>0</v>
      </c>
      <c r="M161" s="26">
        <f>M122*(1+Projektdaten!$E$62)</f>
        <v>0</v>
      </c>
      <c r="N161" s="26">
        <f>N122*(1+Projektdaten!$E$62)</f>
        <v>0</v>
      </c>
      <c r="O161" s="26">
        <f>O122*(1+Projektdaten!$E$62)</f>
        <v>0</v>
      </c>
      <c r="P161" s="26">
        <f>P122*(1+Projektdaten!$E$62)</f>
        <v>0</v>
      </c>
      <c r="Q161" s="26">
        <f>Q122*(1+Projektdaten!$E$62)</f>
        <v>0</v>
      </c>
      <c r="R161" s="26">
        <f>R122*(1+Projektdaten!$E$62)</f>
        <v>0</v>
      </c>
      <c r="S161" s="26">
        <f>S122*(1+Projektdaten!$E$62)</f>
        <v>0</v>
      </c>
      <c r="T161" s="26">
        <f>T122*(1+Projektdaten!$E$62)</f>
        <v>0</v>
      </c>
      <c r="X161" s="1">
        <v>7.5999999999999998E-2</v>
      </c>
    </row>
    <row r="164" spans="2:24" ht="15.75">
      <c r="B164" s="57" t="s">
        <v>1659</v>
      </c>
    </row>
    <row r="165" spans="2:24">
      <c r="B165" s="1">
        <v>0</v>
      </c>
      <c r="C165" s="1" t="s">
        <v>122</v>
      </c>
      <c r="D165" s="35" t="s">
        <v>194</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W165" s="1">
        <v>15.75</v>
      </c>
      <c r="X165" s="1">
        <f>IF(W165&lt;=W155,X155,IF(W165&lt;=W156,X156,IF(W165&lt;=W157,X157,IF(W165&lt;=W158,X158,IF(W165&lt;=W159,X159,IF(W165&lt;=W160,X160,X161))))))</f>
        <v>9.0999999999999998E-2</v>
      </c>
    </row>
    <row r="166" spans="2:24">
      <c r="B166" s="1">
        <v>1</v>
      </c>
      <c r="C166" s="1" t="s">
        <v>0</v>
      </c>
      <c r="D166" s="35" t="s">
        <v>194</v>
      </c>
      <c r="E166" s="16">
        <f ca="1">IF(E$112&lt;=Standardwerte!$C$85,Standardwerte!$D$85,IF(E$112&lt;=Standardwerte!$C$86,Standardwerte!$D$86,IF(E$112&lt;=Standardwerte!$C$87,Standardwerte!$D$87,IF(E$112&lt;=Standardwerte!$C$88,Standardwerte!$D$88,IF(E$112&lt;=Standardwerte!$C$89,Standardwerte!$D$89,IF(E$112&lt;=Standardwerte!$C$90,Standardwerte!$D$90,Standardwerte!$D$91))))))</f>
        <v>0.106</v>
      </c>
      <c r="F166" s="16">
        <f ca="1">IF(F$112&lt;=Standardwerte!$C$85,Standardwerte!$D$85,IF(F$112&lt;=Standardwerte!$C$86,Standardwerte!$D$86,IF(F$112&lt;=Standardwerte!$C$87,Standardwerte!$D$87,IF(F$112&lt;=Standardwerte!$C$88,Standardwerte!$D$88,IF(F$112&lt;=Standardwerte!$C$89,Standardwerte!$D$89,IF(F$112&lt;=Standardwerte!$C$90,Standardwerte!$D$90,Standardwerte!$D$91))))))</f>
        <v>0.106</v>
      </c>
      <c r="G166" s="16">
        <f ca="1">IF(G$112&lt;=Standardwerte!$C$85,Standardwerte!$D$85,IF(G$112&lt;=Standardwerte!$C$86,Standardwerte!$D$86,IF(G$112&lt;=Standardwerte!$C$87,Standardwerte!$D$87,IF(G$112&lt;=Standardwerte!$C$88,Standardwerte!$D$88,IF(G$112&lt;=Standardwerte!$C$89,Standardwerte!$D$89,IF(G$112&lt;=Standardwerte!$C$90,Standardwerte!$D$90,Standardwerte!$D$91))))))</f>
        <v>0.106</v>
      </c>
      <c r="H166" s="16">
        <f ca="1">IF(H$112&lt;=Standardwerte!$C$85,Standardwerte!$D$85,IF(H$112&lt;=Standardwerte!$C$86,Standardwerte!$D$86,IF(H$112&lt;=Standardwerte!$C$87,Standardwerte!$D$87,IF(H$112&lt;=Standardwerte!$C$88,Standardwerte!$D$88,IF(H$112&lt;=Standardwerte!$C$89,Standardwerte!$D$89,IF(H$112&lt;=Standardwerte!$C$90,Standardwerte!$D$90,Standardwerte!$D$91))))))</f>
        <v>0.106</v>
      </c>
      <c r="I166" s="16">
        <f ca="1">IF(I$112&lt;=Standardwerte!$C$85,Standardwerte!$D$85,IF(I$112&lt;=Standardwerte!$C$86,Standardwerte!$D$86,IF(I$112&lt;=Standardwerte!$C$87,Standardwerte!$D$87,IF(I$112&lt;=Standardwerte!$C$88,Standardwerte!$D$88,IF(I$112&lt;=Standardwerte!$C$89,Standardwerte!$D$89,IF(I$112&lt;=Standardwerte!$C$90,Standardwerte!$D$90,Standardwerte!$D$91))))))</f>
        <v>0.106</v>
      </c>
      <c r="J166" s="16">
        <f ca="1">IF(J$112&lt;=Standardwerte!$C$85,Standardwerte!$D$85,IF(J$112&lt;=Standardwerte!$C$86,Standardwerte!$D$86,IF(J$112&lt;=Standardwerte!$C$87,Standardwerte!$D$87,IF(J$112&lt;=Standardwerte!$C$88,Standardwerte!$D$88,IF(J$112&lt;=Standardwerte!$C$89,Standardwerte!$D$89,IF(J$112&lt;=Standardwerte!$C$90,Standardwerte!$D$90,Standardwerte!$D$91))))))</f>
        <v>0.106</v>
      </c>
      <c r="K166" s="16">
        <f ca="1">IF(K$112&lt;=Standardwerte!$C$85,Standardwerte!$D$85,IF(K$112&lt;=Standardwerte!$C$86,Standardwerte!$D$86,IF(K$112&lt;=Standardwerte!$C$87,Standardwerte!$D$87,IF(K$112&lt;=Standardwerte!$C$88,Standardwerte!$D$88,IF(K$112&lt;=Standardwerte!$C$89,Standardwerte!$D$89,IF(K$112&lt;=Standardwerte!$C$90,Standardwerte!$D$90,Standardwerte!$D$91))))))</f>
        <v>0.106</v>
      </c>
      <c r="L166" s="16">
        <f ca="1">IF(L$112&lt;=Standardwerte!$C$85,Standardwerte!$D$85,IF(L$112&lt;=Standardwerte!$C$86,Standardwerte!$D$86,IF(L$112&lt;=Standardwerte!$C$87,Standardwerte!$D$87,IF(L$112&lt;=Standardwerte!$C$88,Standardwerte!$D$88,IF(L$112&lt;=Standardwerte!$C$89,Standardwerte!$D$89,IF(L$112&lt;=Standardwerte!$C$90,Standardwerte!$D$90,Standardwerte!$D$91))))))</f>
        <v>0.106</v>
      </c>
      <c r="M166" s="16">
        <f>IF(M$112&lt;=Standardwerte!$C$85,Standardwerte!$D$85,IF(M$112&lt;=Standardwerte!$C$86,Standardwerte!$D$86,IF(M$112&lt;=Standardwerte!$C$87,Standardwerte!$D$87,IF(M$112&lt;=Standardwerte!$C$88,Standardwerte!$D$88,IF(M$112&lt;=Standardwerte!$C$89,Standardwerte!$D$89,IF(M$112&lt;=Standardwerte!$C$90,Standardwerte!$D$90,Standardwerte!$D$91))))))</f>
        <v>0.106</v>
      </c>
      <c r="N166" s="16">
        <f>IF(N$112&lt;=Standardwerte!$C$85,Standardwerte!$D$85,IF(N$112&lt;=Standardwerte!$C$86,Standardwerte!$D$86,IF(N$112&lt;=Standardwerte!$C$87,Standardwerte!$D$87,IF(N$112&lt;=Standardwerte!$C$88,Standardwerte!$D$88,IF(N$112&lt;=Standardwerte!$C$89,Standardwerte!$D$89,IF(N$112&lt;=Standardwerte!$C$90,Standardwerte!$D$90,Standardwerte!$D$91))))))</f>
        <v>0.106</v>
      </c>
      <c r="O166" s="16">
        <f>IF(O$112&lt;=Standardwerte!$C$85,Standardwerte!$D$85,IF(O$112&lt;=Standardwerte!$C$86,Standardwerte!$D$86,IF(O$112&lt;=Standardwerte!$C$87,Standardwerte!$D$87,IF(O$112&lt;=Standardwerte!$C$88,Standardwerte!$D$88,IF(O$112&lt;=Standardwerte!$C$89,Standardwerte!$D$89,IF(O$112&lt;=Standardwerte!$C$90,Standardwerte!$D$90,Standardwerte!$D$91))))))</f>
        <v>0.106</v>
      </c>
      <c r="P166" s="16">
        <f>IF(P$112&lt;=Standardwerte!$C$85,Standardwerte!$D$85,IF(P$112&lt;=Standardwerte!$C$86,Standardwerte!$D$86,IF(P$112&lt;=Standardwerte!$C$87,Standardwerte!$D$87,IF(P$112&lt;=Standardwerte!$C$88,Standardwerte!$D$88,IF(P$112&lt;=Standardwerte!$C$89,Standardwerte!$D$89,IF(P$112&lt;=Standardwerte!$C$90,Standardwerte!$D$90,Standardwerte!$D$91))))))</f>
        <v>0.106</v>
      </c>
      <c r="Q166" s="16">
        <f>IF(Q$112&lt;=Standardwerte!$C$85,Standardwerte!$D$85,IF(Q$112&lt;=Standardwerte!$C$86,Standardwerte!$D$86,IF(Q$112&lt;=Standardwerte!$C$87,Standardwerte!$D$87,IF(Q$112&lt;=Standardwerte!$C$88,Standardwerte!$D$88,IF(Q$112&lt;=Standardwerte!$C$89,Standardwerte!$D$89,IF(Q$112&lt;=Standardwerte!$C$90,Standardwerte!$D$90,Standardwerte!$D$91))))))</f>
        <v>0.106</v>
      </c>
      <c r="R166" s="16">
        <f>IF(R$112&lt;=Standardwerte!$C$85,Standardwerte!$D$85,IF(R$112&lt;=Standardwerte!$C$86,Standardwerte!$D$86,IF(R$112&lt;=Standardwerte!$C$87,Standardwerte!$D$87,IF(R$112&lt;=Standardwerte!$C$88,Standardwerte!$D$88,IF(R$112&lt;=Standardwerte!$C$89,Standardwerte!$D$89,IF(R$112&lt;=Standardwerte!$C$90,Standardwerte!$D$90,Standardwerte!$D$91))))))</f>
        <v>0.106</v>
      </c>
      <c r="S166" s="16">
        <f>IF(S$112&lt;=Standardwerte!$C$85,Standardwerte!$D$85,IF(S$112&lt;=Standardwerte!$C$86,Standardwerte!$D$86,IF(S$112&lt;=Standardwerte!$C$87,Standardwerte!$D$87,IF(S$112&lt;=Standardwerte!$C$88,Standardwerte!$D$88,IF(S$112&lt;=Standardwerte!$C$89,Standardwerte!$D$89,IF(S$112&lt;=Standardwerte!$C$90,Standardwerte!$D$90,Standardwerte!$D$91))))))</f>
        <v>0.106</v>
      </c>
      <c r="T166" s="16">
        <f>IF(T$112&lt;=Standardwerte!$C$85,Standardwerte!$D$85,IF(T$112&lt;=Standardwerte!$C$86,Standardwerte!$D$86,IF(T$112&lt;=Standardwerte!$C$87,Standardwerte!$D$87,IF(T$112&lt;=Standardwerte!$C$88,Standardwerte!$D$88,IF(T$112&lt;=Standardwerte!$C$89,Standardwerte!$D$89,IF(T$112&lt;=Standardwerte!$C$90,Standardwerte!$D$90,Standardwerte!$D$91))))))</f>
        <v>0.106</v>
      </c>
    </row>
    <row r="167" spans="2:24">
      <c r="B167" s="1">
        <v>2</v>
      </c>
      <c r="C167" s="1" t="s">
        <v>14</v>
      </c>
      <c r="D167" s="35" t="s">
        <v>194</v>
      </c>
      <c r="E167" s="16">
        <f ca="1">IF(E$112&lt;=Standardwerte!$C$94,Standardwerte!$D$94,IF(E$112&lt;=Standardwerte!$C$95,Standardwerte!$D$95,IF(E$112&lt;=Standardwerte!$C$96,Standardwerte!$D$96,Standardwerte!$D$97)))</f>
        <v>0.124</v>
      </c>
      <c r="F167" s="16">
        <f ca="1">IF(F$112&lt;=Standardwerte!$C$94,Standardwerte!$D$94,IF(F$112&lt;=Standardwerte!$C$95,Standardwerte!$D$95,IF(F$112&lt;=Standardwerte!$C$96,Standardwerte!$D$96,Standardwerte!$D$97)))</f>
        <v>0.124</v>
      </c>
      <c r="G167" s="16">
        <f ca="1">IF(G$112&lt;=Standardwerte!$C$94,Standardwerte!$D$94,IF(G$112&lt;=Standardwerte!$C$95,Standardwerte!$D$95,IF(G$112&lt;=Standardwerte!$C$96,Standardwerte!$D$96,Standardwerte!$D$97)))</f>
        <v>0.124</v>
      </c>
      <c r="H167" s="16">
        <f ca="1">IF(H$112&lt;=Standardwerte!$C$94,Standardwerte!$D$94,IF(H$112&lt;=Standardwerte!$C$95,Standardwerte!$D$95,IF(H$112&lt;=Standardwerte!$C$96,Standardwerte!$D$96,Standardwerte!$D$97)))</f>
        <v>0.124</v>
      </c>
      <c r="I167" s="16">
        <f ca="1">IF(I$112&lt;=Standardwerte!$C$94,Standardwerte!$D$94,IF(I$112&lt;=Standardwerte!$C$95,Standardwerte!$D$95,IF(I$112&lt;=Standardwerte!$C$96,Standardwerte!$D$96,Standardwerte!$D$97)))</f>
        <v>0.124</v>
      </c>
      <c r="J167" s="16">
        <f ca="1">IF(J$112&lt;=Standardwerte!$C$94,Standardwerte!$D$94,IF(J$112&lt;=Standardwerte!$C$95,Standardwerte!$D$95,IF(J$112&lt;=Standardwerte!$C$96,Standardwerte!$D$96,Standardwerte!$D$97)))</f>
        <v>0.124</v>
      </c>
      <c r="K167" s="16">
        <f ca="1">IF(K$112&lt;=Standardwerte!$C$94,Standardwerte!$D$94,IF(K$112&lt;=Standardwerte!$C$95,Standardwerte!$D$95,IF(K$112&lt;=Standardwerte!$C$96,Standardwerte!$D$96,Standardwerte!$D$97)))</f>
        <v>0.124</v>
      </c>
      <c r="L167" s="16">
        <f ca="1">IF(L$112&lt;=Standardwerte!$C$94,Standardwerte!$D$94,IF(L$112&lt;=Standardwerte!$C$95,Standardwerte!$D$95,IF(L$112&lt;=Standardwerte!$C$96,Standardwerte!$D$96,Standardwerte!$D$97)))</f>
        <v>0.124</v>
      </c>
      <c r="M167" s="16">
        <f>IF(M$112&lt;=Standardwerte!$C$94,Standardwerte!$D$94,IF(M$112&lt;=Standardwerte!$C$95,Standardwerte!$D$95,IF(M$112&lt;=Standardwerte!$C$96,Standardwerte!$D$96,Standardwerte!$D$97)))</f>
        <v>0.124</v>
      </c>
      <c r="N167" s="16">
        <f>IF(N$112&lt;=Standardwerte!$C$94,Standardwerte!$D$94,IF(N$112&lt;=Standardwerte!$C$95,Standardwerte!$D$95,IF(N$112&lt;=Standardwerte!$C$96,Standardwerte!$D$96,Standardwerte!$D$97)))</f>
        <v>0.124</v>
      </c>
      <c r="O167" s="16">
        <f>IF(O$112&lt;=Standardwerte!$C$94,Standardwerte!$D$94,IF(O$112&lt;=Standardwerte!$C$95,Standardwerte!$D$95,IF(O$112&lt;=Standardwerte!$C$96,Standardwerte!$D$96,Standardwerte!$D$97)))</f>
        <v>0.124</v>
      </c>
      <c r="P167" s="16">
        <f>IF(P$112&lt;=Standardwerte!$C$94,Standardwerte!$D$94,IF(P$112&lt;=Standardwerte!$C$95,Standardwerte!$D$95,IF(P$112&lt;=Standardwerte!$C$96,Standardwerte!$D$96,Standardwerte!$D$97)))</f>
        <v>0.124</v>
      </c>
      <c r="Q167" s="16">
        <f>IF(Q$112&lt;=Standardwerte!$C$94,Standardwerte!$D$94,IF(Q$112&lt;=Standardwerte!$C$95,Standardwerte!$D$95,IF(Q$112&lt;=Standardwerte!$C$96,Standardwerte!$D$96,Standardwerte!$D$97)))</f>
        <v>0.124</v>
      </c>
      <c r="R167" s="16">
        <f>IF(R$112&lt;=Standardwerte!$C$94,Standardwerte!$D$94,IF(R$112&lt;=Standardwerte!$C$95,Standardwerte!$D$95,IF(R$112&lt;=Standardwerte!$C$96,Standardwerte!$D$96,Standardwerte!$D$97)))</f>
        <v>0.124</v>
      </c>
      <c r="S167" s="16">
        <f>IF(S$112&lt;=Standardwerte!$C$94,Standardwerte!$D$94,IF(S$112&lt;=Standardwerte!$C$95,Standardwerte!$D$95,IF(S$112&lt;=Standardwerte!$C$96,Standardwerte!$D$96,Standardwerte!$D$97)))</f>
        <v>0.124</v>
      </c>
      <c r="T167" s="16">
        <f>IF(T$112&lt;=Standardwerte!$C$94,Standardwerte!$D$94,IF(T$112&lt;=Standardwerte!$C$95,Standardwerte!$D$95,IF(T$112&lt;=Standardwerte!$C$96,Standardwerte!$D$96,Standardwerte!$D$97)))</f>
        <v>0.124</v>
      </c>
    </row>
    <row r="168" spans="2:24">
      <c r="B168" s="1">
        <v>3</v>
      </c>
      <c r="C168" s="1" t="s">
        <v>1</v>
      </c>
      <c r="D168" s="35" t="s">
        <v>194</v>
      </c>
      <c r="E168" s="16">
        <f>Standardwerte!D100</f>
        <v>6.4000000000000001E-2</v>
      </c>
      <c r="F168" s="16">
        <f>E168</f>
        <v>6.4000000000000001E-2</v>
      </c>
      <c r="G168" s="16">
        <f t="shared" ref="G168:T168" si="41">F168</f>
        <v>6.4000000000000001E-2</v>
      </c>
      <c r="H168" s="16">
        <f t="shared" si="41"/>
        <v>6.4000000000000001E-2</v>
      </c>
      <c r="I168" s="16">
        <f t="shared" si="41"/>
        <v>6.4000000000000001E-2</v>
      </c>
      <c r="J168" s="16">
        <f t="shared" si="41"/>
        <v>6.4000000000000001E-2</v>
      </c>
      <c r="K168" s="16">
        <f t="shared" si="41"/>
        <v>6.4000000000000001E-2</v>
      </c>
      <c r="L168" s="16">
        <f t="shared" si="41"/>
        <v>6.4000000000000001E-2</v>
      </c>
      <c r="M168" s="16">
        <f t="shared" si="41"/>
        <v>6.4000000000000001E-2</v>
      </c>
      <c r="N168" s="16">
        <f t="shared" si="41"/>
        <v>6.4000000000000001E-2</v>
      </c>
      <c r="O168" s="16">
        <f t="shared" si="41"/>
        <v>6.4000000000000001E-2</v>
      </c>
      <c r="P168" s="16">
        <f t="shared" si="41"/>
        <v>6.4000000000000001E-2</v>
      </c>
      <c r="Q168" s="16">
        <f t="shared" si="41"/>
        <v>6.4000000000000001E-2</v>
      </c>
      <c r="R168" s="16">
        <f t="shared" si="41"/>
        <v>6.4000000000000001E-2</v>
      </c>
      <c r="S168" s="16">
        <f t="shared" si="41"/>
        <v>6.4000000000000001E-2</v>
      </c>
      <c r="T168" s="16">
        <f t="shared" si="41"/>
        <v>6.4000000000000001E-2</v>
      </c>
    </row>
    <row r="169" spans="2:24">
      <c r="B169" s="1">
        <v>4</v>
      </c>
      <c r="C169" s="1" t="s">
        <v>15</v>
      </c>
      <c r="D169" s="35" t="s">
        <v>194</v>
      </c>
      <c r="E169" s="16">
        <f>Standardwerte!D103</f>
        <v>4.9000000000000002E-2</v>
      </c>
      <c r="F169" s="16">
        <f>E169</f>
        <v>4.9000000000000002E-2</v>
      </c>
      <c r="G169" s="16">
        <f t="shared" ref="G169:T169" si="42">F169</f>
        <v>4.9000000000000002E-2</v>
      </c>
      <c r="H169" s="16">
        <f t="shared" si="42"/>
        <v>4.9000000000000002E-2</v>
      </c>
      <c r="I169" s="16">
        <f t="shared" si="42"/>
        <v>4.9000000000000002E-2</v>
      </c>
      <c r="J169" s="16">
        <f t="shared" si="42"/>
        <v>4.9000000000000002E-2</v>
      </c>
      <c r="K169" s="16">
        <f t="shared" si="42"/>
        <v>4.9000000000000002E-2</v>
      </c>
      <c r="L169" s="16">
        <f t="shared" si="42"/>
        <v>4.9000000000000002E-2</v>
      </c>
      <c r="M169" s="16">
        <f t="shared" si="42"/>
        <v>4.9000000000000002E-2</v>
      </c>
      <c r="N169" s="16">
        <f t="shared" si="42"/>
        <v>4.9000000000000002E-2</v>
      </c>
      <c r="O169" s="16">
        <f t="shared" si="42"/>
        <v>4.9000000000000002E-2</v>
      </c>
      <c r="P169" s="16">
        <f t="shared" si="42"/>
        <v>4.9000000000000002E-2</v>
      </c>
      <c r="Q169" s="16">
        <f t="shared" si="42"/>
        <v>4.9000000000000002E-2</v>
      </c>
      <c r="R169" s="16">
        <f t="shared" si="42"/>
        <v>4.9000000000000002E-2</v>
      </c>
      <c r="S169" s="16">
        <f t="shared" si="42"/>
        <v>4.9000000000000002E-2</v>
      </c>
      <c r="T169" s="16">
        <f t="shared" si="42"/>
        <v>4.9000000000000002E-2</v>
      </c>
    </row>
    <row r="170" spans="2:24">
      <c r="B170" s="1">
        <v>5</v>
      </c>
      <c r="C170" s="1" t="s">
        <v>141</v>
      </c>
      <c r="D170" s="35" t="s">
        <v>194</v>
      </c>
      <c r="E170" s="16">
        <f ca="1">IFERROR(INDEX(Standardwerte!$D$106:$D$120,MATCH(Standardwerte!$G$74,Standardwerte!$B$106:$B$120,0)),0)</f>
        <v>0.19600000000000001</v>
      </c>
      <c r="F170" s="16">
        <f ca="1">E170</f>
        <v>0.19600000000000001</v>
      </c>
      <c r="G170" s="16">
        <f t="shared" ref="G170:T170" ca="1" si="43">F170</f>
        <v>0.19600000000000001</v>
      </c>
      <c r="H170" s="16">
        <f t="shared" ca="1" si="43"/>
        <v>0.19600000000000001</v>
      </c>
      <c r="I170" s="16">
        <f t="shared" ca="1" si="43"/>
        <v>0.19600000000000001</v>
      </c>
      <c r="J170" s="16">
        <f t="shared" ca="1" si="43"/>
        <v>0.19600000000000001</v>
      </c>
      <c r="K170" s="16">
        <f t="shared" ca="1" si="43"/>
        <v>0.19600000000000001</v>
      </c>
      <c r="L170" s="16">
        <f t="shared" ca="1" si="43"/>
        <v>0.19600000000000001</v>
      </c>
      <c r="M170" s="16">
        <f t="shared" ca="1" si="43"/>
        <v>0.19600000000000001</v>
      </c>
      <c r="N170" s="16">
        <f t="shared" ca="1" si="43"/>
        <v>0.19600000000000001</v>
      </c>
      <c r="O170" s="16">
        <f t="shared" ca="1" si="43"/>
        <v>0.19600000000000001</v>
      </c>
      <c r="P170" s="16">
        <f t="shared" ca="1" si="43"/>
        <v>0.19600000000000001</v>
      </c>
      <c r="Q170" s="16">
        <f t="shared" ca="1" si="43"/>
        <v>0.19600000000000001</v>
      </c>
      <c r="R170" s="16">
        <f t="shared" ca="1" si="43"/>
        <v>0.19600000000000001</v>
      </c>
      <c r="S170" s="16">
        <f t="shared" ca="1" si="43"/>
        <v>0.19600000000000001</v>
      </c>
      <c r="T170" s="16">
        <f t="shared" ca="1" si="43"/>
        <v>0.19600000000000001</v>
      </c>
    </row>
    <row r="171" spans="2:24">
      <c r="B171" s="1">
        <v>6</v>
      </c>
      <c r="C171" s="1" t="s">
        <v>142</v>
      </c>
      <c r="D171" s="35" t="s">
        <v>194</v>
      </c>
      <c r="E171" s="16">
        <f ca="1">E170</f>
        <v>0.19600000000000001</v>
      </c>
      <c r="F171" s="16">
        <f t="shared" ref="F171:T171" ca="1" si="44">E171</f>
        <v>0.19600000000000001</v>
      </c>
      <c r="G171" s="16">
        <f t="shared" ca="1" si="44"/>
        <v>0.19600000000000001</v>
      </c>
      <c r="H171" s="16">
        <f t="shared" ca="1" si="44"/>
        <v>0.19600000000000001</v>
      </c>
      <c r="I171" s="16">
        <f t="shared" ca="1" si="44"/>
        <v>0.19600000000000001</v>
      </c>
      <c r="J171" s="16">
        <f t="shared" ca="1" si="44"/>
        <v>0.19600000000000001</v>
      </c>
      <c r="K171" s="16">
        <f t="shared" ca="1" si="44"/>
        <v>0.19600000000000001</v>
      </c>
      <c r="L171" s="16">
        <f t="shared" ca="1" si="44"/>
        <v>0.19600000000000001</v>
      </c>
      <c r="M171" s="16">
        <f t="shared" ca="1" si="44"/>
        <v>0.19600000000000001</v>
      </c>
      <c r="N171" s="16">
        <f t="shared" ca="1" si="44"/>
        <v>0.19600000000000001</v>
      </c>
      <c r="O171" s="16">
        <f t="shared" ca="1" si="44"/>
        <v>0.19600000000000001</v>
      </c>
      <c r="P171" s="16">
        <f t="shared" ca="1" si="44"/>
        <v>0.19600000000000001</v>
      </c>
      <c r="Q171" s="16">
        <f t="shared" ca="1" si="44"/>
        <v>0.19600000000000001</v>
      </c>
      <c r="R171" s="16">
        <f t="shared" ca="1" si="44"/>
        <v>0.19600000000000001</v>
      </c>
      <c r="S171" s="16">
        <f t="shared" ca="1" si="44"/>
        <v>0.19600000000000001</v>
      </c>
      <c r="T171" s="16">
        <f t="shared" ca="1" si="44"/>
        <v>0.19600000000000001</v>
      </c>
    </row>
    <row r="172" spans="2:24">
      <c r="B172" s="1">
        <v>7</v>
      </c>
      <c r="C172" s="1" t="s">
        <v>143</v>
      </c>
      <c r="D172" s="35" t="s">
        <v>194</v>
      </c>
      <c r="E172" s="16">
        <f ca="1">E171</f>
        <v>0.19600000000000001</v>
      </c>
      <c r="F172" s="16">
        <f t="shared" ref="F172:T172" ca="1" si="45">E172</f>
        <v>0.19600000000000001</v>
      </c>
      <c r="G172" s="16">
        <f t="shared" ca="1" si="45"/>
        <v>0.19600000000000001</v>
      </c>
      <c r="H172" s="16">
        <f t="shared" ca="1" si="45"/>
        <v>0.19600000000000001</v>
      </c>
      <c r="I172" s="16">
        <f t="shared" ca="1" si="45"/>
        <v>0.19600000000000001</v>
      </c>
      <c r="J172" s="16">
        <f t="shared" ca="1" si="45"/>
        <v>0.19600000000000001</v>
      </c>
      <c r="K172" s="16">
        <f t="shared" ca="1" si="45"/>
        <v>0.19600000000000001</v>
      </c>
      <c r="L172" s="16">
        <f t="shared" ca="1" si="45"/>
        <v>0.19600000000000001</v>
      </c>
      <c r="M172" s="16">
        <f t="shared" ca="1" si="45"/>
        <v>0.19600000000000001</v>
      </c>
      <c r="N172" s="16">
        <f t="shared" ca="1" si="45"/>
        <v>0.19600000000000001</v>
      </c>
      <c r="O172" s="16">
        <f t="shared" ca="1" si="45"/>
        <v>0.19600000000000001</v>
      </c>
      <c r="P172" s="16">
        <f t="shared" ca="1" si="45"/>
        <v>0.19600000000000001</v>
      </c>
      <c r="Q172" s="16">
        <f t="shared" ca="1" si="45"/>
        <v>0.19600000000000001</v>
      </c>
      <c r="R172" s="16">
        <f t="shared" ca="1" si="45"/>
        <v>0.19600000000000001</v>
      </c>
      <c r="S172" s="16">
        <f t="shared" ca="1" si="45"/>
        <v>0.19600000000000001</v>
      </c>
      <c r="T172" s="16">
        <f t="shared" ca="1" si="45"/>
        <v>0.19600000000000001</v>
      </c>
    </row>
    <row r="173" spans="2:24">
      <c r="B173" s="1">
        <v>10</v>
      </c>
      <c r="C173" s="1" t="s">
        <v>298</v>
      </c>
      <c r="D173" s="35" t="s">
        <v>194</v>
      </c>
      <c r="E173" s="16">
        <f>Standardwerte!D123</f>
        <v>0.08</v>
      </c>
      <c r="F173" s="16">
        <f>E173</f>
        <v>0.08</v>
      </c>
      <c r="G173" s="16">
        <f t="shared" ref="G173:T173" si="46">F173</f>
        <v>0.08</v>
      </c>
      <c r="H173" s="16">
        <f t="shared" si="46"/>
        <v>0.08</v>
      </c>
      <c r="I173" s="16">
        <f t="shared" si="46"/>
        <v>0.08</v>
      </c>
      <c r="J173" s="16">
        <f t="shared" si="46"/>
        <v>0.08</v>
      </c>
      <c r="K173" s="16">
        <f t="shared" si="46"/>
        <v>0.08</v>
      </c>
      <c r="L173" s="16">
        <f t="shared" si="46"/>
        <v>0.08</v>
      </c>
      <c r="M173" s="16">
        <f t="shared" si="46"/>
        <v>0.08</v>
      </c>
      <c r="N173" s="16">
        <f t="shared" si="46"/>
        <v>0.08</v>
      </c>
      <c r="O173" s="16">
        <f t="shared" si="46"/>
        <v>0.08</v>
      </c>
      <c r="P173" s="16">
        <f t="shared" si="46"/>
        <v>0.08</v>
      </c>
      <c r="Q173" s="16">
        <f t="shared" si="46"/>
        <v>0.08</v>
      </c>
      <c r="R173" s="16">
        <f t="shared" si="46"/>
        <v>0.08</v>
      </c>
      <c r="S173" s="16">
        <f t="shared" si="46"/>
        <v>0.08</v>
      </c>
      <c r="T173" s="16">
        <f t="shared" si="46"/>
        <v>0.08</v>
      </c>
    </row>
    <row r="174" spans="2:24">
      <c r="B174" s="1">
        <v>11</v>
      </c>
      <c r="C174" s="1" t="s">
        <v>329</v>
      </c>
      <c r="D174" s="35" t="s">
        <v>194</v>
      </c>
      <c r="E174" s="16">
        <f>Standardwerte!D124</f>
        <v>0.1</v>
      </c>
      <c r="F174" s="16">
        <f t="shared" ref="F174:T176" si="47">E174</f>
        <v>0.1</v>
      </c>
      <c r="G174" s="16">
        <f t="shared" si="47"/>
        <v>0.1</v>
      </c>
      <c r="H174" s="16">
        <f t="shared" si="47"/>
        <v>0.1</v>
      </c>
      <c r="I174" s="16">
        <f t="shared" si="47"/>
        <v>0.1</v>
      </c>
      <c r="J174" s="16">
        <f t="shared" si="47"/>
        <v>0.1</v>
      </c>
      <c r="K174" s="16">
        <f t="shared" si="47"/>
        <v>0.1</v>
      </c>
      <c r="L174" s="16">
        <f t="shared" si="47"/>
        <v>0.1</v>
      </c>
      <c r="M174" s="16">
        <f t="shared" si="47"/>
        <v>0.1</v>
      </c>
      <c r="N174" s="16">
        <f t="shared" si="47"/>
        <v>0.1</v>
      </c>
      <c r="O174" s="16">
        <f t="shared" si="47"/>
        <v>0.1</v>
      </c>
      <c r="P174" s="16">
        <f t="shared" si="47"/>
        <v>0.1</v>
      </c>
      <c r="Q174" s="16">
        <f t="shared" si="47"/>
        <v>0.1</v>
      </c>
      <c r="R174" s="16">
        <f t="shared" si="47"/>
        <v>0.1</v>
      </c>
      <c r="S174" s="16">
        <f t="shared" si="47"/>
        <v>0.1</v>
      </c>
      <c r="T174" s="16">
        <f t="shared" si="47"/>
        <v>0.1</v>
      </c>
    </row>
    <row r="175" spans="2:24">
      <c r="B175" s="1">
        <v>12</v>
      </c>
      <c r="C175" s="1" t="s">
        <v>300</v>
      </c>
      <c r="D175" s="35" t="s">
        <v>194</v>
      </c>
      <c r="E175" s="16">
        <f>Standardwerte!D125</f>
        <v>0.11</v>
      </c>
      <c r="F175" s="16">
        <f t="shared" si="47"/>
        <v>0.11</v>
      </c>
      <c r="G175" s="16">
        <f t="shared" si="47"/>
        <v>0.11</v>
      </c>
      <c r="H175" s="16">
        <f t="shared" si="47"/>
        <v>0.11</v>
      </c>
      <c r="I175" s="16">
        <f t="shared" si="47"/>
        <v>0.11</v>
      </c>
      <c r="J175" s="16">
        <f t="shared" si="47"/>
        <v>0.11</v>
      </c>
      <c r="K175" s="16">
        <f t="shared" si="47"/>
        <v>0.11</v>
      </c>
      <c r="L175" s="16">
        <f t="shared" si="47"/>
        <v>0.11</v>
      </c>
      <c r="M175" s="16">
        <f t="shared" si="47"/>
        <v>0.11</v>
      </c>
      <c r="N175" s="16">
        <f t="shared" si="47"/>
        <v>0.11</v>
      </c>
      <c r="O175" s="16">
        <f t="shared" si="47"/>
        <v>0.11</v>
      </c>
      <c r="P175" s="16">
        <f t="shared" si="47"/>
        <v>0.11</v>
      </c>
      <c r="Q175" s="16">
        <f t="shared" si="47"/>
        <v>0.11</v>
      </c>
      <c r="R175" s="16">
        <f t="shared" si="47"/>
        <v>0.11</v>
      </c>
      <c r="S175" s="16">
        <f t="shared" si="47"/>
        <v>0.11</v>
      </c>
      <c r="T175" s="16">
        <f t="shared" si="47"/>
        <v>0.11</v>
      </c>
    </row>
    <row r="176" spans="2:24">
      <c r="B176" s="1">
        <v>13</v>
      </c>
      <c r="C176" s="1" t="s">
        <v>301</v>
      </c>
      <c r="D176" s="35" t="s">
        <v>194</v>
      </c>
      <c r="E176" s="16">
        <f>Standardwerte!D126</f>
        <v>0.12</v>
      </c>
      <c r="F176" s="16">
        <f t="shared" si="47"/>
        <v>0.12</v>
      </c>
      <c r="G176" s="16">
        <f t="shared" si="47"/>
        <v>0.12</v>
      </c>
      <c r="H176" s="16">
        <f t="shared" si="47"/>
        <v>0.12</v>
      </c>
      <c r="I176" s="16">
        <f t="shared" si="47"/>
        <v>0.12</v>
      </c>
      <c r="J176" s="16">
        <f t="shared" si="47"/>
        <v>0.12</v>
      </c>
      <c r="K176" s="16">
        <f t="shared" si="47"/>
        <v>0.12</v>
      </c>
      <c r="L176" s="16">
        <f t="shared" si="47"/>
        <v>0.12</v>
      </c>
      <c r="M176" s="16">
        <f t="shared" si="47"/>
        <v>0.12</v>
      </c>
      <c r="N176" s="16">
        <f t="shared" si="47"/>
        <v>0.12</v>
      </c>
      <c r="O176" s="16">
        <f t="shared" si="47"/>
        <v>0.12</v>
      </c>
      <c r="P176" s="16">
        <f t="shared" si="47"/>
        <v>0.12</v>
      </c>
      <c r="Q176" s="16">
        <f t="shared" si="47"/>
        <v>0.12</v>
      </c>
      <c r="R176" s="16">
        <f t="shared" si="47"/>
        <v>0.12</v>
      </c>
      <c r="S176" s="16">
        <f t="shared" si="47"/>
        <v>0.12</v>
      </c>
      <c r="T176" s="16">
        <f t="shared" si="47"/>
        <v>0.12</v>
      </c>
    </row>
    <row r="177" spans="2:20">
      <c r="B177" s="1">
        <v>8</v>
      </c>
      <c r="C177" s="64" t="s">
        <v>974</v>
      </c>
      <c r="D177" s="35" t="s">
        <v>194</v>
      </c>
      <c r="E177" s="16">
        <f ca="1">E167</f>
        <v>0.124</v>
      </c>
      <c r="F177" s="16">
        <f t="shared" ref="F177:T177" ca="1" si="48">F167</f>
        <v>0.124</v>
      </c>
      <c r="G177" s="16">
        <f t="shared" ca="1" si="48"/>
        <v>0.124</v>
      </c>
      <c r="H177" s="16">
        <f t="shared" ca="1" si="48"/>
        <v>0.124</v>
      </c>
      <c r="I177" s="16">
        <f t="shared" ca="1" si="48"/>
        <v>0.124</v>
      </c>
      <c r="J177" s="16">
        <f t="shared" ca="1" si="48"/>
        <v>0.124</v>
      </c>
      <c r="K177" s="16">
        <f t="shared" ca="1" si="48"/>
        <v>0.124</v>
      </c>
      <c r="L177" s="16">
        <f t="shared" ca="1" si="48"/>
        <v>0.124</v>
      </c>
      <c r="M177" s="16">
        <f t="shared" si="48"/>
        <v>0.124</v>
      </c>
      <c r="N177" s="16">
        <f t="shared" si="48"/>
        <v>0.124</v>
      </c>
      <c r="O177" s="16">
        <f t="shared" si="48"/>
        <v>0.124</v>
      </c>
      <c r="P177" s="16">
        <f t="shared" si="48"/>
        <v>0.124</v>
      </c>
      <c r="Q177" s="16">
        <f t="shared" si="48"/>
        <v>0.124</v>
      </c>
      <c r="R177" s="16">
        <f t="shared" si="48"/>
        <v>0.124</v>
      </c>
      <c r="S177" s="16">
        <f t="shared" si="48"/>
        <v>0.124</v>
      </c>
      <c r="T177" s="16">
        <f t="shared" si="48"/>
        <v>0.124</v>
      </c>
    </row>
    <row r="178" spans="2:20">
      <c r="B178" s="1">
        <v>14</v>
      </c>
      <c r="C178" s="64" t="s">
        <v>1810</v>
      </c>
      <c r="D178" s="35" t="s">
        <v>194</v>
      </c>
      <c r="E178" s="16">
        <f ca="1">E170</f>
        <v>0.19600000000000001</v>
      </c>
      <c r="F178" s="16">
        <f t="shared" ref="F178:T178" ca="1" si="49">F170</f>
        <v>0.19600000000000001</v>
      </c>
      <c r="G178" s="16">
        <f t="shared" ca="1" si="49"/>
        <v>0.19600000000000001</v>
      </c>
      <c r="H178" s="16">
        <f t="shared" ca="1" si="49"/>
        <v>0.19600000000000001</v>
      </c>
      <c r="I178" s="16">
        <f t="shared" ca="1" si="49"/>
        <v>0.19600000000000001</v>
      </c>
      <c r="J178" s="16">
        <f t="shared" ca="1" si="49"/>
        <v>0.19600000000000001</v>
      </c>
      <c r="K178" s="16">
        <f t="shared" ca="1" si="49"/>
        <v>0.19600000000000001</v>
      </c>
      <c r="L178" s="16">
        <f t="shared" ca="1" si="49"/>
        <v>0.19600000000000001</v>
      </c>
      <c r="M178" s="16">
        <f t="shared" ca="1" si="49"/>
        <v>0.19600000000000001</v>
      </c>
      <c r="N178" s="16">
        <f t="shared" ca="1" si="49"/>
        <v>0.19600000000000001</v>
      </c>
      <c r="O178" s="16">
        <f t="shared" ca="1" si="49"/>
        <v>0.19600000000000001</v>
      </c>
      <c r="P178" s="16">
        <f t="shared" ca="1" si="49"/>
        <v>0.19600000000000001</v>
      </c>
      <c r="Q178" s="16">
        <f t="shared" ca="1" si="49"/>
        <v>0.19600000000000001</v>
      </c>
      <c r="R178" s="16">
        <f t="shared" ca="1" si="49"/>
        <v>0.19600000000000001</v>
      </c>
      <c r="S178" s="16">
        <f t="shared" ca="1" si="49"/>
        <v>0.19600000000000001</v>
      </c>
      <c r="T178" s="16">
        <f t="shared" ca="1" si="49"/>
        <v>0.19600000000000001</v>
      </c>
    </row>
    <row r="180" spans="2:20" ht="15.75">
      <c r="B180" s="57" t="s">
        <v>1655</v>
      </c>
    </row>
    <row r="181" spans="2:20">
      <c r="B181" s="1">
        <v>0</v>
      </c>
      <c r="C181" s="1" t="s">
        <v>122</v>
      </c>
      <c r="D181" s="140" t="s">
        <v>28</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row>
    <row r="182" spans="2:20">
      <c r="B182" s="1">
        <v>1</v>
      </c>
      <c r="C182" s="1" t="s">
        <v>0</v>
      </c>
      <c r="D182" s="140" t="s">
        <v>28</v>
      </c>
      <c r="E182" s="16">
        <f ca="1">IF(E$112&lt;=Standardwerte!$C$85,Standardwerte!$E$85,IF(E$112&lt;=Standardwerte!$C$86,Standardwerte!$E$86,IF(E$112&lt;=Standardwerte!$C$87,Standardwerte!$E$87,IF(E$112&lt;=Standardwerte!$C$88,Standardwerte!$E$88,IF(E$112&lt;=Standardwerte!$C$89,Standardwerte!$E$89,IF(E$112&lt;=Standardwerte!$C$90,Standardwerte!$E$90,Standardwerte!$E$91))))))</f>
        <v>0</v>
      </c>
      <c r="F182" s="16">
        <f ca="1">IF(F$112&lt;=Standardwerte!$C$85,Standardwerte!$E$85,IF(F$112&lt;=Standardwerte!$C$86,Standardwerte!$E$86,IF(F$112&lt;=Standardwerte!$C$87,Standardwerte!$E$87,IF(F$112&lt;=Standardwerte!$C$88,Standardwerte!$E$88,IF(F$112&lt;=Standardwerte!$C$89,Standardwerte!$E$89,IF(F$112&lt;=Standardwerte!$C$90,Standardwerte!$E$90,Standardwerte!$E$91))))))</f>
        <v>0</v>
      </c>
      <c r="G182" s="16">
        <f ca="1">IF(G$112&lt;=Standardwerte!$C$85,Standardwerte!$E$85,IF(G$112&lt;=Standardwerte!$C$86,Standardwerte!$E$86,IF(G$112&lt;=Standardwerte!$C$87,Standardwerte!$E$87,IF(G$112&lt;=Standardwerte!$C$88,Standardwerte!$E$88,IF(G$112&lt;=Standardwerte!$C$89,Standardwerte!$E$89,IF(G$112&lt;=Standardwerte!$C$90,Standardwerte!$E$90,Standardwerte!$E$91))))))</f>
        <v>0</v>
      </c>
      <c r="H182" s="16">
        <f ca="1">IF(H$112&lt;=Standardwerte!$C$85,Standardwerte!$E$85,IF(H$112&lt;=Standardwerte!$C$86,Standardwerte!$E$86,IF(H$112&lt;=Standardwerte!$C$87,Standardwerte!$E$87,IF(H$112&lt;=Standardwerte!$C$88,Standardwerte!$E$88,IF(H$112&lt;=Standardwerte!$C$89,Standardwerte!$E$89,IF(H$112&lt;=Standardwerte!$C$90,Standardwerte!$E$90,Standardwerte!$E$91))))))</f>
        <v>0</v>
      </c>
      <c r="I182" s="16">
        <f ca="1">IF(I$112&lt;=Standardwerte!$C$85,Standardwerte!$E$85,IF(I$112&lt;=Standardwerte!$C$86,Standardwerte!$E$86,IF(I$112&lt;=Standardwerte!$C$87,Standardwerte!$E$87,IF(I$112&lt;=Standardwerte!$C$88,Standardwerte!$E$88,IF(I$112&lt;=Standardwerte!$C$89,Standardwerte!$E$89,IF(I$112&lt;=Standardwerte!$C$90,Standardwerte!$E$90,Standardwerte!$E$91))))))</f>
        <v>0</v>
      </c>
      <c r="J182" s="16">
        <f ca="1">IF(J$112&lt;=Standardwerte!$C$85,Standardwerte!$E$85,IF(J$112&lt;=Standardwerte!$C$86,Standardwerte!$E$86,IF(J$112&lt;=Standardwerte!$C$87,Standardwerte!$E$87,IF(J$112&lt;=Standardwerte!$C$88,Standardwerte!$E$88,IF(J$112&lt;=Standardwerte!$C$89,Standardwerte!$E$89,IF(J$112&lt;=Standardwerte!$C$90,Standardwerte!$E$90,Standardwerte!$E$91))))))</f>
        <v>0</v>
      </c>
      <c r="K182" s="16">
        <f ca="1">IF(K$112&lt;=Standardwerte!$C$85,Standardwerte!$E$85,IF(K$112&lt;=Standardwerte!$C$86,Standardwerte!$E$86,IF(K$112&lt;=Standardwerte!$C$87,Standardwerte!$E$87,IF(K$112&lt;=Standardwerte!$C$88,Standardwerte!$E$88,IF(K$112&lt;=Standardwerte!$C$89,Standardwerte!$E$89,IF(K$112&lt;=Standardwerte!$C$90,Standardwerte!$E$90,Standardwerte!$E$91))))))</f>
        <v>0</v>
      </c>
      <c r="L182" s="16">
        <f ca="1">IF(L$112&lt;=Standardwerte!$C$85,Standardwerte!$E$85,IF(L$112&lt;=Standardwerte!$C$86,Standardwerte!$E$86,IF(L$112&lt;=Standardwerte!$C$87,Standardwerte!$E$87,IF(L$112&lt;=Standardwerte!$C$88,Standardwerte!$E$88,IF(L$112&lt;=Standardwerte!$C$89,Standardwerte!$E$89,IF(L$112&lt;=Standardwerte!$C$90,Standardwerte!$E$90,Standardwerte!$E$91))))))</f>
        <v>0</v>
      </c>
      <c r="M182" s="16">
        <f>IF(M$112&lt;=Standardwerte!$C$85,Standardwerte!$E$85,IF(M$112&lt;=Standardwerte!$C$86,Standardwerte!$E$86,IF(M$112&lt;=Standardwerte!$C$87,Standardwerte!$E$87,IF(M$112&lt;=Standardwerte!$C$88,Standardwerte!$E$88,IF(M$112&lt;=Standardwerte!$C$89,Standardwerte!$E$89,IF(M$112&lt;=Standardwerte!$C$90,Standardwerte!$E$90,Standardwerte!$E$91))))))</f>
        <v>0</v>
      </c>
      <c r="N182" s="16">
        <f>IF(N$112&lt;=Standardwerte!$C$85,Standardwerte!$E$85,IF(N$112&lt;=Standardwerte!$C$86,Standardwerte!$E$86,IF(N$112&lt;=Standardwerte!$C$87,Standardwerte!$E$87,IF(N$112&lt;=Standardwerte!$C$88,Standardwerte!$E$88,IF(N$112&lt;=Standardwerte!$C$89,Standardwerte!$E$89,IF(N$112&lt;=Standardwerte!$C$90,Standardwerte!$E$90,Standardwerte!$E$91))))))</f>
        <v>0</v>
      </c>
      <c r="O182" s="16">
        <f>IF(O$112&lt;=Standardwerte!$C$85,Standardwerte!$E$85,IF(O$112&lt;=Standardwerte!$C$86,Standardwerte!$E$86,IF(O$112&lt;=Standardwerte!$C$87,Standardwerte!$E$87,IF(O$112&lt;=Standardwerte!$C$88,Standardwerte!$E$88,IF(O$112&lt;=Standardwerte!$C$89,Standardwerte!$E$89,IF(O$112&lt;=Standardwerte!$C$90,Standardwerte!$E$90,Standardwerte!$E$91))))))</f>
        <v>0</v>
      </c>
      <c r="P182" s="16">
        <f>IF(P$112&lt;=Standardwerte!$C$85,Standardwerte!$E$85,IF(P$112&lt;=Standardwerte!$C$86,Standardwerte!$E$86,IF(P$112&lt;=Standardwerte!$C$87,Standardwerte!$E$87,IF(P$112&lt;=Standardwerte!$C$88,Standardwerte!$E$88,IF(P$112&lt;=Standardwerte!$C$89,Standardwerte!$E$89,IF(P$112&lt;=Standardwerte!$C$90,Standardwerte!$E$90,Standardwerte!$E$91))))))</f>
        <v>0</v>
      </c>
      <c r="Q182" s="16">
        <f>IF(Q$112&lt;=Standardwerte!$C$85,Standardwerte!$E$85,IF(Q$112&lt;=Standardwerte!$C$86,Standardwerte!$E$86,IF(Q$112&lt;=Standardwerte!$C$87,Standardwerte!$E$87,IF(Q$112&lt;=Standardwerte!$C$88,Standardwerte!$E$88,IF(Q$112&lt;=Standardwerte!$C$89,Standardwerte!$E$89,IF(Q$112&lt;=Standardwerte!$C$90,Standardwerte!$E$90,Standardwerte!$E$91))))))</f>
        <v>0</v>
      </c>
      <c r="R182" s="16">
        <f>IF(R$112&lt;=Standardwerte!$C$85,Standardwerte!$E$85,IF(R$112&lt;=Standardwerte!$C$86,Standardwerte!$E$86,IF(R$112&lt;=Standardwerte!$C$87,Standardwerte!$E$87,IF(R$112&lt;=Standardwerte!$C$88,Standardwerte!$E$88,IF(R$112&lt;=Standardwerte!$C$89,Standardwerte!$E$89,IF(R$112&lt;=Standardwerte!$C$90,Standardwerte!$E$90,Standardwerte!$E$91))))))</f>
        <v>0</v>
      </c>
      <c r="S182" s="16">
        <f>IF(S$112&lt;=Standardwerte!$C$85,Standardwerte!$E$85,IF(S$112&lt;=Standardwerte!$C$86,Standardwerte!$E$86,IF(S$112&lt;=Standardwerte!$C$87,Standardwerte!$E$87,IF(S$112&lt;=Standardwerte!$C$88,Standardwerte!$E$88,IF(S$112&lt;=Standardwerte!$C$89,Standardwerte!$E$89,IF(S$112&lt;=Standardwerte!$C$90,Standardwerte!$E$90,Standardwerte!$E$91))))))</f>
        <v>0</v>
      </c>
      <c r="T182" s="16">
        <f>IF(T$112&lt;=Standardwerte!$C$85,Standardwerte!$E$85,IF(T$112&lt;=Standardwerte!$C$86,Standardwerte!$E$86,IF(T$112&lt;=Standardwerte!$C$87,Standardwerte!$E$87,IF(T$112&lt;=Standardwerte!$C$88,Standardwerte!$E$88,IF(T$112&lt;=Standardwerte!$C$89,Standardwerte!$E$89,IF(T$112&lt;=Standardwerte!$C$90,Standardwerte!$E$90,Standardwerte!$E$91))))))</f>
        <v>0</v>
      </c>
    </row>
    <row r="183" spans="2:20">
      <c r="B183" s="1">
        <v>2</v>
      </c>
      <c r="C183" s="1" t="s">
        <v>14</v>
      </c>
      <c r="D183" s="140" t="s">
        <v>28</v>
      </c>
      <c r="E183" s="16">
        <f ca="1">IF(E$112&lt;=Standardwerte!$C$94,Standardwerte!$E$94,IF(E$112&lt;=Standardwerte!$C$95,Standardwerte!$E$95,IF(E$112&lt;=Standardwerte!$C$96,Standardwerte!$E$96,Standardwerte!$E$97)))</f>
        <v>0</v>
      </c>
      <c r="F183" s="16">
        <f ca="1">IF(F$112&lt;=Standardwerte!$C$94,Standardwerte!$E$94,IF(F$112&lt;=Standardwerte!$C$95,Standardwerte!$E$95,IF(F$112&lt;=Standardwerte!$C$96,Standardwerte!$E$96,Standardwerte!$E$97)))</f>
        <v>0</v>
      </c>
      <c r="G183" s="16">
        <f ca="1">IF(G$112&lt;=Standardwerte!$C$94,Standardwerte!$E$94,IF(G$112&lt;=Standardwerte!$C$95,Standardwerte!$E$95,IF(G$112&lt;=Standardwerte!$C$96,Standardwerte!$E$96,Standardwerte!$E$97)))</f>
        <v>0</v>
      </c>
      <c r="H183" s="16">
        <f ca="1">IF(H$112&lt;=Standardwerte!$C$94,Standardwerte!$E$94,IF(H$112&lt;=Standardwerte!$C$95,Standardwerte!$E$95,IF(H$112&lt;=Standardwerte!$C$96,Standardwerte!$E$96,Standardwerte!$E$97)))</f>
        <v>0</v>
      </c>
      <c r="I183" s="16">
        <f ca="1">IF(I$112&lt;=Standardwerte!$C$94,Standardwerte!$E$94,IF(I$112&lt;=Standardwerte!$C$95,Standardwerte!$E$95,IF(I$112&lt;=Standardwerte!$C$96,Standardwerte!$E$96,Standardwerte!$E$97)))</f>
        <v>0</v>
      </c>
      <c r="J183" s="16">
        <f ca="1">IF(J$112&lt;=Standardwerte!$C$94,Standardwerte!$E$94,IF(J$112&lt;=Standardwerte!$C$95,Standardwerte!$E$95,IF(J$112&lt;=Standardwerte!$C$96,Standardwerte!$E$96,Standardwerte!$E$97)))</f>
        <v>0</v>
      </c>
      <c r="K183" s="16">
        <f ca="1">IF(K$112&lt;=Standardwerte!$C$94,Standardwerte!$E$94,IF(K$112&lt;=Standardwerte!$C$95,Standardwerte!$E$95,IF(K$112&lt;=Standardwerte!$C$96,Standardwerte!$E$96,Standardwerte!$E$97)))</f>
        <v>0</v>
      </c>
      <c r="L183" s="16">
        <f ca="1">IF(L$112&lt;=Standardwerte!$C$94,Standardwerte!$E$94,IF(L$112&lt;=Standardwerte!$C$95,Standardwerte!$E$95,IF(L$112&lt;=Standardwerte!$C$96,Standardwerte!$E$96,Standardwerte!$E$97)))</f>
        <v>0</v>
      </c>
      <c r="M183" s="16">
        <f>IF(M$112&lt;=Standardwerte!$C$94,Standardwerte!$E$94,IF(M$112&lt;=Standardwerte!$C$95,Standardwerte!$E$95,IF(M$112&lt;=Standardwerte!$C$96,Standardwerte!$E$96,Standardwerte!$E$97)))</f>
        <v>0</v>
      </c>
      <c r="N183" s="16">
        <f>IF(N$112&lt;=Standardwerte!$C$94,Standardwerte!$E$94,IF(N$112&lt;=Standardwerte!$C$95,Standardwerte!$E$95,IF(N$112&lt;=Standardwerte!$C$96,Standardwerte!$E$96,Standardwerte!$E$97)))</f>
        <v>0</v>
      </c>
      <c r="O183" s="16">
        <f>IF(O$112&lt;=Standardwerte!$C$94,Standardwerte!$E$94,IF(O$112&lt;=Standardwerte!$C$95,Standardwerte!$E$95,IF(O$112&lt;=Standardwerte!$C$96,Standardwerte!$E$96,Standardwerte!$E$97)))</f>
        <v>0</v>
      </c>
      <c r="P183" s="16">
        <f>IF(P$112&lt;=Standardwerte!$C$94,Standardwerte!$E$94,IF(P$112&lt;=Standardwerte!$C$95,Standardwerte!$E$95,IF(P$112&lt;=Standardwerte!$C$96,Standardwerte!$E$96,Standardwerte!$E$97)))</f>
        <v>0</v>
      </c>
      <c r="Q183" s="16">
        <f>IF(Q$112&lt;=Standardwerte!$C$94,Standardwerte!$E$94,IF(Q$112&lt;=Standardwerte!$C$95,Standardwerte!$E$95,IF(Q$112&lt;=Standardwerte!$C$96,Standardwerte!$E$96,Standardwerte!$E$97)))</f>
        <v>0</v>
      </c>
      <c r="R183" s="16">
        <f>IF(R$112&lt;=Standardwerte!$C$94,Standardwerte!$E$94,IF(R$112&lt;=Standardwerte!$C$95,Standardwerte!$E$95,IF(R$112&lt;=Standardwerte!$C$96,Standardwerte!$E$96,Standardwerte!$E$97)))</f>
        <v>0</v>
      </c>
      <c r="S183" s="16">
        <f>IF(S$112&lt;=Standardwerte!$C$94,Standardwerte!$E$94,IF(S$112&lt;=Standardwerte!$C$95,Standardwerte!$E$95,IF(S$112&lt;=Standardwerte!$C$96,Standardwerte!$E$96,Standardwerte!$E$97)))</f>
        <v>0</v>
      </c>
      <c r="T183" s="16">
        <f>IF(T$112&lt;=Standardwerte!$C$94,Standardwerte!$E$94,IF(T$112&lt;=Standardwerte!$C$95,Standardwerte!$E$95,IF(T$112&lt;=Standardwerte!$C$96,Standardwerte!$E$96,Standardwerte!$E$97)))</f>
        <v>0</v>
      </c>
    </row>
    <row r="184" spans="2:20">
      <c r="B184" s="1">
        <v>3</v>
      </c>
      <c r="C184" s="1" t="s">
        <v>1</v>
      </c>
      <c r="D184" s="140" t="s">
        <v>28</v>
      </c>
      <c r="E184" s="16">
        <f>Standardwerte!E100</f>
        <v>0</v>
      </c>
      <c r="F184" s="16">
        <f>E184</f>
        <v>0</v>
      </c>
      <c r="G184" s="16">
        <f t="shared" ref="G184:T184" si="50">F184</f>
        <v>0</v>
      </c>
      <c r="H184" s="16">
        <f t="shared" si="50"/>
        <v>0</v>
      </c>
      <c r="I184" s="16">
        <f t="shared" si="50"/>
        <v>0</v>
      </c>
      <c r="J184" s="16">
        <f t="shared" si="50"/>
        <v>0</v>
      </c>
      <c r="K184" s="16">
        <f t="shared" si="50"/>
        <v>0</v>
      </c>
      <c r="L184" s="16">
        <f t="shared" si="50"/>
        <v>0</v>
      </c>
      <c r="M184" s="16">
        <f t="shared" si="50"/>
        <v>0</v>
      </c>
      <c r="N184" s="16">
        <f t="shared" si="50"/>
        <v>0</v>
      </c>
      <c r="O184" s="16">
        <f t="shared" si="50"/>
        <v>0</v>
      </c>
      <c r="P184" s="16">
        <f t="shared" si="50"/>
        <v>0</v>
      </c>
      <c r="Q184" s="16">
        <f t="shared" si="50"/>
        <v>0</v>
      </c>
      <c r="R184" s="16">
        <f t="shared" si="50"/>
        <v>0</v>
      </c>
      <c r="S184" s="16">
        <f t="shared" si="50"/>
        <v>0</v>
      </c>
      <c r="T184" s="16">
        <f t="shared" si="50"/>
        <v>0</v>
      </c>
    </row>
    <row r="185" spans="2:20">
      <c r="B185" s="1">
        <v>4</v>
      </c>
      <c r="C185" s="1" t="s">
        <v>15</v>
      </c>
      <c r="D185" s="140" t="s">
        <v>28</v>
      </c>
      <c r="E185" s="16">
        <f>Standardwerte!E103</f>
        <v>0</v>
      </c>
      <c r="F185" s="16">
        <f>E185</f>
        <v>0</v>
      </c>
      <c r="G185" s="16">
        <f t="shared" ref="G185:T185" si="51">F185</f>
        <v>0</v>
      </c>
      <c r="H185" s="16">
        <f t="shared" si="51"/>
        <v>0</v>
      </c>
      <c r="I185" s="16">
        <f t="shared" si="51"/>
        <v>0</v>
      </c>
      <c r="J185" s="16">
        <f t="shared" si="51"/>
        <v>0</v>
      </c>
      <c r="K185" s="16">
        <f t="shared" si="51"/>
        <v>0</v>
      </c>
      <c r="L185" s="16">
        <f t="shared" si="51"/>
        <v>0</v>
      </c>
      <c r="M185" s="16">
        <f t="shared" si="51"/>
        <v>0</v>
      </c>
      <c r="N185" s="16">
        <f t="shared" si="51"/>
        <v>0</v>
      </c>
      <c r="O185" s="16">
        <f t="shared" si="51"/>
        <v>0</v>
      </c>
      <c r="P185" s="16">
        <f t="shared" si="51"/>
        <v>0</v>
      </c>
      <c r="Q185" s="16">
        <f t="shared" si="51"/>
        <v>0</v>
      </c>
      <c r="R185" s="16">
        <f t="shared" si="51"/>
        <v>0</v>
      </c>
      <c r="S185" s="16">
        <f t="shared" si="51"/>
        <v>0</v>
      </c>
      <c r="T185" s="16">
        <f t="shared" si="51"/>
        <v>0</v>
      </c>
    </row>
    <row r="186" spans="2:20">
      <c r="B186" s="1">
        <v>5</v>
      </c>
      <c r="C186" s="1" t="s">
        <v>141</v>
      </c>
      <c r="D186" s="140" t="s">
        <v>28</v>
      </c>
      <c r="E186" s="16">
        <f ca="1">IFERROR(INDEX(Standardwerte!$E$106:$E$120,MATCH(Standardwerte!$G$74,Standardwerte!$B$106:$B$120,0)),0)</f>
        <v>0</v>
      </c>
      <c r="F186" s="16">
        <f ca="1">E186</f>
        <v>0</v>
      </c>
      <c r="G186" s="16">
        <f t="shared" ref="G186:T186" ca="1" si="52">F186</f>
        <v>0</v>
      </c>
      <c r="H186" s="16">
        <f t="shared" ca="1" si="52"/>
        <v>0</v>
      </c>
      <c r="I186" s="16">
        <f t="shared" ca="1" si="52"/>
        <v>0</v>
      </c>
      <c r="J186" s="16">
        <f t="shared" ca="1" si="52"/>
        <v>0</v>
      </c>
      <c r="K186" s="16">
        <f t="shared" ca="1" si="52"/>
        <v>0</v>
      </c>
      <c r="L186" s="16">
        <f t="shared" ca="1" si="52"/>
        <v>0</v>
      </c>
      <c r="M186" s="16">
        <f t="shared" ca="1" si="52"/>
        <v>0</v>
      </c>
      <c r="N186" s="16">
        <f t="shared" ca="1" si="52"/>
        <v>0</v>
      </c>
      <c r="O186" s="16">
        <f t="shared" ca="1" si="52"/>
        <v>0</v>
      </c>
      <c r="P186" s="16">
        <f t="shared" ca="1" si="52"/>
        <v>0</v>
      </c>
      <c r="Q186" s="16">
        <f t="shared" ca="1" si="52"/>
        <v>0</v>
      </c>
      <c r="R186" s="16">
        <f t="shared" ca="1" si="52"/>
        <v>0</v>
      </c>
      <c r="S186" s="16">
        <f t="shared" ca="1" si="52"/>
        <v>0</v>
      </c>
      <c r="T186" s="16">
        <f t="shared" ca="1" si="52"/>
        <v>0</v>
      </c>
    </row>
    <row r="187" spans="2:20">
      <c r="B187" s="1">
        <v>6</v>
      </c>
      <c r="C187" s="1" t="s">
        <v>142</v>
      </c>
      <c r="D187" s="140" t="s">
        <v>28</v>
      </c>
      <c r="E187" s="16">
        <f ca="1">E186</f>
        <v>0</v>
      </c>
      <c r="F187" s="16">
        <f t="shared" ref="F187:T187" ca="1" si="53">E187</f>
        <v>0</v>
      </c>
      <c r="G187" s="16">
        <f t="shared" ca="1" si="53"/>
        <v>0</v>
      </c>
      <c r="H187" s="16">
        <f t="shared" ca="1" si="53"/>
        <v>0</v>
      </c>
      <c r="I187" s="16">
        <f t="shared" ca="1" si="53"/>
        <v>0</v>
      </c>
      <c r="J187" s="16">
        <f t="shared" ca="1" si="53"/>
        <v>0</v>
      </c>
      <c r="K187" s="16">
        <f t="shared" ca="1" si="53"/>
        <v>0</v>
      </c>
      <c r="L187" s="16">
        <f t="shared" ca="1" si="53"/>
        <v>0</v>
      </c>
      <c r="M187" s="16">
        <f t="shared" ca="1" si="53"/>
        <v>0</v>
      </c>
      <c r="N187" s="16">
        <f t="shared" ca="1" si="53"/>
        <v>0</v>
      </c>
      <c r="O187" s="16">
        <f t="shared" ca="1" si="53"/>
        <v>0</v>
      </c>
      <c r="P187" s="16">
        <f t="shared" ca="1" si="53"/>
        <v>0</v>
      </c>
      <c r="Q187" s="16">
        <f t="shared" ca="1" si="53"/>
        <v>0</v>
      </c>
      <c r="R187" s="16">
        <f t="shared" ca="1" si="53"/>
        <v>0</v>
      </c>
      <c r="S187" s="16">
        <f t="shared" ca="1" si="53"/>
        <v>0</v>
      </c>
      <c r="T187" s="16">
        <f t="shared" ca="1" si="53"/>
        <v>0</v>
      </c>
    </row>
    <row r="188" spans="2:20">
      <c r="B188" s="1">
        <v>7</v>
      </c>
      <c r="C188" s="1" t="s">
        <v>143</v>
      </c>
      <c r="D188" s="140" t="s">
        <v>28</v>
      </c>
      <c r="E188" s="16">
        <f ca="1">E187</f>
        <v>0</v>
      </c>
      <c r="F188" s="16">
        <f t="shared" ref="F188:T188" ca="1" si="54">E188</f>
        <v>0</v>
      </c>
      <c r="G188" s="16">
        <f t="shared" ca="1" si="54"/>
        <v>0</v>
      </c>
      <c r="H188" s="16">
        <f t="shared" ca="1" si="54"/>
        <v>0</v>
      </c>
      <c r="I188" s="16">
        <f t="shared" ca="1" si="54"/>
        <v>0</v>
      </c>
      <c r="J188" s="16">
        <f t="shared" ca="1" si="54"/>
        <v>0</v>
      </c>
      <c r="K188" s="16">
        <f t="shared" ca="1" si="54"/>
        <v>0</v>
      </c>
      <c r="L188" s="16">
        <f t="shared" ca="1" si="54"/>
        <v>0</v>
      </c>
      <c r="M188" s="16">
        <f t="shared" ca="1" si="54"/>
        <v>0</v>
      </c>
      <c r="N188" s="16">
        <f t="shared" ca="1" si="54"/>
        <v>0</v>
      </c>
      <c r="O188" s="16">
        <f t="shared" ca="1" si="54"/>
        <v>0</v>
      </c>
      <c r="P188" s="16">
        <f t="shared" ca="1" si="54"/>
        <v>0</v>
      </c>
      <c r="Q188" s="16">
        <f t="shared" ca="1" si="54"/>
        <v>0</v>
      </c>
      <c r="R188" s="16">
        <f t="shared" ca="1" si="54"/>
        <v>0</v>
      </c>
      <c r="S188" s="16">
        <f t="shared" ca="1" si="54"/>
        <v>0</v>
      </c>
      <c r="T188" s="16">
        <f t="shared" ca="1" si="54"/>
        <v>0</v>
      </c>
    </row>
    <row r="189" spans="2:20">
      <c r="B189" s="1">
        <v>10</v>
      </c>
      <c r="C189" s="1" t="s">
        <v>298</v>
      </c>
      <c r="D189" s="140" t="s">
        <v>28</v>
      </c>
      <c r="E189" s="76">
        <f>Standardwerte!E123</f>
        <v>0</v>
      </c>
      <c r="F189" s="16">
        <f>E189</f>
        <v>0</v>
      </c>
      <c r="G189" s="16">
        <f t="shared" ref="G189:T189" si="55">F189</f>
        <v>0</v>
      </c>
      <c r="H189" s="16">
        <f t="shared" si="55"/>
        <v>0</v>
      </c>
      <c r="I189" s="16">
        <f t="shared" si="55"/>
        <v>0</v>
      </c>
      <c r="J189" s="16">
        <f t="shared" si="55"/>
        <v>0</v>
      </c>
      <c r="K189" s="16">
        <f t="shared" si="55"/>
        <v>0</v>
      </c>
      <c r="L189" s="16">
        <f t="shared" si="55"/>
        <v>0</v>
      </c>
      <c r="M189" s="16">
        <f t="shared" si="55"/>
        <v>0</v>
      </c>
      <c r="N189" s="16">
        <f t="shared" si="55"/>
        <v>0</v>
      </c>
      <c r="O189" s="16">
        <f t="shared" si="55"/>
        <v>0</v>
      </c>
      <c r="P189" s="16">
        <f t="shared" si="55"/>
        <v>0</v>
      </c>
      <c r="Q189" s="16">
        <f t="shared" si="55"/>
        <v>0</v>
      </c>
      <c r="R189" s="16">
        <f t="shared" si="55"/>
        <v>0</v>
      </c>
      <c r="S189" s="16">
        <f t="shared" si="55"/>
        <v>0</v>
      </c>
      <c r="T189" s="16">
        <f t="shared" si="55"/>
        <v>0</v>
      </c>
    </row>
    <row r="190" spans="2:20">
      <c r="B190" s="1">
        <v>11</v>
      </c>
      <c r="C190" s="1" t="s">
        <v>329</v>
      </c>
      <c r="D190" s="140" t="s">
        <v>28</v>
      </c>
      <c r="E190" s="76">
        <f>Standardwerte!E124</f>
        <v>0</v>
      </c>
      <c r="F190" s="16">
        <f t="shared" ref="F190:T190" si="56">E190</f>
        <v>0</v>
      </c>
      <c r="G190" s="16">
        <f t="shared" si="56"/>
        <v>0</v>
      </c>
      <c r="H190" s="16">
        <f t="shared" si="56"/>
        <v>0</v>
      </c>
      <c r="I190" s="16">
        <f t="shared" si="56"/>
        <v>0</v>
      </c>
      <c r="J190" s="16">
        <f t="shared" si="56"/>
        <v>0</v>
      </c>
      <c r="K190" s="16">
        <f t="shared" si="56"/>
        <v>0</v>
      </c>
      <c r="L190" s="16">
        <f t="shared" si="56"/>
        <v>0</v>
      </c>
      <c r="M190" s="16">
        <f t="shared" si="56"/>
        <v>0</v>
      </c>
      <c r="N190" s="16">
        <f t="shared" si="56"/>
        <v>0</v>
      </c>
      <c r="O190" s="16">
        <f t="shared" si="56"/>
        <v>0</v>
      </c>
      <c r="P190" s="16">
        <f t="shared" si="56"/>
        <v>0</v>
      </c>
      <c r="Q190" s="16">
        <f t="shared" si="56"/>
        <v>0</v>
      </c>
      <c r="R190" s="16">
        <f t="shared" si="56"/>
        <v>0</v>
      </c>
      <c r="S190" s="16">
        <f t="shared" si="56"/>
        <v>0</v>
      </c>
      <c r="T190" s="16">
        <f t="shared" si="56"/>
        <v>0</v>
      </c>
    </row>
    <row r="191" spans="2:20">
      <c r="B191" s="1">
        <v>12</v>
      </c>
      <c r="C191" s="1" t="s">
        <v>300</v>
      </c>
      <c r="D191" s="140" t="s">
        <v>28</v>
      </c>
      <c r="E191" s="76">
        <f>Standardwerte!E125</f>
        <v>0</v>
      </c>
      <c r="F191" s="16">
        <f t="shared" ref="F191:T191" si="57">E191</f>
        <v>0</v>
      </c>
      <c r="G191" s="16">
        <f t="shared" si="57"/>
        <v>0</v>
      </c>
      <c r="H191" s="16">
        <f t="shared" si="57"/>
        <v>0</v>
      </c>
      <c r="I191" s="16">
        <f t="shared" si="57"/>
        <v>0</v>
      </c>
      <c r="J191" s="16">
        <f t="shared" si="57"/>
        <v>0</v>
      </c>
      <c r="K191" s="16">
        <f t="shared" si="57"/>
        <v>0</v>
      </c>
      <c r="L191" s="16">
        <f t="shared" si="57"/>
        <v>0</v>
      </c>
      <c r="M191" s="16">
        <f t="shared" si="57"/>
        <v>0</v>
      </c>
      <c r="N191" s="16">
        <f t="shared" si="57"/>
        <v>0</v>
      </c>
      <c r="O191" s="16">
        <f t="shared" si="57"/>
        <v>0</v>
      </c>
      <c r="P191" s="16">
        <f t="shared" si="57"/>
        <v>0</v>
      </c>
      <c r="Q191" s="16">
        <f t="shared" si="57"/>
        <v>0</v>
      </c>
      <c r="R191" s="16">
        <f t="shared" si="57"/>
        <v>0</v>
      </c>
      <c r="S191" s="16">
        <f t="shared" si="57"/>
        <v>0</v>
      </c>
      <c r="T191" s="16">
        <f t="shared" si="57"/>
        <v>0</v>
      </c>
    </row>
    <row r="192" spans="2:20">
      <c r="B192" s="1">
        <v>13</v>
      </c>
      <c r="C192" s="1" t="s">
        <v>301</v>
      </c>
      <c r="D192" s="140" t="s">
        <v>28</v>
      </c>
      <c r="E192" s="76">
        <f>Standardwerte!E126</f>
        <v>0</v>
      </c>
      <c r="F192" s="16">
        <f t="shared" ref="F192:T192" si="58">E192</f>
        <v>0</v>
      </c>
      <c r="G192" s="16">
        <f t="shared" si="58"/>
        <v>0</v>
      </c>
      <c r="H192" s="16">
        <f t="shared" si="58"/>
        <v>0</v>
      </c>
      <c r="I192" s="16">
        <f t="shared" si="58"/>
        <v>0</v>
      </c>
      <c r="J192" s="16">
        <f t="shared" si="58"/>
        <v>0</v>
      </c>
      <c r="K192" s="16">
        <f t="shared" si="58"/>
        <v>0</v>
      </c>
      <c r="L192" s="16">
        <f t="shared" si="58"/>
        <v>0</v>
      </c>
      <c r="M192" s="16">
        <f t="shared" si="58"/>
        <v>0</v>
      </c>
      <c r="N192" s="16">
        <f t="shared" si="58"/>
        <v>0</v>
      </c>
      <c r="O192" s="16">
        <f t="shared" si="58"/>
        <v>0</v>
      </c>
      <c r="P192" s="16">
        <f t="shared" si="58"/>
        <v>0</v>
      </c>
      <c r="Q192" s="16">
        <f t="shared" si="58"/>
        <v>0</v>
      </c>
      <c r="R192" s="16">
        <f t="shared" si="58"/>
        <v>0</v>
      </c>
      <c r="S192" s="16">
        <f t="shared" si="58"/>
        <v>0</v>
      </c>
      <c r="T192" s="16">
        <f t="shared" si="58"/>
        <v>0</v>
      </c>
    </row>
    <row r="193" spans="2:20">
      <c r="B193" s="1">
        <v>8</v>
      </c>
      <c r="C193" s="64" t="s">
        <v>974</v>
      </c>
      <c r="D193" s="140" t="s">
        <v>28</v>
      </c>
      <c r="E193" s="16">
        <f t="shared" ref="E193:T193" ca="1" si="59">E183</f>
        <v>0</v>
      </c>
      <c r="F193" s="16">
        <f t="shared" ca="1" si="59"/>
        <v>0</v>
      </c>
      <c r="G193" s="16">
        <f t="shared" ca="1" si="59"/>
        <v>0</v>
      </c>
      <c r="H193" s="16">
        <f t="shared" ca="1" si="59"/>
        <v>0</v>
      </c>
      <c r="I193" s="16">
        <f t="shared" ca="1" si="59"/>
        <v>0</v>
      </c>
      <c r="J193" s="16">
        <f t="shared" ca="1" si="59"/>
        <v>0</v>
      </c>
      <c r="K193" s="16">
        <f t="shared" ca="1" si="59"/>
        <v>0</v>
      </c>
      <c r="L193" s="16">
        <f t="shared" ca="1" si="59"/>
        <v>0</v>
      </c>
      <c r="M193" s="16">
        <f t="shared" si="59"/>
        <v>0</v>
      </c>
      <c r="N193" s="16">
        <f t="shared" si="59"/>
        <v>0</v>
      </c>
      <c r="O193" s="16">
        <f t="shared" si="59"/>
        <v>0</v>
      </c>
      <c r="P193" s="16">
        <f t="shared" si="59"/>
        <v>0</v>
      </c>
      <c r="Q193" s="16">
        <f t="shared" si="59"/>
        <v>0</v>
      </c>
      <c r="R193" s="16">
        <f t="shared" si="59"/>
        <v>0</v>
      </c>
      <c r="S193" s="16">
        <f t="shared" si="59"/>
        <v>0</v>
      </c>
      <c r="T193" s="16">
        <f t="shared" si="59"/>
        <v>0</v>
      </c>
    </row>
    <row r="194" spans="2:20">
      <c r="B194" s="1">
        <v>14</v>
      </c>
      <c r="C194" s="64" t="s">
        <v>1810</v>
      </c>
      <c r="D194" s="140" t="s">
        <v>28</v>
      </c>
      <c r="E194" s="16">
        <f ca="1">E186</f>
        <v>0</v>
      </c>
      <c r="F194" s="16">
        <f t="shared" ref="F194:T194" ca="1" si="60">F186</f>
        <v>0</v>
      </c>
      <c r="G194" s="16">
        <f t="shared" ca="1" si="60"/>
        <v>0</v>
      </c>
      <c r="H194" s="16">
        <f t="shared" ca="1" si="60"/>
        <v>0</v>
      </c>
      <c r="I194" s="16">
        <f t="shared" ca="1" si="60"/>
        <v>0</v>
      </c>
      <c r="J194" s="16">
        <f t="shared" ca="1" si="60"/>
        <v>0</v>
      </c>
      <c r="K194" s="16">
        <f t="shared" ca="1" si="60"/>
        <v>0</v>
      </c>
      <c r="L194" s="16">
        <f t="shared" ca="1" si="60"/>
        <v>0</v>
      </c>
      <c r="M194" s="16">
        <f t="shared" ca="1" si="60"/>
        <v>0</v>
      </c>
      <c r="N194" s="16">
        <f t="shared" ca="1" si="60"/>
        <v>0</v>
      </c>
      <c r="O194" s="16">
        <f t="shared" ca="1" si="60"/>
        <v>0</v>
      </c>
      <c r="P194" s="16">
        <f t="shared" ca="1" si="60"/>
        <v>0</v>
      </c>
      <c r="Q194" s="16">
        <f t="shared" ca="1" si="60"/>
        <v>0</v>
      </c>
      <c r="R194" s="16">
        <f t="shared" ca="1" si="60"/>
        <v>0</v>
      </c>
      <c r="S194" s="16">
        <f t="shared" ca="1" si="60"/>
        <v>0</v>
      </c>
      <c r="T194" s="16">
        <f t="shared" ca="1" si="60"/>
        <v>0</v>
      </c>
    </row>
    <row r="196" spans="2:20" ht="15.75">
      <c r="B196" s="57" t="s">
        <v>1658</v>
      </c>
    </row>
    <row r="197" spans="2:20">
      <c r="B197" s="1">
        <v>0</v>
      </c>
      <c r="C197" s="1" t="s">
        <v>122</v>
      </c>
      <c r="D197" s="35" t="s">
        <v>195</v>
      </c>
      <c r="E197" s="16">
        <v>0</v>
      </c>
      <c r="F197" s="16">
        <v>0</v>
      </c>
      <c r="G197" s="16">
        <v>0</v>
      </c>
      <c r="H197" s="16">
        <v>0</v>
      </c>
      <c r="I197" s="16">
        <v>0</v>
      </c>
      <c r="J197" s="16">
        <v>0</v>
      </c>
      <c r="K197" s="16">
        <v>0</v>
      </c>
      <c r="L197" s="16">
        <v>0</v>
      </c>
      <c r="M197" s="16">
        <v>0</v>
      </c>
      <c r="N197" s="16">
        <v>0</v>
      </c>
      <c r="O197" s="16">
        <v>0</v>
      </c>
      <c r="P197" s="16">
        <v>0</v>
      </c>
      <c r="Q197" s="16">
        <v>0</v>
      </c>
      <c r="R197" s="16">
        <v>0</v>
      </c>
      <c r="S197" s="16">
        <v>0</v>
      </c>
      <c r="T197" s="16">
        <v>0</v>
      </c>
    </row>
    <row r="198" spans="2:20">
      <c r="B198" s="1">
        <v>1</v>
      </c>
      <c r="C198" s="1" t="s">
        <v>0</v>
      </c>
      <c r="D198" s="35" t="s">
        <v>195</v>
      </c>
      <c r="E198" s="16">
        <f ca="1">IF(E$112&lt;=Standardwerte!$C$85,Standardwerte!$F$85,IF(E$112&lt;=Standardwerte!$C$86,Standardwerte!$F$86,IF(E$112&lt;=Standardwerte!$C$87,Standardwerte!$F$87,IF(E$112&lt;=Standardwerte!$C$88,Standardwerte!$F$88,IF(E$112&lt;=Standardwerte!$C$89,Standardwerte!$F$89,IF(E$112&lt;=Standardwerte!$C$90,Standardwerte!$F$90,Standardwerte!$F$91))))))</f>
        <v>0</v>
      </c>
      <c r="F198" s="16">
        <f ca="1">IF(F$112&lt;=Standardwerte!$C$85,Standardwerte!$F$85,IF(F$112&lt;=Standardwerte!$C$86,Standardwerte!$F$86,IF(F$112&lt;=Standardwerte!$C$87,Standardwerte!$F$87,IF(F$112&lt;=Standardwerte!$C$88,Standardwerte!$F$88,IF(F$112&lt;=Standardwerte!$C$89,Standardwerte!$F$89,IF(F$112&lt;=Standardwerte!$C$90,Standardwerte!$F$90,Standardwerte!$F$91))))))</f>
        <v>0</v>
      </c>
      <c r="G198" s="16">
        <f ca="1">IF(G$112&lt;=Standardwerte!$C$85,Standardwerte!$F$85,IF(G$112&lt;=Standardwerte!$C$86,Standardwerte!$F$86,IF(G$112&lt;=Standardwerte!$C$87,Standardwerte!$F$87,IF(G$112&lt;=Standardwerte!$C$88,Standardwerte!$F$88,IF(G$112&lt;=Standardwerte!$C$89,Standardwerte!$F$89,IF(G$112&lt;=Standardwerte!$C$90,Standardwerte!$F$90,Standardwerte!$F$91))))))</f>
        <v>0</v>
      </c>
      <c r="H198" s="16">
        <f ca="1">IF(H$112&lt;=Standardwerte!$C$85,Standardwerte!$F$85,IF(H$112&lt;=Standardwerte!$C$86,Standardwerte!$F$86,IF(H$112&lt;=Standardwerte!$C$87,Standardwerte!$F$87,IF(H$112&lt;=Standardwerte!$C$88,Standardwerte!$F$88,IF(H$112&lt;=Standardwerte!$C$89,Standardwerte!$F$89,IF(H$112&lt;=Standardwerte!$C$90,Standardwerte!$F$90,Standardwerte!$F$91))))))</f>
        <v>0</v>
      </c>
      <c r="I198" s="16">
        <f ca="1">IF(I$112&lt;=Standardwerte!$C$85,Standardwerte!$F$85,IF(I$112&lt;=Standardwerte!$C$86,Standardwerte!$F$86,IF(I$112&lt;=Standardwerte!$C$87,Standardwerte!$F$87,IF(I$112&lt;=Standardwerte!$C$88,Standardwerte!$F$88,IF(I$112&lt;=Standardwerte!$C$89,Standardwerte!$F$89,IF(I$112&lt;=Standardwerte!$C$90,Standardwerte!$F$90,Standardwerte!$F$91))))))</f>
        <v>0</v>
      </c>
      <c r="J198" s="16">
        <f ca="1">IF(J$112&lt;=Standardwerte!$C$85,Standardwerte!$F$85,IF(J$112&lt;=Standardwerte!$C$86,Standardwerte!$F$86,IF(J$112&lt;=Standardwerte!$C$87,Standardwerte!$F$87,IF(J$112&lt;=Standardwerte!$C$88,Standardwerte!$F$88,IF(J$112&lt;=Standardwerte!$C$89,Standardwerte!$F$89,IF(J$112&lt;=Standardwerte!$C$90,Standardwerte!$F$90,Standardwerte!$F$91))))))</f>
        <v>0</v>
      </c>
      <c r="K198" s="16">
        <f ca="1">IF(K$112&lt;=Standardwerte!$C$85,Standardwerte!$F$85,IF(K$112&lt;=Standardwerte!$C$86,Standardwerte!$F$86,IF(K$112&lt;=Standardwerte!$C$87,Standardwerte!$F$87,IF(K$112&lt;=Standardwerte!$C$88,Standardwerte!$F$88,IF(K$112&lt;=Standardwerte!$C$89,Standardwerte!$F$89,IF(K$112&lt;=Standardwerte!$C$90,Standardwerte!$F$90,Standardwerte!$F$91))))))</f>
        <v>0</v>
      </c>
      <c r="L198" s="16">
        <f ca="1">IF(L$112&lt;=Standardwerte!$C$85,Standardwerte!$F$85,IF(L$112&lt;=Standardwerte!$C$86,Standardwerte!$F$86,IF(L$112&lt;=Standardwerte!$C$87,Standardwerte!$F$87,IF(L$112&lt;=Standardwerte!$C$88,Standardwerte!$F$88,IF(L$112&lt;=Standardwerte!$C$89,Standardwerte!$F$89,IF(L$112&lt;=Standardwerte!$C$90,Standardwerte!$F$90,Standardwerte!$F$91))))))</f>
        <v>0</v>
      </c>
      <c r="M198" s="16">
        <f>IF(M$112&lt;=Standardwerte!$C$85,Standardwerte!$F$85,IF(M$112&lt;=Standardwerte!$C$86,Standardwerte!$F$86,IF(M$112&lt;=Standardwerte!$C$87,Standardwerte!$F$87,IF(M$112&lt;=Standardwerte!$C$88,Standardwerte!$F$88,IF(M$112&lt;=Standardwerte!$C$89,Standardwerte!$F$89,IF(M$112&lt;=Standardwerte!$C$90,Standardwerte!$F$90,Standardwerte!$F$91))))))</f>
        <v>0</v>
      </c>
      <c r="N198" s="16">
        <f>IF(N$112&lt;=Standardwerte!$C$85,Standardwerte!$F$85,IF(N$112&lt;=Standardwerte!$C$86,Standardwerte!$F$86,IF(N$112&lt;=Standardwerte!$C$87,Standardwerte!$F$87,IF(N$112&lt;=Standardwerte!$C$88,Standardwerte!$F$88,IF(N$112&lt;=Standardwerte!$C$89,Standardwerte!$F$89,IF(N$112&lt;=Standardwerte!$C$90,Standardwerte!$F$90,Standardwerte!$F$91))))))</f>
        <v>0</v>
      </c>
      <c r="O198" s="16">
        <f>IF(O$112&lt;=Standardwerte!$C$85,Standardwerte!$F$85,IF(O$112&lt;=Standardwerte!$C$86,Standardwerte!$F$86,IF(O$112&lt;=Standardwerte!$C$87,Standardwerte!$F$87,IF(O$112&lt;=Standardwerte!$C$88,Standardwerte!$F$88,IF(O$112&lt;=Standardwerte!$C$89,Standardwerte!$F$89,IF(O$112&lt;=Standardwerte!$C$90,Standardwerte!$F$90,Standardwerte!$F$91))))))</f>
        <v>0</v>
      </c>
      <c r="P198" s="16">
        <f>IF(P$112&lt;=Standardwerte!$C$85,Standardwerte!$F$85,IF(P$112&lt;=Standardwerte!$C$86,Standardwerte!$F$86,IF(P$112&lt;=Standardwerte!$C$87,Standardwerte!$F$87,IF(P$112&lt;=Standardwerte!$C$88,Standardwerte!$F$88,IF(P$112&lt;=Standardwerte!$C$89,Standardwerte!$F$89,IF(P$112&lt;=Standardwerte!$C$90,Standardwerte!$F$90,Standardwerte!$F$91))))))</f>
        <v>0</v>
      </c>
      <c r="Q198" s="16">
        <f>IF(Q$112&lt;=Standardwerte!$C$85,Standardwerte!$F$85,IF(Q$112&lt;=Standardwerte!$C$86,Standardwerte!$F$86,IF(Q$112&lt;=Standardwerte!$C$87,Standardwerte!$F$87,IF(Q$112&lt;=Standardwerte!$C$88,Standardwerte!$F$88,IF(Q$112&lt;=Standardwerte!$C$89,Standardwerte!$F$89,IF(Q$112&lt;=Standardwerte!$C$90,Standardwerte!$F$90,Standardwerte!$F$91))))))</f>
        <v>0</v>
      </c>
      <c r="R198" s="16">
        <f>IF(R$112&lt;=Standardwerte!$C$85,Standardwerte!$F$85,IF(R$112&lt;=Standardwerte!$C$86,Standardwerte!$F$86,IF(R$112&lt;=Standardwerte!$C$87,Standardwerte!$F$87,IF(R$112&lt;=Standardwerte!$C$88,Standardwerte!$F$88,IF(R$112&lt;=Standardwerte!$C$89,Standardwerte!$F$89,IF(R$112&lt;=Standardwerte!$C$90,Standardwerte!$F$90,Standardwerte!$F$91))))))</f>
        <v>0</v>
      </c>
      <c r="S198" s="16">
        <f>IF(S$112&lt;=Standardwerte!$C$85,Standardwerte!$F$85,IF(S$112&lt;=Standardwerte!$C$86,Standardwerte!$F$86,IF(S$112&lt;=Standardwerte!$C$87,Standardwerte!$F$87,IF(S$112&lt;=Standardwerte!$C$88,Standardwerte!$F$88,IF(S$112&lt;=Standardwerte!$C$89,Standardwerte!$F$89,IF(S$112&lt;=Standardwerte!$C$90,Standardwerte!$F$90,Standardwerte!$F$91))))))</f>
        <v>0</v>
      </c>
      <c r="T198" s="16">
        <f>IF(T$112&lt;=Standardwerte!$C$85,Standardwerte!$F$85,IF(T$112&lt;=Standardwerte!$C$86,Standardwerte!$F$86,IF(T$112&lt;=Standardwerte!$C$87,Standardwerte!$F$87,IF(T$112&lt;=Standardwerte!$C$88,Standardwerte!$F$88,IF(T$112&lt;=Standardwerte!$C$89,Standardwerte!$F$89,IF(T$112&lt;=Standardwerte!$C$90,Standardwerte!$F$90,Standardwerte!$F$91))))))</f>
        <v>0</v>
      </c>
    </row>
    <row r="199" spans="2:20">
      <c r="B199" s="1">
        <v>2</v>
      </c>
      <c r="C199" s="1" t="s">
        <v>14</v>
      </c>
      <c r="D199" s="35" t="s">
        <v>195</v>
      </c>
      <c r="E199" s="16">
        <f ca="1">IF(E$112&lt;=Standardwerte!$C$94,Standardwerte!$F$94,IF(E$112&lt;=Standardwerte!$C$95,Standardwerte!$F$95,IF(E$112&lt;=Standardwerte!$C$96,Standardwerte!$F$96,Standardwerte!$F$97)))</f>
        <v>0.12</v>
      </c>
      <c r="F199" s="16">
        <f ca="1">IF(F$112&lt;=Standardwerte!$C$94,Standardwerte!$F$94,IF(F$112&lt;=Standardwerte!$C$95,Standardwerte!$F$95,IF(F$112&lt;=Standardwerte!$C$96,Standardwerte!$F$96,Standardwerte!$F$97)))</f>
        <v>0.12</v>
      </c>
      <c r="G199" s="16">
        <f ca="1">IF(G$112&lt;=Standardwerte!$C$94,Standardwerte!$F$94,IF(G$112&lt;=Standardwerte!$C$95,Standardwerte!$F$95,IF(G$112&lt;=Standardwerte!$C$96,Standardwerte!$F$96,Standardwerte!$F$97)))</f>
        <v>0.12</v>
      </c>
      <c r="H199" s="16">
        <f ca="1">IF(H$112&lt;=Standardwerte!$C$94,Standardwerte!$F$94,IF(H$112&lt;=Standardwerte!$C$95,Standardwerte!$F$95,IF(H$112&lt;=Standardwerte!$C$96,Standardwerte!$F$96,Standardwerte!$F$97)))</f>
        <v>0.12</v>
      </c>
      <c r="I199" s="16">
        <f ca="1">IF(I$112&lt;=Standardwerte!$C$94,Standardwerte!$F$94,IF(I$112&lt;=Standardwerte!$C$95,Standardwerte!$F$95,IF(I$112&lt;=Standardwerte!$C$96,Standardwerte!$F$96,Standardwerte!$F$97)))</f>
        <v>0.12</v>
      </c>
      <c r="J199" s="16">
        <f ca="1">IF(J$112&lt;=Standardwerte!$C$94,Standardwerte!$F$94,IF(J$112&lt;=Standardwerte!$C$95,Standardwerte!$F$95,IF(J$112&lt;=Standardwerte!$C$96,Standardwerte!$F$96,Standardwerte!$F$97)))</f>
        <v>0.12</v>
      </c>
      <c r="K199" s="16">
        <f ca="1">IF(K$112&lt;=Standardwerte!$C$94,Standardwerte!$F$94,IF(K$112&lt;=Standardwerte!$C$95,Standardwerte!$F$95,IF(K$112&lt;=Standardwerte!$C$96,Standardwerte!$F$96,Standardwerte!$F$97)))</f>
        <v>0.12</v>
      </c>
      <c r="L199" s="16">
        <f ca="1">IF(L$112&lt;=Standardwerte!$C$94,Standardwerte!$F$94,IF(L$112&lt;=Standardwerte!$C$95,Standardwerte!$F$95,IF(L$112&lt;=Standardwerte!$C$96,Standardwerte!$F$96,Standardwerte!$F$97)))</f>
        <v>0.12</v>
      </c>
      <c r="M199" s="16">
        <f>IF(M$112&lt;=Standardwerte!$C$94,Standardwerte!$F$94,IF(M$112&lt;=Standardwerte!$C$95,Standardwerte!$F$95,IF(M$112&lt;=Standardwerte!$C$96,Standardwerte!$F$96,Standardwerte!$F$97)))</f>
        <v>0.12</v>
      </c>
      <c r="N199" s="16">
        <f>IF(N$112&lt;=Standardwerte!$C$94,Standardwerte!$F$94,IF(N$112&lt;=Standardwerte!$C$95,Standardwerte!$F$95,IF(N$112&lt;=Standardwerte!$C$96,Standardwerte!$F$96,Standardwerte!$F$97)))</f>
        <v>0.12</v>
      </c>
      <c r="O199" s="16">
        <f>IF(O$112&lt;=Standardwerte!$C$94,Standardwerte!$F$94,IF(O$112&lt;=Standardwerte!$C$95,Standardwerte!$F$95,IF(O$112&lt;=Standardwerte!$C$96,Standardwerte!$F$96,Standardwerte!$F$97)))</f>
        <v>0.12</v>
      </c>
      <c r="P199" s="16">
        <f>IF(P$112&lt;=Standardwerte!$C$94,Standardwerte!$F$94,IF(P$112&lt;=Standardwerte!$C$95,Standardwerte!$F$95,IF(P$112&lt;=Standardwerte!$C$96,Standardwerte!$F$96,Standardwerte!$F$97)))</f>
        <v>0.12</v>
      </c>
      <c r="Q199" s="16">
        <f>IF(Q$112&lt;=Standardwerte!$C$94,Standardwerte!$F$94,IF(Q$112&lt;=Standardwerte!$C$95,Standardwerte!$F$95,IF(Q$112&lt;=Standardwerte!$C$96,Standardwerte!$F$96,Standardwerte!$F$97)))</f>
        <v>0.12</v>
      </c>
      <c r="R199" s="16">
        <f>IF(R$112&lt;=Standardwerte!$C$94,Standardwerte!$F$94,IF(R$112&lt;=Standardwerte!$C$95,Standardwerte!$F$95,IF(R$112&lt;=Standardwerte!$C$96,Standardwerte!$F$96,Standardwerte!$F$97)))</f>
        <v>0.12</v>
      </c>
      <c r="S199" s="16">
        <f>IF(S$112&lt;=Standardwerte!$C$94,Standardwerte!$F$94,IF(S$112&lt;=Standardwerte!$C$95,Standardwerte!$F$95,IF(S$112&lt;=Standardwerte!$C$96,Standardwerte!$F$96,Standardwerte!$F$97)))</f>
        <v>0.12</v>
      </c>
      <c r="T199" s="16">
        <f>IF(T$112&lt;=Standardwerte!$C$94,Standardwerte!$F$94,IF(T$112&lt;=Standardwerte!$C$95,Standardwerte!$F$95,IF(T$112&lt;=Standardwerte!$C$96,Standardwerte!$F$96,Standardwerte!$F$97)))</f>
        <v>0.12</v>
      </c>
    </row>
    <row r="200" spans="2:20">
      <c r="B200" s="1">
        <v>3</v>
      </c>
      <c r="C200" s="1" t="s">
        <v>1</v>
      </c>
      <c r="D200" s="35" t="s">
        <v>195</v>
      </c>
      <c r="E200" s="16">
        <f>Standardwerte!F100</f>
        <v>0</v>
      </c>
      <c r="F200" s="16">
        <f>E200</f>
        <v>0</v>
      </c>
      <c r="G200" s="16">
        <f t="shared" ref="G200:T200" si="61">F200</f>
        <v>0</v>
      </c>
      <c r="H200" s="16">
        <f t="shared" si="61"/>
        <v>0</v>
      </c>
      <c r="I200" s="16">
        <f t="shared" si="61"/>
        <v>0</v>
      </c>
      <c r="J200" s="16">
        <f t="shared" si="61"/>
        <v>0</v>
      </c>
      <c r="K200" s="16">
        <f t="shared" si="61"/>
        <v>0</v>
      </c>
      <c r="L200" s="16">
        <f t="shared" si="61"/>
        <v>0</v>
      </c>
      <c r="M200" s="16">
        <f t="shared" si="61"/>
        <v>0</v>
      </c>
      <c r="N200" s="16">
        <f t="shared" si="61"/>
        <v>0</v>
      </c>
      <c r="O200" s="16">
        <f t="shared" si="61"/>
        <v>0</v>
      </c>
      <c r="P200" s="16">
        <f t="shared" si="61"/>
        <v>0</v>
      </c>
      <c r="Q200" s="16">
        <f t="shared" si="61"/>
        <v>0</v>
      </c>
      <c r="R200" s="16">
        <f t="shared" si="61"/>
        <v>0</v>
      </c>
      <c r="S200" s="16">
        <f t="shared" si="61"/>
        <v>0</v>
      </c>
      <c r="T200" s="16">
        <f t="shared" si="61"/>
        <v>0</v>
      </c>
    </row>
    <row r="201" spans="2:20">
      <c r="B201" s="1">
        <v>4</v>
      </c>
      <c r="C201" s="1" t="s">
        <v>15</v>
      </c>
      <c r="D201" s="35" t="s">
        <v>195</v>
      </c>
      <c r="E201" s="16">
        <f>Standardwerte!F103</f>
        <v>0</v>
      </c>
      <c r="F201" s="16">
        <f>E201</f>
        <v>0</v>
      </c>
      <c r="G201" s="16">
        <f t="shared" ref="G201:T201" si="62">F201</f>
        <v>0</v>
      </c>
      <c r="H201" s="16">
        <f t="shared" si="62"/>
        <v>0</v>
      </c>
      <c r="I201" s="16">
        <f t="shared" si="62"/>
        <v>0</v>
      </c>
      <c r="J201" s="16">
        <f t="shared" si="62"/>
        <v>0</v>
      </c>
      <c r="K201" s="16">
        <f t="shared" si="62"/>
        <v>0</v>
      </c>
      <c r="L201" s="16">
        <f t="shared" si="62"/>
        <v>0</v>
      </c>
      <c r="M201" s="16">
        <f t="shared" si="62"/>
        <v>0</v>
      </c>
      <c r="N201" s="16">
        <f t="shared" si="62"/>
        <v>0</v>
      </c>
      <c r="O201" s="16">
        <f t="shared" si="62"/>
        <v>0</v>
      </c>
      <c r="P201" s="16">
        <f t="shared" si="62"/>
        <v>0</v>
      </c>
      <c r="Q201" s="16">
        <f t="shared" si="62"/>
        <v>0</v>
      </c>
      <c r="R201" s="16">
        <f t="shared" si="62"/>
        <v>0</v>
      </c>
      <c r="S201" s="16">
        <f t="shared" si="62"/>
        <v>0</v>
      </c>
      <c r="T201" s="16">
        <f t="shared" si="62"/>
        <v>0</v>
      </c>
    </row>
    <row r="202" spans="2:20">
      <c r="B202" s="1">
        <v>5</v>
      </c>
      <c r="C202" s="1" t="s">
        <v>141</v>
      </c>
      <c r="D202" s="35" t="s">
        <v>195</v>
      </c>
      <c r="E202" s="16">
        <f ca="1">IFERROR(INDEX(Standardwerte!$F$106:$F$120,MATCH(Standardwerte!$G$74,Standardwerte!$B$106:$B$120,0)),0)</f>
        <v>0</v>
      </c>
      <c r="F202" s="16">
        <f ca="1">E202</f>
        <v>0</v>
      </c>
      <c r="G202" s="16">
        <f t="shared" ref="G202:T202" ca="1" si="63">F202</f>
        <v>0</v>
      </c>
      <c r="H202" s="16">
        <f t="shared" ca="1" si="63"/>
        <v>0</v>
      </c>
      <c r="I202" s="16">
        <f t="shared" ca="1" si="63"/>
        <v>0</v>
      </c>
      <c r="J202" s="16">
        <f t="shared" ca="1" si="63"/>
        <v>0</v>
      </c>
      <c r="K202" s="16">
        <f t="shared" ca="1" si="63"/>
        <v>0</v>
      </c>
      <c r="L202" s="16">
        <f t="shared" ca="1" si="63"/>
        <v>0</v>
      </c>
      <c r="M202" s="16">
        <f t="shared" ca="1" si="63"/>
        <v>0</v>
      </c>
      <c r="N202" s="16">
        <f t="shared" ca="1" si="63"/>
        <v>0</v>
      </c>
      <c r="O202" s="16">
        <f t="shared" ca="1" si="63"/>
        <v>0</v>
      </c>
      <c r="P202" s="16">
        <f t="shared" ca="1" si="63"/>
        <v>0</v>
      </c>
      <c r="Q202" s="16">
        <f t="shared" ca="1" si="63"/>
        <v>0</v>
      </c>
      <c r="R202" s="16">
        <f t="shared" ca="1" si="63"/>
        <v>0</v>
      </c>
      <c r="S202" s="16">
        <f t="shared" ca="1" si="63"/>
        <v>0</v>
      </c>
      <c r="T202" s="16">
        <f t="shared" ca="1" si="63"/>
        <v>0</v>
      </c>
    </row>
    <row r="203" spans="2:20">
      <c r="B203" s="1">
        <v>6</v>
      </c>
      <c r="C203" s="1" t="s">
        <v>142</v>
      </c>
      <c r="D203" s="35" t="s">
        <v>195</v>
      </c>
      <c r="E203" s="16">
        <f ca="1">E202</f>
        <v>0</v>
      </c>
      <c r="F203" s="16">
        <f t="shared" ref="F203:T203" ca="1" si="64">E203</f>
        <v>0</v>
      </c>
      <c r="G203" s="16">
        <f t="shared" ca="1" si="64"/>
        <v>0</v>
      </c>
      <c r="H203" s="16">
        <f t="shared" ca="1" si="64"/>
        <v>0</v>
      </c>
      <c r="I203" s="16">
        <f t="shared" ca="1" si="64"/>
        <v>0</v>
      </c>
      <c r="J203" s="16">
        <f t="shared" ca="1" si="64"/>
        <v>0</v>
      </c>
      <c r="K203" s="16">
        <f t="shared" ca="1" si="64"/>
        <v>0</v>
      </c>
      <c r="L203" s="16">
        <f t="shared" ca="1" si="64"/>
        <v>0</v>
      </c>
      <c r="M203" s="16">
        <f t="shared" ca="1" si="64"/>
        <v>0</v>
      </c>
      <c r="N203" s="16">
        <f t="shared" ca="1" si="64"/>
        <v>0</v>
      </c>
      <c r="O203" s="16">
        <f t="shared" ca="1" si="64"/>
        <v>0</v>
      </c>
      <c r="P203" s="16">
        <f t="shared" ca="1" si="64"/>
        <v>0</v>
      </c>
      <c r="Q203" s="16">
        <f t="shared" ca="1" si="64"/>
        <v>0</v>
      </c>
      <c r="R203" s="16">
        <f t="shared" ca="1" si="64"/>
        <v>0</v>
      </c>
      <c r="S203" s="16">
        <f t="shared" ca="1" si="64"/>
        <v>0</v>
      </c>
      <c r="T203" s="16">
        <f t="shared" ca="1" si="64"/>
        <v>0</v>
      </c>
    </row>
    <row r="204" spans="2:20">
      <c r="B204" s="1">
        <v>7</v>
      </c>
      <c r="C204" s="1" t="s">
        <v>143</v>
      </c>
      <c r="D204" s="35" t="s">
        <v>195</v>
      </c>
      <c r="E204" s="16">
        <f ca="1">E203</f>
        <v>0</v>
      </c>
      <c r="F204" s="16">
        <f t="shared" ref="F204:T204" ca="1" si="65">E204</f>
        <v>0</v>
      </c>
      <c r="G204" s="16">
        <f t="shared" ca="1" si="65"/>
        <v>0</v>
      </c>
      <c r="H204" s="16">
        <f t="shared" ca="1" si="65"/>
        <v>0</v>
      </c>
      <c r="I204" s="16">
        <f t="shared" ca="1" si="65"/>
        <v>0</v>
      </c>
      <c r="J204" s="16">
        <f t="shared" ca="1" si="65"/>
        <v>0</v>
      </c>
      <c r="K204" s="16">
        <f t="shared" ca="1" si="65"/>
        <v>0</v>
      </c>
      <c r="L204" s="16">
        <f t="shared" ca="1" si="65"/>
        <v>0</v>
      </c>
      <c r="M204" s="16">
        <f t="shared" ca="1" si="65"/>
        <v>0</v>
      </c>
      <c r="N204" s="16">
        <f t="shared" ca="1" si="65"/>
        <v>0</v>
      </c>
      <c r="O204" s="16">
        <f t="shared" ca="1" si="65"/>
        <v>0</v>
      </c>
      <c r="P204" s="16">
        <f t="shared" ca="1" si="65"/>
        <v>0</v>
      </c>
      <c r="Q204" s="16">
        <f t="shared" ca="1" si="65"/>
        <v>0</v>
      </c>
      <c r="R204" s="16">
        <f t="shared" ca="1" si="65"/>
        <v>0</v>
      </c>
      <c r="S204" s="16">
        <f t="shared" ca="1" si="65"/>
        <v>0</v>
      </c>
      <c r="T204" s="16">
        <f t="shared" ca="1" si="65"/>
        <v>0</v>
      </c>
    </row>
    <row r="205" spans="2:20">
      <c r="B205" s="1">
        <v>10</v>
      </c>
      <c r="C205" s="1" t="s">
        <v>298</v>
      </c>
      <c r="D205" s="35" t="s">
        <v>195</v>
      </c>
      <c r="E205" s="16">
        <f>Standardwerte!F123</f>
        <v>0</v>
      </c>
      <c r="F205" s="16">
        <f>E205</f>
        <v>0</v>
      </c>
      <c r="G205" s="16">
        <f t="shared" ref="G205:T205" si="66">F205</f>
        <v>0</v>
      </c>
      <c r="H205" s="16">
        <f t="shared" si="66"/>
        <v>0</v>
      </c>
      <c r="I205" s="16">
        <f t="shared" si="66"/>
        <v>0</v>
      </c>
      <c r="J205" s="16">
        <f t="shared" si="66"/>
        <v>0</v>
      </c>
      <c r="K205" s="16">
        <f t="shared" si="66"/>
        <v>0</v>
      </c>
      <c r="L205" s="16">
        <f t="shared" si="66"/>
        <v>0</v>
      </c>
      <c r="M205" s="16">
        <f t="shared" si="66"/>
        <v>0</v>
      </c>
      <c r="N205" s="16">
        <f t="shared" si="66"/>
        <v>0</v>
      </c>
      <c r="O205" s="16">
        <f t="shared" si="66"/>
        <v>0</v>
      </c>
      <c r="P205" s="16">
        <f t="shared" si="66"/>
        <v>0</v>
      </c>
      <c r="Q205" s="16">
        <f t="shared" si="66"/>
        <v>0</v>
      </c>
      <c r="R205" s="16">
        <f t="shared" si="66"/>
        <v>0</v>
      </c>
      <c r="S205" s="16">
        <f t="shared" si="66"/>
        <v>0</v>
      </c>
      <c r="T205" s="16">
        <f t="shared" si="66"/>
        <v>0</v>
      </c>
    </row>
    <row r="206" spans="2:20">
      <c r="B206" s="1">
        <v>11</v>
      </c>
      <c r="C206" s="1" t="s">
        <v>329</v>
      </c>
      <c r="D206" s="35" t="s">
        <v>195</v>
      </c>
      <c r="E206" s="16">
        <f>Standardwerte!F124</f>
        <v>0</v>
      </c>
      <c r="F206" s="16">
        <f t="shared" ref="F206:T206" si="67">E206</f>
        <v>0</v>
      </c>
      <c r="G206" s="16">
        <f t="shared" si="67"/>
        <v>0</v>
      </c>
      <c r="H206" s="16">
        <f t="shared" si="67"/>
        <v>0</v>
      </c>
      <c r="I206" s="16">
        <f t="shared" si="67"/>
        <v>0</v>
      </c>
      <c r="J206" s="16">
        <f t="shared" si="67"/>
        <v>0</v>
      </c>
      <c r="K206" s="16">
        <f t="shared" si="67"/>
        <v>0</v>
      </c>
      <c r="L206" s="16">
        <f t="shared" si="67"/>
        <v>0</v>
      </c>
      <c r="M206" s="16">
        <f t="shared" si="67"/>
        <v>0</v>
      </c>
      <c r="N206" s="16">
        <f t="shared" si="67"/>
        <v>0</v>
      </c>
      <c r="O206" s="16">
        <f t="shared" si="67"/>
        <v>0</v>
      </c>
      <c r="P206" s="16">
        <f t="shared" si="67"/>
        <v>0</v>
      </c>
      <c r="Q206" s="16">
        <f t="shared" si="67"/>
        <v>0</v>
      </c>
      <c r="R206" s="16">
        <f t="shared" si="67"/>
        <v>0</v>
      </c>
      <c r="S206" s="16">
        <f t="shared" si="67"/>
        <v>0</v>
      </c>
      <c r="T206" s="16">
        <f t="shared" si="67"/>
        <v>0</v>
      </c>
    </row>
    <row r="207" spans="2:20">
      <c r="B207" s="1">
        <v>12</v>
      </c>
      <c r="C207" s="1" t="s">
        <v>300</v>
      </c>
      <c r="D207" s="35" t="s">
        <v>195</v>
      </c>
      <c r="E207" s="16">
        <f>Standardwerte!F125</f>
        <v>0</v>
      </c>
      <c r="F207" s="16">
        <f t="shared" ref="F207:T207" si="68">E207</f>
        <v>0</v>
      </c>
      <c r="G207" s="16">
        <f t="shared" si="68"/>
        <v>0</v>
      </c>
      <c r="H207" s="16">
        <f t="shared" si="68"/>
        <v>0</v>
      </c>
      <c r="I207" s="16">
        <f t="shared" si="68"/>
        <v>0</v>
      </c>
      <c r="J207" s="16">
        <f t="shared" si="68"/>
        <v>0</v>
      </c>
      <c r="K207" s="16">
        <f t="shared" si="68"/>
        <v>0</v>
      </c>
      <c r="L207" s="16">
        <f t="shared" si="68"/>
        <v>0</v>
      </c>
      <c r="M207" s="16">
        <f t="shared" si="68"/>
        <v>0</v>
      </c>
      <c r="N207" s="16">
        <f t="shared" si="68"/>
        <v>0</v>
      </c>
      <c r="O207" s="16">
        <f t="shared" si="68"/>
        <v>0</v>
      </c>
      <c r="P207" s="16">
        <f t="shared" si="68"/>
        <v>0</v>
      </c>
      <c r="Q207" s="16">
        <f t="shared" si="68"/>
        <v>0</v>
      </c>
      <c r="R207" s="16">
        <f t="shared" si="68"/>
        <v>0</v>
      </c>
      <c r="S207" s="16">
        <f t="shared" si="68"/>
        <v>0</v>
      </c>
      <c r="T207" s="16">
        <f t="shared" si="68"/>
        <v>0</v>
      </c>
    </row>
    <row r="208" spans="2:20">
      <c r="B208" s="1">
        <v>13</v>
      </c>
      <c r="C208" s="1" t="s">
        <v>301</v>
      </c>
      <c r="D208" s="35" t="s">
        <v>195</v>
      </c>
      <c r="E208" s="16">
        <f>Standardwerte!F126</f>
        <v>0</v>
      </c>
      <c r="F208" s="16">
        <f t="shared" ref="F208:T208" si="69">E208</f>
        <v>0</v>
      </c>
      <c r="G208" s="16">
        <f t="shared" si="69"/>
        <v>0</v>
      </c>
      <c r="H208" s="16">
        <f t="shared" si="69"/>
        <v>0</v>
      </c>
      <c r="I208" s="16">
        <f t="shared" si="69"/>
        <v>0</v>
      </c>
      <c r="J208" s="16">
        <f t="shared" si="69"/>
        <v>0</v>
      </c>
      <c r="K208" s="16">
        <f t="shared" si="69"/>
        <v>0</v>
      </c>
      <c r="L208" s="16">
        <f t="shared" si="69"/>
        <v>0</v>
      </c>
      <c r="M208" s="16">
        <f t="shared" si="69"/>
        <v>0</v>
      </c>
      <c r="N208" s="16">
        <f t="shared" si="69"/>
        <v>0</v>
      </c>
      <c r="O208" s="16">
        <f t="shared" si="69"/>
        <v>0</v>
      </c>
      <c r="P208" s="16">
        <f t="shared" si="69"/>
        <v>0</v>
      </c>
      <c r="Q208" s="16">
        <f t="shared" si="69"/>
        <v>0</v>
      </c>
      <c r="R208" s="16">
        <f t="shared" si="69"/>
        <v>0</v>
      </c>
      <c r="S208" s="16">
        <f t="shared" si="69"/>
        <v>0</v>
      </c>
      <c r="T208" s="16">
        <f t="shared" si="69"/>
        <v>0</v>
      </c>
    </row>
    <row r="209" spans="2:20">
      <c r="B209" s="1">
        <v>8</v>
      </c>
      <c r="C209" s="64" t="s">
        <v>974</v>
      </c>
      <c r="D209" s="35" t="s">
        <v>195</v>
      </c>
      <c r="E209" s="16">
        <f ca="1">E199</f>
        <v>0.12</v>
      </c>
      <c r="F209" s="16">
        <f t="shared" ref="F209:T209" ca="1" si="70">F199</f>
        <v>0.12</v>
      </c>
      <c r="G209" s="16">
        <f t="shared" ca="1" si="70"/>
        <v>0.12</v>
      </c>
      <c r="H209" s="16">
        <f t="shared" ca="1" si="70"/>
        <v>0.12</v>
      </c>
      <c r="I209" s="16">
        <f t="shared" ca="1" si="70"/>
        <v>0.12</v>
      </c>
      <c r="J209" s="16">
        <f t="shared" ca="1" si="70"/>
        <v>0.12</v>
      </c>
      <c r="K209" s="16">
        <f t="shared" ca="1" si="70"/>
        <v>0.12</v>
      </c>
      <c r="L209" s="16">
        <f t="shared" ca="1" si="70"/>
        <v>0.12</v>
      </c>
      <c r="M209" s="16">
        <f t="shared" si="70"/>
        <v>0.12</v>
      </c>
      <c r="N209" s="16">
        <f t="shared" si="70"/>
        <v>0.12</v>
      </c>
      <c r="O209" s="16">
        <f t="shared" si="70"/>
        <v>0.12</v>
      </c>
      <c r="P209" s="16">
        <f t="shared" si="70"/>
        <v>0.12</v>
      </c>
      <c r="Q209" s="16">
        <f t="shared" si="70"/>
        <v>0.12</v>
      </c>
      <c r="R209" s="16">
        <f t="shared" si="70"/>
        <v>0.12</v>
      </c>
      <c r="S209" s="16">
        <f t="shared" si="70"/>
        <v>0.12</v>
      </c>
      <c r="T209" s="16">
        <f t="shared" si="70"/>
        <v>0.12</v>
      </c>
    </row>
    <row r="210" spans="2:20">
      <c r="B210" s="1">
        <v>14</v>
      </c>
      <c r="C210" s="64" t="s">
        <v>1810</v>
      </c>
      <c r="D210" s="35" t="s">
        <v>195</v>
      </c>
      <c r="E210" s="16">
        <f ca="1">E202</f>
        <v>0</v>
      </c>
      <c r="F210" s="16">
        <f t="shared" ref="F210:T210" ca="1" si="71">F202</f>
        <v>0</v>
      </c>
      <c r="G210" s="16">
        <f t="shared" ca="1" si="71"/>
        <v>0</v>
      </c>
      <c r="H210" s="16">
        <f t="shared" ca="1" si="71"/>
        <v>0</v>
      </c>
      <c r="I210" s="16">
        <f t="shared" ca="1" si="71"/>
        <v>0</v>
      </c>
      <c r="J210" s="16">
        <f t="shared" ca="1" si="71"/>
        <v>0</v>
      </c>
      <c r="K210" s="16">
        <f t="shared" ca="1" si="71"/>
        <v>0</v>
      </c>
      <c r="L210" s="16">
        <f t="shared" ca="1" si="71"/>
        <v>0</v>
      </c>
      <c r="M210" s="16">
        <f t="shared" ca="1" si="71"/>
        <v>0</v>
      </c>
      <c r="N210" s="16">
        <f t="shared" ca="1" si="71"/>
        <v>0</v>
      </c>
      <c r="O210" s="16">
        <f t="shared" ca="1" si="71"/>
        <v>0</v>
      </c>
      <c r="P210" s="16">
        <f t="shared" ca="1" si="71"/>
        <v>0</v>
      </c>
      <c r="Q210" s="16">
        <f t="shared" ca="1" si="71"/>
        <v>0</v>
      </c>
      <c r="R210" s="16">
        <f t="shared" ca="1" si="71"/>
        <v>0</v>
      </c>
      <c r="S210" s="16">
        <f t="shared" ca="1" si="71"/>
        <v>0</v>
      </c>
      <c r="T210" s="16">
        <f t="shared" ca="1" si="71"/>
        <v>0</v>
      </c>
    </row>
    <row r="212" spans="2:20" ht="15.75">
      <c r="B212" s="57" t="s">
        <v>1654</v>
      </c>
    </row>
    <row r="213" spans="2:20">
      <c r="B213" s="1">
        <v>0</v>
      </c>
      <c r="C213" s="1" t="s">
        <v>122</v>
      </c>
      <c r="D213" s="140" t="s">
        <v>28</v>
      </c>
      <c r="E213" s="16">
        <v>0</v>
      </c>
      <c r="F213" s="16">
        <v>0</v>
      </c>
      <c r="G213" s="16">
        <v>0</v>
      </c>
      <c r="H213" s="16">
        <v>0</v>
      </c>
      <c r="I213" s="16">
        <v>0</v>
      </c>
      <c r="J213" s="16">
        <v>0</v>
      </c>
      <c r="K213" s="16">
        <v>0</v>
      </c>
      <c r="L213" s="16">
        <v>0</v>
      </c>
      <c r="M213" s="16">
        <v>0</v>
      </c>
      <c r="N213" s="16">
        <v>0</v>
      </c>
      <c r="O213" s="16">
        <v>0</v>
      </c>
      <c r="P213" s="16">
        <v>0</v>
      </c>
      <c r="Q213" s="16">
        <v>0</v>
      </c>
      <c r="R213" s="16">
        <v>0</v>
      </c>
      <c r="S213" s="16">
        <v>0</v>
      </c>
      <c r="T213" s="16">
        <v>0</v>
      </c>
    </row>
    <row r="214" spans="2:20">
      <c r="B214" s="1">
        <v>1</v>
      </c>
      <c r="C214" s="1" t="s">
        <v>0</v>
      </c>
      <c r="D214" s="140" t="s">
        <v>28</v>
      </c>
      <c r="E214" s="16">
        <f ca="1">IF(E$112&lt;=Standardwerte!$C$85,Standardwerte!$G$85,IF(E$112&lt;=Standardwerte!$C$86,Standardwerte!$G$86,IF(E$112&lt;=Standardwerte!$C$87,Standardwerte!$G$87,IF(E$112&lt;=Standardwerte!$C$88,Standardwerte!$G$88,IF(E$112&lt;=Standardwerte!$C$89,Standardwerte!$G$89,IF(E$112&lt;=Standardwerte!$C$90,Standardwerte!$G$90,Standardwerte!$G$91))))))</f>
        <v>0</v>
      </c>
      <c r="F214" s="16">
        <f ca="1">IF(F$112&lt;=Standardwerte!$C$85,Standardwerte!$G$85,IF(F$112&lt;=Standardwerte!$C$86,Standardwerte!$G$86,IF(F$112&lt;=Standardwerte!$C$87,Standardwerte!$G$87,IF(F$112&lt;=Standardwerte!$C$88,Standardwerte!$G$88,IF(F$112&lt;=Standardwerte!$C$89,Standardwerte!$G$89,IF(F$112&lt;=Standardwerte!$C$90,Standardwerte!$G$90,Standardwerte!$G$91))))))</f>
        <v>0</v>
      </c>
      <c r="G214" s="16">
        <f ca="1">IF(G$112&lt;=Standardwerte!$C$85,Standardwerte!$G$85,IF(G$112&lt;=Standardwerte!$C$86,Standardwerte!$G$86,IF(G$112&lt;=Standardwerte!$C$87,Standardwerte!$G$87,IF(G$112&lt;=Standardwerte!$C$88,Standardwerte!$G$88,IF(G$112&lt;=Standardwerte!$C$89,Standardwerte!$G$89,IF(G$112&lt;=Standardwerte!$C$90,Standardwerte!$G$90,Standardwerte!$G$91))))))</f>
        <v>0</v>
      </c>
      <c r="H214" s="16">
        <f ca="1">IF(H$112&lt;=Standardwerte!$C$85,Standardwerte!$G$85,IF(H$112&lt;=Standardwerte!$C$86,Standardwerte!$G$86,IF(H$112&lt;=Standardwerte!$C$87,Standardwerte!$G$87,IF(H$112&lt;=Standardwerte!$C$88,Standardwerte!$G$88,IF(H$112&lt;=Standardwerte!$C$89,Standardwerte!$G$89,IF(H$112&lt;=Standardwerte!$C$90,Standardwerte!$G$90,Standardwerte!$G$91))))))</f>
        <v>0</v>
      </c>
      <c r="I214" s="16">
        <f ca="1">IF(I$112&lt;=Standardwerte!$C$85,Standardwerte!$G$85,IF(I$112&lt;=Standardwerte!$C$86,Standardwerte!$G$86,IF(I$112&lt;=Standardwerte!$C$87,Standardwerte!$G$87,IF(I$112&lt;=Standardwerte!$C$88,Standardwerte!$G$88,IF(I$112&lt;=Standardwerte!$C$89,Standardwerte!$G$89,IF(I$112&lt;=Standardwerte!$C$90,Standardwerte!$G$90,Standardwerte!$G$91))))))</f>
        <v>0</v>
      </c>
      <c r="J214" s="16">
        <f ca="1">IF(J$112&lt;=Standardwerte!$C$85,Standardwerte!$G$85,IF(J$112&lt;=Standardwerte!$C$86,Standardwerte!$G$86,IF(J$112&lt;=Standardwerte!$C$87,Standardwerte!$G$87,IF(J$112&lt;=Standardwerte!$C$88,Standardwerte!$G$88,IF(J$112&lt;=Standardwerte!$C$89,Standardwerte!$G$89,IF(J$112&lt;=Standardwerte!$C$90,Standardwerte!$G$90,Standardwerte!$G$91))))))</f>
        <v>0</v>
      </c>
      <c r="K214" s="16">
        <f ca="1">IF(K$112&lt;=Standardwerte!$C$85,Standardwerte!$G$85,IF(K$112&lt;=Standardwerte!$C$86,Standardwerte!$G$86,IF(K$112&lt;=Standardwerte!$C$87,Standardwerte!$G$87,IF(K$112&lt;=Standardwerte!$C$88,Standardwerte!$G$88,IF(K$112&lt;=Standardwerte!$C$89,Standardwerte!$G$89,IF(K$112&lt;=Standardwerte!$C$90,Standardwerte!$G$90,Standardwerte!$G$91))))))</f>
        <v>0</v>
      </c>
      <c r="L214" s="16">
        <f ca="1">IF(L$112&lt;=Standardwerte!$C$85,Standardwerte!$G$85,IF(L$112&lt;=Standardwerte!$C$86,Standardwerte!$G$86,IF(L$112&lt;=Standardwerte!$C$87,Standardwerte!$G$87,IF(L$112&lt;=Standardwerte!$C$88,Standardwerte!$G$88,IF(L$112&lt;=Standardwerte!$C$89,Standardwerte!$G$89,IF(L$112&lt;=Standardwerte!$C$90,Standardwerte!$G$90,Standardwerte!$G$91))))))</f>
        <v>0</v>
      </c>
      <c r="M214" s="16">
        <f>IF(M$112&lt;=Standardwerte!$C$85,Standardwerte!$G$85,IF(M$112&lt;=Standardwerte!$C$86,Standardwerte!$G$86,IF(M$112&lt;=Standardwerte!$C$87,Standardwerte!$G$87,IF(M$112&lt;=Standardwerte!$C$88,Standardwerte!$G$88,IF(M$112&lt;=Standardwerte!$C$89,Standardwerte!$G$89,IF(M$112&lt;=Standardwerte!$C$90,Standardwerte!$G$90,Standardwerte!$G$91))))))</f>
        <v>0</v>
      </c>
      <c r="N214" s="16">
        <f>IF(N$112&lt;=Standardwerte!$C$85,Standardwerte!$G$85,IF(N$112&lt;=Standardwerte!$C$86,Standardwerte!$G$86,IF(N$112&lt;=Standardwerte!$C$87,Standardwerte!$G$87,IF(N$112&lt;=Standardwerte!$C$88,Standardwerte!$G$88,IF(N$112&lt;=Standardwerte!$C$89,Standardwerte!$G$89,IF(N$112&lt;=Standardwerte!$C$90,Standardwerte!$G$90,Standardwerte!$G$91))))))</f>
        <v>0</v>
      </c>
      <c r="O214" s="16">
        <f>IF(O$112&lt;=Standardwerte!$C$85,Standardwerte!$G$85,IF(O$112&lt;=Standardwerte!$C$86,Standardwerte!$G$86,IF(O$112&lt;=Standardwerte!$C$87,Standardwerte!$G$87,IF(O$112&lt;=Standardwerte!$C$88,Standardwerte!$G$88,IF(O$112&lt;=Standardwerte!$C$89,Standardwerte!$G$89,IF(O$112&lt;=Standardwerte!$C$90,Standardwerte!$G$90,Standardwerte!$G$91))))))</f>
        <v>0</v>
      </c>
      <c r="P214" s="16">
        <f>IF(P$112&lt;=Standardwerte!$C$85,Standardwerte!$G$85,IF(P$112&lt;=Standardwerte!$C$86,Standardwerte!$G$86,IF(P$112&lt;=Standardwerte!$C$87,Standardwerte!$G$87,IF(P$112&lt;=Standardwerte!$C$88,Standardwerte!$G$88,IF(P$112&lt;=Standardwerte!$C$89,Standardwerte!$G$89,IF(P$112&lt;=Standardwerte!$C$90,Standardwerte!$G$90,Standardwerte!$G$91))))))</f>
        <v>0</v>
      </c>
      <c r="Q214" s="16">
        <f>IF(Q$112&lt;=Standardwerte!$C$85,Standardwerte!$G$85,IF(Q$112&lt;=Standardwerte!$C$86,Standardwerte!$G$86,IF(Q$112&lt;=Standardwerte!$C$87,Standardwerte!$G$87,IF(Q$112&lt;=Standardwerte!$C$88,Standardwerte!$G$88,IF(Q$112&lt;=Standardwerte!$C$89,Standardwerte!$G$89,IF(Q$112&lt;=Standardwerte!$C$90,Standardwerte!$G$90,Standardwerte!$G$91))))))</f>
        <v>0</v>
      </c>
      <c r="R214" s="16">
        <f>IF(R$112&lt;=Standardwerte!$C$85,Standardwerte!$G$85,IF(R$112&lt;=Standardwerte!$C$86,Standardwerte!$G$86,IF(R$112&lt;=Standardwerte!$C$87,Standardwerte!$G$87,IF(R$112&lt;=Standardwerte!$C$88,Standardwerte!$G$88,IF(R$112&lt;=Standardwerte!$C$89,Standardwerte!$G$89,IF(R$112&lt;=Standardwerte!$C$90,Standardwerte!$G$90,Standardwerte!$G$91))))))</f>
        <v>0</v>
      </c>
      <c r="S214" s="16">
        <f>IF(S$112&lt;=Standardwerte!$C$85,Standardwerte!$G$85,IF(S$112&lt;=Standardwerte!$C$86,Standardwerte!$G$86,IF(S$112&lt;=Standardwerte!$C$87,Standardwerte!$G$87,IF(S$112&lt;=Standardwerte!$C$88,Standardwerte!$G$88,IF(S$112&lt;=Standardwerte!$C$89,Standardwerte!$G$89,IF(S$112&lt;=Standardwerte!$C$90,Standardwerte!$G$90,Standardwerte!$G$91))))))</f>
        <v>0</v>
      </c>
      <c r="T214" s="16">
        <f>IF(T$112&lt;=Standardwerte!$C$85,Standardwerte!$G$85,IF(T$112&lt;=Standardwerte!$C$86,Standardwerte!$G$86,IF(T$112&lt;=Standardwerte!$C$87,Standardwerte!$G$87,IF(T$112&lt;=Standardwerte!$C$88,Standardwerte!$G$88,IF(T$112&lt;=Standardwerte!$C$89,Standardwerte!$G$89,IF(T$112&lt;=Standardwerte!$C$90,Standardwerte!$G$90,Standardwerte!$G$91))))))</f>
        <v>0</v>
      </c>
    </row>
    <row r="215" spans="2:20">
      <c r="B215" s="1">
        <v>2</v>
      </c>
      <c r="C215" s="1" t="s">
        <v>14</v>
      </c>
      <c r="D215" s="140" t="s">
        <v>28</v>
      </c>
      <c r="E215" s="16">
        <f ca="1">IF(E$112&lt;=Standardwerte!$C$94,Standardwerte!$G$94,IF(E$112&lt;=Standardwerte!$C$95,Standardwerte!$G$95,IF(E$112&lt;=Standardwerte!$C$96,Standardwerte!$G$96,Standardwerte!$G$97)))</f>
        <v>0</v>
      </c>
      <c r="F215" s="16">
        <f ca="1">IF(F$112&lt;=Standardwerte!$C$94,Standardwerte!$G$94,IF(F$112&lt;=Standardwerte!$C$95,Standardwerte!$G$95,IF(F$112&lt;=Standardwerte!$C$96,Standardwerte!$G$96,Standardwerte!$G$97)))</f>
        <v>0</v>
      </c>
      <c r="G215" s="16">
        <f ca="1">IF(G$112&lt;=Standardwerte!$C$94,Standardwerte!$G$94,IF(G$112&lt;=Standardwerte!$C$95,Standardwerte!$G$95,IF(G$112&lt;=Standardwerte!$C$96,Standardwerte!$G$96,Standardwerte!$G$97)))</f>
        <v>0</v>
      </c>
      <c r="H215" s="16">
        <f ca="1">IF(H$112&lt;=Standardwerte!$C$94,Standardwerte!$G$94,IF(H$112&lt;=Standardwerte!$C$95,Standardwerte!$G$95,IF(H$112&lt;=Standardwerte!$C$96,Standardwerte!$G$96,Standardwerte!$G$97)))</f>
        <v>0</v>
      </c>
      <c r="I215" s="16">
        <f ca="1">IF(I$112&lt;=Standardwerte!$C$94,Standardwerte!$G$94,IF(I$112&lt;=Standardwerte!$C$95,Standardwerte!$G$95,IF(I$112&lt;=Standardwerte!$C$96,Standardwerte!$G$96,Standardwerte!$G$97)))</f>
        <v>0</v>
      </c>
      <c r="J215" s="16">
        <f ca="1">IF(J$112&lt;=Standardwerte!$C$94,Standardwerte!$G$94,IF(J$112&lt;=Standardwerte!$C$95,Standardwerte!$G$95,IF(J$112&lt;=Standardwerte!$C$96,Standardwerte!$G$96,Standardwerte!$G$97)))</f>
        <v>0</v>
      </c>
      <c r="K215" s="16">
        <f ca="1">IF(K$112&lt;=Standardwerte!$C$94,Standardwerte!$G$94,IF(K$112&lt;=Standardwerte!$C$95,Standardwerte!$G$95,IF(K$112&lt;=Standardwerte!$C$96,Standardwerte!$G$96,Standardwerte!$G$97)))</f>
        <v>0</v>
      </c>
      <c r="L215" s="16">
        <f ca="1">IF(L$112&lt;=Standardwerte!$C$94,Standardwerte!$G$94,IF(L$112&lt;=Standardwerte!$C$95,Standardwerte!$G$95,IF(L$112&lt;=Standardwerte!$C$96,Standardwerte!$G$96,Standardwerte!$G$97)))</f>
        <v>0</v>
      </c>
      <c r="M215" s="16">
        <f>IF(M$112&lt;=Standardwerte!$C$94,Standardwerte!$G$94,IF(M$112&lt;=Standardwerte!$C$95,Standardwerte!$G$95,IF(M$112&lt;=Standardwerte!$C$96,Standardwerte!$G$96,Standardwerte!$G$97)))</f>
        <v>0</v>
      </c>
      <c r="N215" s="16">
        <f>IF(N$112&lt;=Standardwerte!$C$94,Standardwerte!$G$94,IF(N$112&lt;=Standardwerte!$C$95,Standardwerte!$G$95,IF(N$112&lt;=Standardwerte!$C$96,Standardwerte!$G$96,Standardwerte!$G$97)))</f>
        <v>0</v>
      </c>
      <c r="O215" s="16">
        <f>IF(O$112&lt;=Standardwerte!$C$94,Standardwerte!$G$94,IF(O$112&lt;=Standardwerte!$C$95,Standardwerte!$G$95,IF(O$112&lt;=Standardwerte!$C$96,Standardwerte!$G$96,Standardwerte!$G$97)))</f>
        <v>0</v>
      </c>
      <c r="P215" s="16">
        <f>IF(P$112&lt;=Standardwerte!$C$94,Standardwerte!$G$94,IF(P$112&lt;=Standardwerte!$C$95,Standardwerte!$G$95,IF(P$112&lt;=Standardwerte!$C$96,Standardwerte!$G$96,Standardwerte!$G$97)))</f>
        <v>0</v>
      </c>
      <c r="Q215" s="16">
        <f>IF(Q$112&lt;=Standardwerte!$C$94,Standardwerte!$G$94,IF(Q$112&lt;=Standardwerte!$C$95,Standardwerte!$G$95,IF(Q$112&lt;=Standardwerte!$C$96,Standardwerte!$G$96,Standardwerte!$G$97)))</f>
        <v>0</v>
      </c>
      <c r="R215" s="16">
        <f>IF(R$112&lt;=Standardwerte!$C$94,Standardwerte!$G$94,IF(R$112&lt;=Standardwerte!$C$95,Standardwerte!$G$95,IF(R$112&lt;=Standardwerte!$C$96,Standardwerte!$G$96,Standardwerte!$G$97)))</f>
        <v>0</v>
      </c>
      <c r="S215" s="16">
        <f>IF(S$112&lt;=Standardwerte!$C$94,Standardwerte!$G$94,IF(S$112&lt;=Standardwerte!$C$95,Standardwerte!$G$95,IF(S$112&lt;=Standardwerte!$C$96,Standardwerte!$G$96,Standardwerte!$G$97)))</f>
        <v>0</v>
      </c>
      <c r="T215" s="16">
        <f>IF(T$112&lt;=Standardwerte!$C$94,Standardwerte!$G$94,IF(T$112&lt;=Standardwerte!$C$95,Standardwerte!$G$95,IF(T$112&lt;=Standardwerte!$C$96,Standardwerte!$G$96,Standardwerte!$G$97)))</f>
        <v>0</v>
      </c>
    </row>
    <row r="216" spans="2:20">
      <c r="B216" s="1">
        <v>3</v>
      </c>
      <c r="C216" s="1" t="s">
        <v>1</v>
      </c>
      <c r="D216" s="140" t="s">
        <v>28</v>
      </c>
      <c r="E216" s="16">
        <f>Standardwerte!G100</f>
        <v>0</v>
      </c>
      <c r="F216" s="16">
        <f>E216</f>
        <v>0</v>
      </c>
      <c r="G216" s="16">
        <f t="shared" ref="G216:T216" si="72">F216</f>
        <v>0</v>
      </c>
      <c r="H216" s="16">
        <f t="shared" si="72"/>
        <v>0</v>
      </c>
      <c r="I216" s="16">
        <f t="shared" si="72"/>
        <v>0</v>
      </c>
      <c r="J216" s="16">
        <f t="shared" si="72"/>
        <v>0</v>
      </c>
      <c r="K216" s="16">
        <f t="shared" si="72"/>
        <v>0</v>
      </c>
      <c r="L216" s="16">
        <f t="shared" si="72"/>
        <v>0</v>
      </c>
      <c r="M216" s="16">
        <f t="shared" si="72"/>
        <v>0</v>
      </c>
      <c r="N216" s="16">
        <f t="shared" si="72"/>
        <v>0</v>
      </c>
      <c r="O216" s="16">
        <f t="shared" si="72"/>
        <v>0</v>
      </c>
      <c r="P216" s="16">
        <f t="shared" si="72"/>
        <v>0</v>
      </c>
      <c r="Q216" s="16">
        <f t="shared" si="72"/>
        <v>0</v>
      </c>
      <c r="R216" s="16">
        <f t="shared" si="72"/>
        <v>0</v>
      </c>
      <c r="S216" s="16">
        <f t="shared" si="72"/>
        <v>0</v>
      </c>
      <c r="T216" s="16">
        <f t="shared" si="72"/>
        <v>0</v>
      </c>
    </row>
    <row r="217" spans="2:20">
      <c r="B217" s="1">
        <v>4</v>
      </c>
      <c r="C217" s="1" t="s">
        <v>15</v>
      </c>
      <c r="D217" s="140" t="s">
        <v>28</v>
      </c>
      <c r="E217" s="16">
        <f>Standardwerte!G103</f>
        <v>0</v>
      </c>
      <c r="F217" s="16">
        <f>E217</f>
        <v>0</v>
      </c>
      <c r="G217" s="16">
        <f t="shared" ref="G217:T217" si="73">F217</f>
        <v>0</v>
      </c>
      <c r="H217" s="16">
        <f t="shared" si="73"/>
        <v>0</v>
      </c>
      <c r="I217" s="16">
        <f t="shared" si="73"/>
        <v>0</v>
      </c>
      <c r="J217" s="16">
        <f t="shared" si="73"/>
        <v>0</v>
      </c>
      <c r="K217" s="16">
        <f t="shared" si="73"/>
        <v>0</v>
      </c>
      <c r="L217" s="16">
        <f t="shared" si="73"/>
        <v>0</v>
      </c>
      <c r="M217" s="16">
        <f t="shared" si="73"/>
        <v>0</v>
      </c>
      <c r="N217" s="16">
        <f t="shared" si="73"/>
        <v>0</v>
      </c>
      <c r="O217" s="16">
        <f t="shared" si="73"/>
        <v>0</v>
      </c>
      <c r="P217" s="16">
        <f t="shared" si="73"/>
        <v>0</v>
      </c>
      <c r="Q217" s="16">
        <f t="shared" si="73"/>
        <v>0</v>
      </c>
      <c r="R217" s="16">
        <f t="shared" si="73"/>
        <v>0</v>
      </c>
      <c r="S217" s="16">
        <f t="shared" si="73"/>
        <v>0</v>
      </c>
      <c r="T217" s="16">
        <f t="shared" si="73"/>
        <v>0</v>
      </c>
    </row>
    <row r="218" spans="2:20">
      <c r="B218" s="1">
        <v>5</v>
      </c>
      <c r="C218" s="1" t="s">
        <v>141</v>
      </c>
      <c r="D218" s="140" t="s">
        <v>28</v>
      </c>
      <c r="E218" s="16">
        <f ca="1">IFERROR(INDEX(Standardwerte!$G$106:$G$120,MATCH(Standardwerte!$G$74,Standardwerte!$B$106:$B$120,0)),0)</f>
        <v>0</v>
      </c>
      <c r="F218" s="16">
        <f ca="1">E218</f>
        <v>0</v>
      </c>
      <c r="G218" s="16">
        <f t="shared" ref="G218:T218" ca="1" si="74">F218</f>
        <v>0</v>
      </c>
      <c r="H218" s="16">
        <f t="shared" ca="1" si="74"/>
        <v>0</v>
      </c>
      <c r="I218" s="16">
        <f t="shared" ca="1" si="74"/>
        <v>0</v>
      </c>
      <c r="J218" s="16">
        <f t="shared" ca="1" si="74"/>
        <v>0</v>
      </c>
      <c r="K218" s="16">
        <f t="shared" ca="1" si="74"/>
        <v>0</v>
      </c>
      <c r="L218" s="16">
        <f t="shared" ca="1" si="74"/>
        <v>0</v>
      </c>
      <c r="M218" s="16">
        <f t="shared" ca="1" si="74"/>
        <v>0</v>
      </c>
      <c r="N218" s="16">
        <f t="shared" ca="1" si="74"/>
        <v>0</v>
      </c>
      <c r="O218" s="16">
        <f t="shared" ca="1" si="74"/>
        <v>0</v>
      </c>
      <c r="P218" s="16">
        <f t="shared" ca="1" si="74"/>
        <v>0</v>
      </c>
      <c r="Q218" s="16">
        <f t="shared" ca="1" si="74"/>
        <v>0</v>
      </c>
      <c r="R218" s="16">
        <f t="shared" ca="1" si="74"/>
        <v>0</v>
      </c>
      <c r="S218" s="16">
        <f t="shared" ca="1" si="74"/>
        <v>0</v>
      </c>
      <c r="T218" s="16">
        <f t="shared" ca="1" si="74"/>
        <v>0</v>
      </c>
    </row>
    <row r="219" spans="2:20">
      <c r="B219" s="1">
        <v>6</v>
      </c>
      <c r="C219" s="1" t="s">
        <v>142</v>
      </c>
      <c r="D219" s="140" t="s">
        <v>28</v>
      </c>
      <c r="E219" s="16">
        <f ca="1">E218</f>
        <v>0</v>
      </c>
      <c r="F219" s="16">
        <f t="shared" ref="F219:T219" ca="1" si="75">E219</f>
        <v>0</v>
      </c>
      <c r="G219" s="16">
        <f t="shared" ca="1" si="75"/>
        <v>0</v>
      </c>
      <c r="H219" s="16">
        <f t="shared" ca="1" si="75"/>
        <v>0</v>
      </c>
      <c r="I219" s="16">
        <f t="shared" ca="1" si="75"/>
        <v>0</v>
      </c>
      <c r="J219" s="16">
        <f t="shared" ca="1" si="75"/>
        <v>0</v>
      </c>
      <c r="K219" s="16">
        <f t="shared" ca="1" si="75"/>
        <v>0</v>
      </c>
      <c r="L219" s="16">
        <f t="shared" ca="1" si="75"/>
        <v>0</v>
      </c>
      <c r="M219" s="16">
        <f t="shared" ca="1" si="75"/>
        <v>0</v>
      </c>
      <c r="N219" s="16">
        <f t="shared" ca="1" si="75"/>
        <v>0</v>
      </c>
      <c r="O219" s="16">
        <f t="shared" ca="1" si="75"/>
        <v>0</v>
      </c>
      <c r="P219" s="16">
        <f t="shared" ca="1" si="75"/>
        <v>0</v>
      </c>
      <c r="Q219" s="16">
        <f t="shared" ca="1" si="75"/>
        <v>0</v>
      </c>
      <c r="R219" s="16">
        <f t="shared" ca="1" si="75"/>
        <v>0</v>
      </c>
      <c r="S219" s="16">
        <f t="shared" ca="1" si="75"/>
        <v>0</v>
      </c>
      <c r="T219" s="16">
        <f t="shared" ca="1" si="75"/>
        <v>0</v>
      </c>
    </row>
    <row r="220" spans="2:20">
      <c r="B220" s="1">
        <v>7</v>
      </c>
      <c r="C220" s="1" t="s">
        <v>143</v>
      </c>
      <c r="D220" s="140" t="s">
        <v>28</v>
      </c>
      <c r="E220" s="16">
        <f ca="1">E219</f>
        <v>0</v>
      </c>
      <c r="F220" s="16">
        <f t="shared" ref="F220:T220" ca="1" si="76">E220</f>
        <v>0</v>
      </c>
      <c r="G220" s="16">
        <f t="shared" ca="1" si="76"/>
        <v>0</v>
      </c>
      <c r="H220" s="16">
        <f t="shared" ca="1" si="76"/>
        <v>0</v>
      </c>
      <c r="I220" s="16">
        <f t="shared" ca="1" si="76"/>
        <v>0</v>
      </c>
      <c r="J220" s="16">
        <f t="shared" ca="1" si="76"/>
        <v>0</v>
      </c>
      <c r="K220" s="16">
        <f t="shared" ca="1" si="76"/>
        <v>0</v>
      </c>
      <c r="L220" s="16">
        <f t="shared" ca="1" si="76"/>
        <v>0</v>
      </c>
      <c r="M220" s="16">
        <f t="shared" ca="1" si="76"/>
        <v>0</v>
      </c>
      <c r="N220" s="16">
        <f t="shared" ca="1" si="76"/>
        <v>0</v>
      </c>
      <c r="O220" s="16">
        <f t="shared" ca="1" si="76"/>
        <v>0</v>
      </c>
      <c r="P220" s="16">
        <f t="shared" ca="1" si="76"/>
        <v>0</v>
      </c>
      <c r="Q220" s="16">
        <f t="shared" ca="1" si="76"/>
        <v>0</v>
      </c>
      <c r="R220" s="16">
        <f t="shared" ca="1" si="76"/>
        <v>0</v>
      </c>
      <c r="S220" s="16">
        <f t="shared" ca="1" si="76"/>
        <v>0</v>
      </c>
      <c r="T220" s="16">
        <f t="shared" ca="1" si="76"/>
        <v>0</v>
      </c>
    </row>
    <row r="221" spans="2:20">
      <c r="B221" s="1">
        <v>10</v>
      </c>
      <c r="C221" s="1" t="s">
        <v>298</v>
      </c>
      <c r="D221" s="140" t="s">
        <v>28</v>
      </c>
      <c r="E221" s="16">
        <f>Standardwerte!G123</f>
        <v>0</v>
      </c>
      <c r="F221" s="16">
        <f>E221</f>
        <v>0</v>
      </c>
      <c r="G221" s="16">
        <f t="shared" ref="G221:T221" si="77">F221</f>
        <v>0</v>
      </c>
      <c r="H221" s="16">
        <f t="shared" si="77"/>
        <v>0</v>
      </c>
      <c r="I221" s="16">
        <f t="shared" si="77"/>
        <v>0</v>
      </c>
      <c r="J221" s="16">
        <f t="shared" si="77"/>
        <v>0</v>
      </c>
      <c r="K221" s="16">
        <f t="shared" si="77"/>
        <v>0</v>
      </c>
      <c r="L221" s="16">
        <f t="shared" si="77"/>
        <v>0</v>
      </c>
      <c r="M221" s="16">
        <f t="shared" si="77"/>
        <v>0</v>
      </c>
      <c r="N221" s="16">
        <f t="shared" si="77"/>
        <v>0</v>
      </c>
      <c r="O221" s="16">
        <f t="shared" si="77"/>
        <v>0</v>
      </c>
      <c r="P221" s="16">
        <f t="shared" si="77"/>
        <v>0</v>
      </c>
      <c r="Q221" s="16">
        <f t="shared" si="77"/>
        <v>0</v>
      </c>
      <c r="R221" s="16">
        <f t="shared" si="77"/>
        <v>0</v>
      </c>
      <c r="S221" s="16">
        <f t="shared" si="77"/>
        <v>0</v>
      </c>
      <c r="T221" s="16">
        <f t="shared" si="77"/>
        <v>0</v>
      </c>
    </row>
    <row r="222" spans="2:20">
      <c r="B222" s="1">
        <v>11</v>
      </c>
      <c r="C222" s="1" t="s">
        <v>329</v>
      </c>
      <c r="D222" s="140" t="s">
        <v>28</v>
      </c>
      <c r="E222" s="16">
        <f>Standardwerte!G124</f>
        <v>0</v>
      </c>
      <c r="F222" s="16">
        <f t="shared" ref="F222:T222" si="78">E222</f>
        <v>0</v>
      </c>
      <c r="G222" s="16">
        <f t="shared" si="78"/>
        <v>0</v>
      </c>
      <c r="H222" s="16">
        <f t="shared" si="78"/>
        <v>0</v>
      </c>
      <c r="I222" s="16">
        <f t="shared" si="78"/>
        <v>0</v>
      </c>
      <c r="J222" s="16">
        <f t="shared" si="78"/>
        <v>0</v>
      </c>
      <c r="K222" s="16">
        <f t="shared" si="78"/>
        <v>0</v>
      </c>
      <c r="L222" s="16">
        <f t="shared" si="78"/>
        <v>0</v>
      </c>
      <c r="M222" s="16">
        <f t="shared" si="78"/>
        <v>0</v>
      </c>
      <c r="N222" s="16">
        <f t="shared" si="78"/>
        <v>0</v>
      </c>
      <c r="O222" s="16">
        <f t="shared" si="78"/>
        <v>0</v>
      </c>
      <c r="P222" s="16">
        <f t="shared" si="78"/>
        <v>0</v>
      </c>
      <c r="Q222" s="16">
        <f t="shared" si="78"/>
        <v>0</v>
      </c>
      <c r="R222" s="16">
        <f t="shared" si="78"/>
        <v>0</v>
      </c>
      <c r="S222" s="16">
        <f t="shared" si="78"/>
        <v>0</v>
      </c>
      <c r="T222" s="16">
        <f t="shared" si="78"/>
        <v>0</v>
      </c>
    </row>
    <row r="223" spans="2:20">
      <c r="B223" s="1">
        <v>12</v>
      </c>
      <c r="C223" s="1" t="s">
        <v>300</v>
      </c>
      <c r="D223" s="140" t="s">
        <v>28</v>
      </c>
      <c r="E223" s="16">
        <f>Standardwerte!G125</f>
        <v>0</v>
      </c>
      <c r="F223" s="16">
        <f t="shared" ref="F223:T223" si="79">E223</f>
        <v>0</v>
      </c>
      <c r="G223" s="16">
        <f t="shared" si="79"/>
        <v>0</v>
      </c>
      <c r="H223" s="16">
        <f t="shared" si="79"/>
        <v>0</v>
      </c>
      <c r="I223" s="16">
        <f t="shared" si="79"/>
        <v>0</v>
      </c>
      <c r="J223" s="16">
        <f t="shared" si="79"/>
        <v>0</v>
      </c>
      <c r="K223" s="16">
        <f t="shared" si="79"/>
        <v>0</v>
      </c>
      <c r="L223" s="16">
        <f t="shared" si="79"/>
        <v>0</v>
      </c>
      <c r="M223" s="16">
        <f t="shared" si="79"/>
        <v>0</v>
      </c>
      <c r="N223" s="16">
        <f t="shared" si="79"/>
        <v>0</v>
      </c>
      <c r="O223" s="16">
        <f t="shared" si="79"/>
        <v>0</v>
      </c>
      <c r="P223" s="16">
        <f t="shared" si="79"/>
        <v>0</v>
      </c>
      <c r="Q223" s="16">
        <f t="shared" si="79"/>
        <v>0</v>
      </c>
      <c r="R223" s="16">
        <f t="shared" si="79"/>
        <v>0</v>
      </c>
      <c r="S223" s="16">
        <f t="shared" si="79"/>
        <v>0</v>
      </c>
      <c r="T223" s="16">
        <f t="shared" si="79"/>
        <v>0</v>
      </c>
    </row>
    <row r="224" spans="2:20">
      <c r="B224" s="1">
        <v>13</v>
      </c>
      <c r="C224" s="1" t="s">
        <v>301</v>
      </c>
      <c r="D224" s="140" t="s">
        <v>28</v>
      </c>
      <c r="E224" s="16">
        <f>Standardwerte!G126</f>
        <v>0</v>
      </c>
      <c r="F224" s="16">
        <f t="shared" ref="F224:T224" si="80">E224</f>
        <v>0</v>
      </c>
      <c r="G224" s="16">
        <f t="shared" si="80"/>
        <v>0</v>
      </c>
      <c r="H224" s="16">
        <f t="shared" si="80"/>
        <v>0</v>
      </c>
      <c r="I224" s="16">
        <f t="shared" si="80"/>
        <v>0</v>
      </c>
      <c r="J224" s="16">
        <f t="shared" si="80"/>
        <v>0</v>
      </c>
      <c r="K224" s="16">
        <f t="shared" si="80"/>
        <v>0</v>
      </c>
      <c r="L224" s="16">
        <f t="shared" si="80"/>
        <v>0</v>
      </c>
      <c r="M224" s="16">
        <f t="shared" si="80"/>
        <v>0</v>
      </c>
      <c r="N224" s="16">
        <f t="shared" si="80"/>
        <v>0</v>
      </c>
      <c r="O224" s="16">
        <f t="shared" si="80"/>
        <v>0</v>
      </c>
      <c r="P224" s="16">
        <f t="shared" si="80"/>
        <v>0</v>
      </c>
      <c r="Q224" s="16">
        <f t="shared" si="80"/>
        <v>0</v>
      </c>
      <c r="R224" s="16">
        <f t="shared" si="80"/>
        <v>0</v>
      </c>
      <c r="S224" s="16">
        <f t="shared" si="80"/>
        <v>0</v>
      </c>
      <c r="T224" s="16">
        <f t="shared" si="80"/>
        <v>0</v>
      </c>
    </row>
    <row r="225" spans="2:20">
      <c r="B225" s="1">
        <v>8</v>
      </c>
      <c r="C225" s="64" t="s">
        <v>974</v>
      </c>
      <c r="D225" s="140" t="s">
        <v>28</v>
      </c>
      <c r="E225" s="16">
        <f t="shared" ref="E225:T225" ca="1" si="81">E215</f>
        <v>0</v>
      </c>
      <c r="F225" s="16">
        <f t="shared" ca="1" si="81"/>
        <v>0</v>
      </c>
      <c r="G225" s="16">
        <f t="shared" ca="1" si="81"/>
        <v>0</v>
      </c>
      <c r="H225" s="16">
        <f t="shared" ca="1" si="81"/>
        <v>0</v>
      </c>
      <c r="I225" s="16">
        <f t="shared" ca="1" si="81"/>
        <v>0</v>
      </c>
      <c r="J225" s="16">
        <f t="shared" ca="1" si="81"/>
        <v>0</v>
      </c>
      <c r="K225" s="16">
        <f t="shared" ca="1" si="81"/>
        <v>0</v>
      </c>
      <c r="L225" s="16">
        <f t="shared" ca="1" si="81"/>
        <v>0</v>
      </c>
      <c r="M225" s="16">
        <f t="shared" si="81"/>
        <v>0</v>
      </c>
      <c r="N225" s="16">
        <f t="shared" si="81"/>
        <v>0</v>
      </c>
      <c r="O225" s="16">
        <f t="shared" si="81"/>
        <v>0</v>
      </c>
      <c r="P225" s="16">
        <f t="shared" si="81"/>
        <v>0</v>
      </c>
      <c r="Q225" s="16">
        <f t="shared" si="81"/>
        <v>0</v>
      </c>
      <c r="R225" s="16">
        <f t="shared" si="81"/>
        <v>0</v>
      </c>
      <c r="S225" s="16">
        <f t="shared" si="81"/>
        <v>0</v>
      </c>
      <c r="T225" s="16">
        <f t="shared" si="81"/>
        <v>0</v>
      </c>
    </row>
    <row r="226" spans="2:20">
      <c r="B226" s="1">
        <v>14</v>
      </c>
      <c r="C226" s="64" t="s">
        <v>1810</v>
      </c>
      <c r="D226" s="140" t="s">
        <v>28</v>
      </c>
      <c r="E226" s="16">
        <f ca="1">E218</f>
        <v>0</v>
      </c>
      <c r="F226" s="16">
        <f t="shared" ref="F226:T226" ca="1" si="82">F218</f>
        <v>0</v>
      </c>
      <c r="G226" s="16">
        <f t="shared" ca="1" si="82"/>
        <v>0</v>
      </c>
      <c r="H226" s="16">
        <f t="shared" ca="1" si="82"/>
        <v>0</v>
      </c>
      <c r="I226" s="16">
        <f t="shared" ca="1" si="82"/>
        <v>0</v>
      </c>
      <c r="J226" s="16">
        <f t="shared" ca="1" si="82"/>
        <v>0</v>
      </c>
      <c r="K226" s="16">
        <f t="shared" ca="1" si="82"/>
        <v>0</v>
      </c>
      <c r="L226" s="16">
        <f t="shared" ca="1" si="82"/>
        <v>0</v>
      </c>
      <c r="M226" s="16">
        <f t="shared" ca="1" si="82"/>
        <v>0</v>
      </c>
      <c r="N226" s="16">
        <f t="shared" ca="1" si="82"/>
        <v>0</v>
      </c>
      <c r="O226" s="16">
        <f t="shared" ca="1" si="82"/>
        <v>0</v>
      </c>
      <c r="P226" s="16">
        <f t="shared" ca="1" si="82"/>
        <v>0</v>
      </c>
      <c r="Q226" s="16">
        <f t="shared" ca="1" si="82"/>
        <v>0</v>
      </c>
      <c r="R226" s="16">
        <f t="shared" ca="1" si="82"/>
        <v>0</v>
      </c>
      <c r="S226" s="16">
        <f t="shared" ca="1" si="82"/>
        <v>0</v>
      </c>
      <c r="T226" s="16">
        <f t="shared" ca="1" si="82"/>
        <v>0</v>
      </c>
    </row>
    <row r="228" spans="2:20" ht="15.75">
      <c r="B228" s="57" t="s">
        <v>1657</v>
      </c>
    </row>
    <row r="229" spans="2:20">
      <c r="B229" s="1">
        <v>0</v>
      </c>
      <c r="C229" s="1" t="s">
        <v>122</v>
      </c>
      <c r="D229" s="35" t="s">
        <v>195</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row>
    <row r="230" spans="2:20">
      <c r="B230" s="1">
        <v>1</v>
      </c>
      <c r="C230" s="1" t="s">
        <v>0</v>
      </c>
      <c r="D230" s="35" t="s">
        <v>195</v>
      </c>
      <c r="E230" s="16">
        <f ca="1">IF(E$112&lt;=Standardwerte!$C$85,Standardwerte!$H$85,IF(E$112&lt;=Standardwerte!$C$86,Standardwerte!$H$86,IF(E$112&lt;=Standardwerte!$C$87,Standardwerte!$H$87,IF(E$112&lt;=Standardwerte!$C$88,Standardwerte!$H$88,IF(E$112&lt;=Standardwerte!$C$89,Standardwerte!$H$89,IF(E$112&lt;=Standardwerte!$C$90,Standardwerte!$H$90,Standardwerte!$H$91))))))</f>
        <v>0</v>
      </c>
      <c r="F230" s="16">
        <f ca="1">IF(F$112&lt;=Standardwerte!$C$85,Standardwerte!$H$85,IF(F$112&lt;=Standardwerte!$C$86,Standardwerte!$H$86,IF(F$112&lt;=Standardwerte!$C$87,Standardwerte!$H$87,IF(F$112&lt;=Standardwerte!$C$88,Standardwerte!$H$88,IF(F$112&lt;=Standardwerte!$C$89,Standardwerte!$H$89,IF(F$112&lt;=Standardwerte!$C$90,Standardwerte!$H$90,Standardwerte!$H$91))))))</f>
        <v>0</v>
      </c>
      <c r="G230" s="16">
        <f ca="1">IF(G$112&lt;=Standardwerte!$C$85,Standardwerte!$H$85,IF(G$112&lt;=Standardwerte!$C$86,Standardwerte!$H$86,IF(G$112&lt;=Standardwerte!$C$87,Standardwerte!$H$87,IF(G$112&lt;=Standardwerte!$C$88,Standardwerte!$H$88,IF(G$112&lt;=Standardwerte!$C$89,Standardwerte!$H$89,IF(G$112&lt;=Standardwerte!$C$90,Standardwerte!$H$90,Standardwerte!$H$91))))))</f>
        <v>0</v>
      </c>
      <c r="H230" s="16">
        <f ca="1">IF(H$112&lt;=Standardwerte!$C$85,Standardwerte!$H$85,IF(H$112&lt;=Standardwerte!$C$86,Standardwerte!$H$86,IF(H$112&lt;=Standardwerte!$C$87,Standardwerte!$H$87,IF(H$112&lt;=Standardwerte!$C$88,Standardwerte!$H$88,IF(H$112&lt;=Standardwerte!$C$89,Standardwerte!$H$89,IF(H$112&lt;=Standardwerte!$C$90,Standardwerte!$H$90,Standardwerte!$H$91))))))</f>
        <v>0</v>
      </c>
      <c r="I230" s="16">
        <f ca="1">IF(I$112&lt;=Standardwerte!$C$85,Standardwerte!$H$85,IF(I$112&lt;=Standardwerte!$C$86,Standardwerte!$H$86,IF(I$112&lt;=Standardwerte!$C$87,Standardwerte!$H$87,IF(I$112&lt;=Standardwerte!$C$88,Standardwerte!$H$88,IF(I$112&lt;=Standardwerte!$C$89,Standardwerte!$H$89,IF(I$112&lt;=Standardwerte!$C$90,Standardwerte!$H$90,Standardwerte!$H$91))))))</f>
        <v>0</v>
      </c>
      <c r="J230" s="16">
        <f ca="1">IF(J$112&lt;=Standardwerte!$C$85,Standardwerte!$H$85,IF(J$112&lt;=Standardwerte!$C$86,Standardwerte!$H$86,IF(J$112&lt;=Standardwerte!$C$87,Standardwerte!$H$87,IF(J$112&lt;=Standardwerte!$C$88,Standardwerte!$H$88,IF(J$112&lt;=Standardwerte!$C$89,Standardwerte!$H$89,IF(J$112&lt;=Standardwerte!$C$90,Standardwerte!$H$90,Standardwerte!$H$91))))))</f>
        <v>0</v>
      </c>
      <c r="K230" s="16">
        <f ca="1">IF(K$112&lt;=Standardwerte!$C$85,Standardwerte!$H$85,IF(K$112&lt;=Standardwerte!$C$86,Standardwerte!$H$86,IF(K$112&lt;=Standardwerte!$C$87,Standardwerte!$H$87,IF(K$112&lt;=Standardwerte!$C$88,Standardwerte!$H$88,IF(K$112&lt;=Standardwerte!$C$89,Standardwerte!$H$89,IF(K$112&lt;=Standardwerte!$C$90,Standardwerte!$H$90,Standardwerte!$H$91))))))</f>
        <v>0</v>
      </c>
      <c r="L230" s="16">
        <f ca="1">IF(L$112&lt;=Standardwerte!$C$85,Standardwerte!$H$85,IF(L$112&lt;=Standardwerte!$C$86,Standardwerte!$H$86,IF(L$112&lt;=Standardwerte!$C$87,Standardwerte!$H$87,IF(L$112&lt;=Standardwerte!$C$88,Standardwerte!$H$88,IF(L$112&lt;=Standardwerte!$C$89,Standardwerte!$H$89,IF(L$112&lt;=Standardwerte!$C$90,Standardwerte!$H$90,Standardwerte!$H$91))))))</f>
        <v>0</v>
      </c>
      <c r="M230" s="16">
        <f>IF(M$112&lt;=Standardwerte!$C$85,Standardwerte!$H$85,IF(M$112&lt;=Standardwerte!$C$86,Standardwerte!$H$86,IF(M$112&lt;=Standardwerte!$C$87,Standardwerte!$H$87,IF(M$112&lt;=Standardwerte!$C$88,Standardwerte!$H$88,IF(M$112&lt;=Standardwerte!$C$89,Standardwerte!$H$89,IF(M$112&lt;=Standardwerte!$C$90,Standardwerte!$H$90,Standardwerte!$H$91))))))</f>
        <v>0</v>
      </c>
      <c r="N230" s="16">
        <f>IF(N$112&lt;=Standardwerte!$C$85,Standardwerte!$H$85,IF(N$112&lt;=Standardwerte!$C$86,Standardwerte!$H$86,IF(N$112&lt;=Standardwerte!$C$87,Standardwerte!$H$87,IF(N$112&lt;=Standardwerte!$C$88,Standardwerte!$H$88,IF(N$112&lt;=Standardwerte!$C$89,Standardwerte!$H$89,IF(N$112&lt;=Standardwerte!$C$90,Standardwerte!$H$90,Standardwerte!$H$91))))))</f>
        <v>0</v>
      </c>
      <c r="O230" s="16">
        <f>IF(O$112&lt;=Standardwerte!$C$85,Standardwerte!$H$85,IF(O$112&lt;=Standardwerte!$C$86,Standardwerte!$H$86,IF(O$112&lt;=Standardwerte!$C$87,Standardwerte!$H$87,IF(O$112&lt;=Standardwerte!$C$88,Standardwerte!$H$88,IF(O$112&lt;=Standardwerte!$C$89,Standardwerte!$H$89,IF(O$112&lt;=Standardwerte!$C$90,Standardwerte!$H$90,Standardwerte!$H$91))))))</f>
        <v>0</v>
      </c>
      <c r="P230" s="16">
        <f>IF(P$112&lt;=Standardwerte!$C$85,Standardwerte!$H$85,IF(P$112&lt;=Standardwerte!$C$86,Standardwerte!$H$86,IF(P$112&lt;=Standardwerte!$C$87,Standardwerte!$H$87,IF(P$112&lt;=Standardwerte!$C$88,Standardwerte!$H$88,IF(P$112&lt;=Standardwerte!$C$89,Standardwerte!$H$89,IF(P$112&lt;=Standardwerte!$C$90,Standardwerte!$H$90,Standardwerte!$H$91))))))</f>
        <v>0</v>
      </c>
      <c r="Q230" s="16">
        <f>IF(Q$112&lt;=Standardwerte!$C$85,Standardwerte!$H$85,IF(Q$112&lt;=Standardwerte!$C$86,Standardwerte!$H$86,IF(Q$112&lt;=Standardwerte!$C$87,Standardwerte!$H$87,IF(Q$112&lt;=Standardwerte!$C$88,Standardwerte!$H$88,IF(Q$112&lt;=Standardwerte!$C$89,Standardwerte!$H$89,IF(Q$112&lt;=Standardwerte!$C$90,Standardwerte!$H$90,Standardwerte!$H$91))))))</f>
        <v>0</v>
      </c>
      <c r="R230" s="16">
        <f>IF(R$112&lt;=Standardwerte!$C$85,Standardwerte!$H$85,IF(R$112&lt;=Standardwerte!$C$86,Standardwerte!$H$86,IF(R$112&lt;=Standardwerte!$C$87,Standardwerte!$H$87,IF(R$112&lt;=Standardwerte!$C$88,Standardwerte!$H$88,IF(R$112&lt;=Standardwerte!$C$89,Standardwerte!$H$89,IF(R$112&lt;=Standardwerte!$C$90,Standardwerte!$H$90,Standardwerte!$H$91))))))</f>
        <v>0</v>
      </c>
      <c r="S230" s="16">
        <f>IF(S$112&lt;=Standardwerte!$C$85,Standardwerte!$H$85,IF(S$112&lt;=Standardwerte!$C$86,Standardwerte!$H$86,IF(S$112&lt;=Standardwerte!$C$87,Standardwerte!$H$87,IF(S$112&lt;=Standardwerte!$C$88,Standardwerte!$H$88,IF(S$112&lt;=Standardwerte!$C$89,Standardwerte!$H$89,IF(S$112&lt;=Standardwerte!$C$90,Standardwerte!$H$90,Standardwerte!$H$91))))))</f>
        <v>0</v>
      </c>
      <c r="T230" s="16">
        <f>IF(T$112&lt;=Standardwerte!$C$85,Standardwerte!$H$85,IF(T$112&lt;=Standardwerte!$C$86,Standardwerte!$H$86,IF(T$112&lt;=Standardwerte!$C$87,Standardwerte!$H$87,IF(T$112&lt;=Standardwerte!$C$88,Standardwerte!$H$88,IF(T$112&lt;=Standardwerte!$C$89,Standardwerte!$H$89,IF(T$112&lt;=Standardwerte!$C$90,Standardwerte!$H$90,Standardwerte!$H$91))))))</f>
        <v>0</v>
      </c>
    </row>
    <row r="231" spans="2:20">
      <c r="B231" s="1">
        <v>2</v>
      </c>
      <c r="C231" s="1" t="s">
        <v>14</v>
      </c>
      <c r="D231" s="35" t="s">
        <v>195</v>
      </c>
      <c r="E231" s="16">
        <f ca="1">IF(E$112&lt;=Standardwerte!$C$94,Standardwerte!$H$94,IF(E$112&lt;=Standardwerte!$C$95,Standardwerte!$H$95,IF(E$112&lt;=Standardwerte!$C$96,Standardwerte!$H$96,Standardwerte!$H$97)))</f>
        <v>0</v>
      </c>
      <c r="F231" s="16">
        <f ca="1">IF(F$112&lt;=Standardwerte!$C$94,Standardwerte!$H$94,IF(F$112&lt;=Standardwerte!$C$95,Standardwerte!$H$95,IF(F$112&lt;=Standardwerte!$C$96,Standardwerte!$H$96,Standardwerte!$H$97)))</f>
        <v>0</v>
      </c>
      <c r="G231" s="16">
        <f ca="1">IF(G$112&lt;=Standardwerte!$C$94,Standardwerte!$H$94,IF(G$112&lt;=Standardwerte!$C$95,Standardwerte!$H$95,IF(G$112&lt;=Standardwerte!$C$96,Standardwerte!$H$96,Standardwerte!$H$97)))</f>
        <v>0</v>
      </c>
      <c r="H231" s="16">
        <f ca="1">IF(H$112&lt;=Standardwerte!$C$94,Standardwerte!$H$94,IF(H$112&lt;=Standardwerte!$C$95,Standardwerte!$H$95,IF(H$112&lt;=Standardwerte!$C$96,Standardwerte!$H$96,Standardwerte!$H$97)))</f>
        <v>0</v>
      </c>
      <c r="I231" s="16">
        <f ca="1">IF(I$112&lt;=Standardwerte!$C$94,Standardwerte!$H$94,IF(I$112&lt;=Standardwerte!$C$95,Standardwerte!$H$95,IF(I$112&lt;=Standardwerte!$C$96,Standardwerte!$H$96,Standardwerte!$H$97)))</f>
        <v>0</v>
      </c>
      <c r="J231" s="16">
        <f ca="1">IF(J$112&lt;=Standardwerte!$C$94,Standardwerte!$H$94,IF(J$112&lt;=Standardwerte!$C$95,Standardwerte!$H$95,IF(J$112&lt;=Standardwerte!$C$96,Standardwerte!$H$96,Standardwerte!$H$97)))</f>
        <v>0</v>
      </c>
      <c r="K231" s="16">
        <f ca="1">IF(K$112&lt;=Standardwerte!$C$94,Standardwerte!$H$94,IF(K$112&lt;=Standardwerte!$C$95,Standardwerte!$H$95,IF(K$112&lt;=Standardwerte!$C$96,Standardwerte!$H$96,Standardwerte!$H$97)))</f>
        <v>0</v>
      </c>
      <c r="L231" s="16">
        <f ca="1">IF(L$112&lt;=Standardwerte!$C$94,Standardwerte!$H$94,IF(L$112&lt;=Standardwerte!$C$95,Standardwerte!$H$95,IF(L$112&lt;=Standardwerte!$C$96,Standardwerte!$H$96,Standardwerte!$H$97)))</f>
        <v>0</v>
      </c>
      <c r="M231" s="16">
        <f>IF(M$112&lt;=Standardwerte!$C$94,Standardwerte!$H$94,IF(M$112&lt;=Standardwerte!$C$95,Standardwerte!$H$95,IF(M$112&lt;=Standardwerte!$C$96,Standardwerte!$H$96,Standardwerte!$H$97)))</f>
        <v>0</v>
      </c>
      <c r="N231" s="16">
        <f>IF(N$112&lt;=Standardwerte!$C$94,Standardwerte!$H$94,IF(N$112&lt;=Standardwerte!$C$95,Standardwerte!$H$95,IF(N$112&lt;=Standardwerte!$C$96,Standardwerte!$H$96,Standardwerte!$H$97)))</f>
        <v>0</v>
      </c>
      <c r="O231" s="16">
        <f>IF(O$112&lt;=Standardwerte!$C$94,Standardwerte!$H$94,IF(O$112&lt;=Standardwerte!$C$95,Standardwerte!$H$95,IF(O$112&lt;=Standardwerte!$C$96,Standardwerte!$H$96,Standardwerte!$H$97)))</f>
        <v>0</v>
      </c>
      <c r="P231" s="16">
        <f>IF(P$112&lt;=Standardwerte!$C$94,Standardwerte!$H$94,IF(P$112&lt;=Standardwerte!$C$95,Standardwerte!$H$95,IF(P$112&lt;=Standardwerte!$C$96,Standardwerte!$H$96,Standardwerte!$H$97)))</f>
        <v>0</v>
      </c>
      <c r="Q231" s="16">
        <f>IF(Q$112&lt;=Standardwerte!$C$94,Standardwerte!$H$94,IF(Q$112&lt;=Standardwerte!$C$95,Standardwerte!$H$95,IF(Q$112&lt;=Standardwerte!$C$96,Standardwerte!$H$96,Standardwerte!$H$97)))</f>
        <v>0</v>
      </c>
      <c r="R231" s="16">
        <f>IF(R$112&lt;=Standardwerte!$C$94,Standardwerte!$H$94,IF(R$112&lt;=Standardwerte!$C$95,Standardwerte!$H$95,IF(R$112&lt;=Standardwerte!$C$96,Standardwerte!$H$96,Standardwerte!$H$97)))</f>
        <v>0</v>
      </c>
      <c r="S231" s="16">
        <f>IF(S$112&lt;=Standardwerte!$C$94,Standardwerte!$H$94,IF(S$112&lt;=Standardwerte!$C$95,Standardwerte!$H$95,IF(S$112&lt;=Standardwerte!$C$96,Standardwerte!$H$96,Standardwerte!$H$97)))</f>
        <v>0</v>
      </c>
      <c r="T231" s="16">
        <f>IF(T$112&lt;=Standardwerte!$C$94,Standardwerte!$H$94,IF(T$112&lt;=Standardwerte!$C$95,Standardwerte!$H$95,IF(T$112&lt;=Standardwerte!$C$96,Standardwerte!$H$96,Standardwerte!$H$97)))</f>
        <v>0</v>
      </c>
    </row>
    <row r="232" spans="2:20">
      <c r="B232" s="1">
        <v>3</v>
      </c>
      <c r="C232" s="1" t="s">
        <v>1</v>
      </c>
      <c r="D232" s="35" t="s">
        <v>195</v>
      </c>
      <c r="E232" s="16">
        <f>Standardwerte!H100</f>
        <v>0</v>
      </c>
      <c r="F232" s="16">
        <f>E232</f>
        <v>0</v>
      </c>
      <c r="G232" s="16">
        <f t="shared" ref="G232:T232" si="83">F232</f>
        <v>0</v>
      </c>
      <c r="H232" s="16">
        <f t="shared" si="83"/>
        <v>0</v>
      </c>
      <c r="I232" s="16">
        <f t="shared" si="83"/>
        <v>0</v>
      </c>
      <c r="J232" s="16">
        <f t="shared" si="83"/>
        <v>0</v>
      </c>
      <c r="K232" s="16">
        <f t="shared" si="83"/>
        <v>0</v>
      </c>
      <c r="L232" s="16">
        <f t="shared" si="83"/>
        <v>0</v>
      </c>
      <c r="M232" s="16">
        <f t="shared" si="83"/>
        <v>0</v>
      </c>
      <c r="N232" s="16">
        <f t="shared" si="83"/>
        <v>0</v>
      </c>
      <c r="O232" s="16">
        <f t="shared" si="83"/>
        <v>0</v>
      </c>
      <c r="P232" s="16">
        <f t="shared" si="83"/>
        <v>0</v>
      </c>
      <c r="Q232" s="16">
        <f t="shared" si="83"/>
        <v>0</v>
      </c>
      <c r="R232" s="16">
        <f t="shared" si="83"/>
        <v>0</v>
      </c>
      <c r="S232" s="16">
        <f t="shared" si="83"/>
        <v>0</v>
      </c>
      <c r="T232" s="16">
        <f t="shared" si="83"/>
        <v>0</v>
      </c>
    </row>
    <row r="233" spans="2:20">
      <c r="B233" s="1">
        <v>4</v>
      </c>
      <c r="C233" s="1" t="s">
        <v>15</v>
      </c>
      <c r="D233" s="35" t="s">
        <v>195</v>
      </c>
      <c r="E233" s="16">
        <f>Standardwerte!H103</f>
        <v>0</v>
      </c>
      <c r="F233" s="16">
        <f>E233</f>
        <v>0</v>
      </c>
      <c r="G233" s="16">
        <f t="shared" ref="G233:T233" si="84">F233</f>
        <v>0</v>
      </c>
      <c r="H233" s="16">
        <f t="shared" si="84"/>
        <v>0</v>
      </c>
      <c r="I233" s="16">
        <f t="shared" si="84"/>
        <v>0</v>
      </c>
      <c r="J233" s="16">
        <f t="shared" si="84"/>
        <v>0</v>
      </c>
      <c r="K233" s="16">
        <f t="shared" si="84"/>
        <v>0</v>
      </c>
      <c r="L233" s="16">
        <f t="shared" si="84"/>
        <v>0</v>
      </c>
      <c r="M233" s="16">
        <f t="shared" si="84"/>
        <v>0</v>
      </c>
      <c r="N233" s="16">
        <f t="shared" si="84"/>
        <v>0</v>
      </c>
      <c r="O233" s="16">
        <f t="shared" si="84"/>
        <v>0</v>
      </c>
      <c r="P233" s="16">
        <f t="shared" si="84"/>
        <v>0</v>
      </c>
      <c r="Q233" s="16">
        <f t="shared" si="84"/>
        <v>0</v>
      </c>
      <c r="R233" s="16">
        <f t="shared" si="84"/>
        <v>0</v>
      </c>
      <c r="S233" s="16">
        <f t="shared" si="84"/>
        <v>0</v>
      </c>
      <c r="T233" s="16">
        <f t="shared" si="84"/>
        <v>0</v>
      </c>
    </row>
    <row r="234" spans="2:20">
      <c r="B234" s="1">
        <v>5</v>
      </c>
      <c r="C234" s="1" t="s">
        <v>141</v>
      </c>
      <c r="D234" s="35" t="s">
        <v>195</v>
      </c>
      <c r="E234" s="16">
        <f ca="1">IFERROR(INDEX(Standardwerte!$H$106:$H$120,MATCH(Standardwerte!$G$74,Standardwerte!$B$106:$B$120,0)),0)</f>
        <v>0</v>
      </c>
      <c r="F234" s="16">
        <f ca="1">E234</f>
        <v>0</v>
      </c>
      <c r="G234" s="16">
        <f t="shared" ref="G234:T234" ca="1" si="85">F234</f>
        <v>0</v>
      </c>
      <c r="H234" s="16">
        <f t="shared" ca="1" si="85"/>
        <v>0</v>
      </c>
      <c r="I234" s="16">
        <f t="shared" ca="1" si="85"/>
        <v>0</v>
      </c>
      <c r="J234" s="16">
        <f t="shared" ca="1" si="85"/>
        <v>0</v>
      </c>
      <c r="K234" s="16">
        <f t="shared" ca="1" si="85"/>
        <v>0</v>
      </c>
      <c r="L234" s="16">
        <f t="shared" ca="1" si="85"/>
        <v>0</v>
      </c>
      <c r="M234" s="16">
        <f t="shared" ca="1" si="85"/>
        <v>0</v>
      </c>
      <c r="N234" s="16">
        <f t="shared" ca="1" si="85"/>
        <v>0</v>
      </c>
      <c r="O234" s="16">
        <f t="shared" ca="1" si="85"/>
        <v>0</v>
      </c>
      <c r="P234" s="16">
        <f t="shared" ca="1" si="85"/>
        <v>0</v>
      </c>
      <c r="Q234" s="16">
        <f t="shared" ca="1" si="85"/>
        <v>0</v>
      </c>
      <c r="R234" s="16">
        <f t="shared" ca="1" si="85"/>
        <v>0</v>
      </c>
      <c r="S234" s="16">
        <f t="shared" ca="1" si="85"/>
        <v>0</v>
      </c>
      <c r="T234" s="16">
        <f t="shared" ca="1" si="85"/>
        <v>0</v>
      </c>
    </row>
    <row r="235" spans="2:20">
      <c r="B235" s="1">
        <v>6</v>
      </c>
      <c r="C235" s="1" t="s">
        <v>142</v>
      </c>
      <c r="D235" s="35" t="s">
        <v>195</v>
      </c>
      <c r="E235" s="16">
        <f ca="1">E234</f>
        <v>0</v>
      </c>
      <c r="F235" s="16">
        <f t="shared" ref="F235:T236" ca="1" si="86">E235</f>
        <v>0</v>
      </c>
      <c r="G235" s="16">
        <f t="shared" ca="1" si="86"/>
        <v>0</v>
      </c>
      <c r="H235" s="16">
        <f t="shared" ca="1" si="86"/>
        <v>0</v>
      </c>
      <c r="I235" s="16">
        <f t="shared" ca="1" si="86"/>
        <v>0</v>
      </c>
      <c r="J235" s="16">
        <f t="shared" ca="1" si="86"/>
        <v>0</v>
      </c>
      <c r="K235" s="16">
        <f t="shared" ca="1" si="86"/>
        <v>0</v>
      </c>
      <c r="L235" s="16">
        <f t="shared" ca="1" si="86"/>
        <v>0</v>
      </c>
      <c r="M235" s="16">
        <f t="shared" ca="1" si="86"/>
        <v>0</v>
      </c>
      <c r="N235" s="16">
        <f t="shared" ca="1" si="86"/>
        <v>0</v>
      </c>
      <c r="O235" s="16">
        <f t="shared" ca="1" si="86"/>
        <v>0</v>
      </c>
      <c r="P235" s="16">
        <f t="shared" ca="1" si="86"/>
        <v>0</v>
      </c>
      <c r="Q235" s="16">
        <f t="shared" ca="1" si="86"/>
        <v>0</v>
      </c>
      <c r="R235" s="16">
        <f t="shared" ca="1" si="86"/>
        <v>0</v>
      </c>
      <c r="S235" s="16">
        <f t="shared" ca="1" si="86"/>
        <v>0</v>
      </c>
      <c r="T235" s="16">
        <f t="shared" ca="1" si="86"/>
        <v>0</v>
      </c>
    </row>
    <row r="236" spans="2:20">
      <c r="B236" s="1">
        <v>7</v>
      </c>
      <c r="C236" s="1" t="s">
        <v>143</v>
      </c>
      <c r="D236" s="35" t="s">
        <v>195</v>
      </c>
      <c r="E236" s="16">
        <f ca="1">E235</f>
        <v>0</v>
      </c>
      <c r="F236" s="16">
        <f t="shared" ca="1" si="86"/>
        <v>0</v>
      </c>
      <c r="G236" s="16">
        <f t="shared" ca="1" si="86"/>
        <v>0</v>
      </c>
      <c r="H236" s="16">
        <f t="shared" ca="1" si="86"/>
        <v>0</v>
      </c>
      <c r="I236" s="16">
        <f t="shared" ca="1" si="86"/>
        <v>0</v>
      </c>
      <c r="J236" s="16">
        <f t="shared" ca="1" si="86"/>
        <v>0</v>
      </c>
      <c r="K236" s="16">
        <f t="shared" ca="1" si="86"/>
        <v>0</v>
      </c>
      <c r="L236" s="16">
        <f t="shared" ca="1" si="86"/>
        <v>0</v>
      </c>
      <c r="M236" s="16">
        <f t="shared" ca="1" si="86"/>
        <v>0</v>
      </c>
      <c r="N236" s="16">
        <f t="shared" ca="1" si="86"/>
        <v>0</v>
      </c>
      <c r="O236" s="16">
        <f t="shared" ca="1" si="86"/>
        <v>0</v>
      </c>
      <c r="P236" s="16">
        <f t="shared" ca="1" si="86"/>
        <v>0</v>
      </c>
      <c r="Q236" s="16">
        <f t="shared" ca="1" si="86"/>
        <v>0</v>
      </c>
      <c r="R236" s="16">
        <f t="shared" ca="1" si="86"/>
        <v>0</v>
      </c>
      <c r="S236" s="16">
        <f t="shared" ca="1" si="86"/>
        <v>0</v>
      </c>
      <c r="T236" s="16">
        <f t="shared" ca="1" si="86"/>
        <v>0</v>
      </c>
    </row>
    <row r="237" spans="2:20">
      <c r="B237" s="1">
        <v>10</v>
      </c>
      <c r="C237" s="1" t="s">
        <v>298</v>
      </c>
      <c r="D237" s="35" t="s">
        <v>195</v>
      </c>
      <c r="E237" s="16">
        <f>Standardwerte!H123</f>
        <v>0</v>
      </c>
      <c r="F237" s="16">
        <f>E237</f>
        <v>0</v>
      </c>
      <c r="G237" s="16">
        <f t="shared" ref="G237:T237" si="87">F237</f>
        <v>0</v>
      </c>
      <c r="H237" s="16">
        <f t="shared" si="87"/>
        <v>0</v>
      </c>
      <c r="I237" s="16">
        <f t="shared" si="87"/>
        <v>0</v>
      </c>
      <c r="J237" s="16">
        <f t="shared" si="87"/>
        <v>0</v>
      </c>
      <c r="K237" s="16">
        <f t="shared" si="87"/>
        <v>0</v>
      </c>
      <c r="L237" s="16">
        <f t="shared" si="87"/>
        <v>0</v>
      </c>
      <c r="M237" s="16">
        <f t="shared" si="87"/>
        <v>0</v>
      </c>
      <c r="N237" s="16">
        <f t="shared" si="87"/>
        <v>0</v>
      </c>
      <c r="O237" s="16">
        <f t="shared" si="87"/>
        <v>0</v>
      </c>
      <c r="P237" s="16">
        <f t="shared" si="87"/>
        <v>0</v>
      </c>
      <c r="Q237" s="16">
        <f t="shared" si="87"/>
        <v>0</v>
      </c>
      <c r="R237" s="16">
        <f t="shared" si="87"/>
        <v>0</v>
      </c>
      <c r="S237" s="16">
        <f t="shared" si="87"/>
        <v>0</v>
      </c>
      <c r="T237" s="16">
        <f t="shared" si="87"/>
        <v>0</v>
      </c>
    </row>
    <row r="238" spans="2:20">
      <c r="B238" s="1">
        <v>11</v>
      </c>
      <c r="C238" s="1" t="s">
        <v>329</v>
      </c>
      <c r="D238" s="35" t="s">
        <v>195</v>
      </c>
      <c r="E238" s="16">
        <f>Standardwerte!H124</f>
        <v>0</v>
      </c>
      <c r="F238" s="16">
        <f t="shared" ref="F238:T238" si="88">E238</f>
        <v>0</v>
      </c>
      <c r="G238" s="16">
        <f t="shared" si="88"/>
        <v>0</v>
      </c>
      <c r="H238" s="16">
        <f t="shared" si="88"/>
        <v>0</v>
      </c>
      <c r="I238" s="16">
        <f t="shared" si="88"/>
        <v>0</v>
      </c>
      <c r="J238" s="16">
        <f t="shared" si="88"/>
        <v>0</v>
      </c>
      <c r="K238" s="16">
        <f t="shared" si="88"/>
        <v>0</v>
      </c>
      <c r="L238" s="16">
        <f t="shared" si="88"/>
        <v>0</v>
      </c>
      <c r="M238" s="16">
        <f t="shared" si="88"/>
        <v>0</v>
      </c>
      <c r="N238" s="16">
        <f t="shared" si="88"/>
        <v>0</v>
      </c>
      <c r="O238" s="16">
        <f t="shared" si="88"/>
        <v>0</v>
      </c>
      <c r="P238" s="16">
        <f t="shared" si="88"/>
        <v>0</v>
      </c>
      <c r="Q238" s="16">
        <f t="shared" si="88"/>
        <v>0</v>
      </c>
      <c r="R238" s="16">
        <f t="shared" si="88"/>
        <v>0</v>
      </c>
      <c r="S238" s="16">
        <f t="shared" si="88"/>
        <v>0</v>
      </c>
      <c r="T238" s="16">
        <f t="shared" si="88"/>
        <v>0</v>
      </c>
    </row>
    <row r="239" spans="2:20">
      <c r="B239" s="1">
        <v>12</v>
      </c>
      <c r="C239" s="1" t="s">
        <v>300</v>
      </c>
      <c r="D239" s="35" t="s">
        <v>195</v>
      </c>
      <c r="E239" s="16">
        <f>Standardwerte!H125</f>
        <v>0</v>
      </c>
      <c r="F239" s="16">
        <f t="shared" ref="F239:T239" si="89">E239</f>
        <v>0</v>
      </c>
      <c r="G239" s="16">
        <f t="shared" si="89"/>
        <v>0</v>
      </c>
      <c r="H239" s="16">
        <f t="shared" si="89"/>
        <v>0</v>
      </c>
      <c r="I239" s="16">
        <f t="shared" si="89"/>
        <v>0</v>
      </c>
      <c r="J239" s="16">
        <f t="shared" si="89"/>
        <v>0</v>
      </c>
      <c r="K239" s="16">
        <f t="shared" si="89"/>
        <v>0</v>
      </c>
      <c r="L239" s="16">
        <f t="shared" si="89"/>
        <v>0</v>
      </c>
      <c r="M239" s="16">
        <f t="shared" si="89"/>
        <v>0</v>
      </c>
      <c r="N239" s="16">
        <f t="shared" si="89"/>
        <v>0</v>
      </c>
      <c r="O239" s="16">
        <f t="shared" si="89"/>
        <v>0</v>
      </c>
      <c r="P239" s="16">
        <f t="shared" si="89"/>
        <v>0</v>
      </c>
      <c r="Q239" s="16">
        <f t="shared" si="89"/>
        <v>0</v>
      </c>
      <c r="R239" s="16">
        <f t="shared" si="89"/>
        <v>0</v>
      </c>
      <c r="S239" s="16">
        <f t="shared" si="89"/>
        <v>0</v>
      </c>
      <c r="T239" s="16">
        <f t="shared" si="89"/>
        <v>0</v>
      </c>
    </row>
    <row r="240" spans="2:20">
      <c r="B240" s="1">
        <v>13</v>
      </c>
      <c r="C240" s="1" t="s">
        <v>301</v>
      </c>
      <c r="D240" s="35" t="s">
        <v>195</v>
      </c>
      <c r="E240" s="16">
        <f>Standardwerte!H126</f>
        <v>0</v>
      </c>
      <c r="F240" s="16">
        <f t="shared" ref="F240:T240" si="90">E240</f>
        <v>0</v>
      </c>
      <c r="G240" s="16">
        <f t="shared" si="90"/>
        <v>0</v>
      </c>
      <c r="H240" s="16">
        <f t="shared" si="90"/>
        <v>0</v>
      </c>
      <c r="I240" s="16">
        <f t="shared" si="90"/>
        <v>0</v>
      </c>
      <c r="J240" s="16">
        <f t="shared" si="90"/>
        <v>0</v>
      </c>
      <c r="K240" s="16">
        <f t="shared" si="90"/>
        <v>0</v>
      </c>
      <c r="L240" s="16">
        <f t="shared" si="90"/>
        <v>0</v>
      </c>
      <c r="M240" s="16">
        <f t="shared" si="90"/>
        <v>0</v>
      </c>
      <c r="N240" s="16">
        <f t="shared" si="90"/>
        <v>0</v>
      </c>
      <c r="O240" s="16">
        <f t="shared" si="90"/>
        <v>0</v>
      </c>
      <c r="P240" s="16">
        <f t="shared" si="90"/>
        <v>0</v>
      </c>
      <c r="Q240" s="16">
        <f t="shared" si="90"/>
        <v>0</v>
      </c>
      <c r="R240" s="16">
        <f t="shared" si="90"/>
        <v>0</v>
      </c>
      <c r="S240" s="16">
        <f t="shared" si="90"/>
        <v>0</v>
      </c>
      <c r="T240" s="16">
        <f t="shared" si="90"/>
        <v>0</v>
      </c>
    </row>
    <row r="241" spans="2:20">
      <c r="B241" s="1">
        <v>8</v>
      </c>
      <c r="C241" s="64" t="s">
        <v>974</v>
      </c>
      <c r="D241" s="35" t="s">
        <v>195</v>
      </c>
      <c r="E241" s="16">
        <f t="shared" ref="E241:T241" ca="1" si="91">E231</f>
        <v>0</v>
      </c>
      <c r="F241" s="16">
        <f t="shared" ca="1" si="91"/>
        <v>0</v>
      </c>
      <c r="G241" s="16">
        <f t="shared" ca="1" si="91"/>
        <v>0</v>
      </c>
      <c r="H241" s="16">
        <f t="shared" ca="1" si="91"/>
        <v>0</v>
      </c>
      <c r="I241" s="16">
        <f t="shared" ca="1" si="91"/>
        <v>0</v>
      </c>
      <c r="J241" s="16">
        <f t="shared" ca="1" si="91"/>
        <v>0</v>
      </c>
      <c r="K241" s="16">
        <f t="shared" ca="1" si="91"/>
        <v>0</v>
      </c>
      <c r="L241" s="16">
        <f t="shared" ca="1" si="91"/>
        <v>0</v>
      </c>
      <c r="M241" s="16">
        <f t="shared" si="91"/>
        <v>0</v>
      </c>
      <c r="N241" s="16">
        <f t="shared" si="91"/>
        <v>0</v>
      </c>
      <c r="O241" s="16">
        <f t="shared" si="91"/>
        <v>0</v>
      </c>
      <c r="P241" s="16">
        <f t="shared" si="91"/>
        <v>0</v>
      </c>
      <c r="Q241" s="16">
        <f t="shared" si="91"/>
        <v>0</v>
      </c>
      <c r="R241" s="16">
        <f t="shared" si="91"/>
        <v>0</v>
      </c>
      <c r="S241" s="16">
        <f t="shared" si="91"/>
        <v>0</v>
      </c>
      <c r="T241" s="16">
        <f t="shared" si="91"/>
        <v>0</v>
      </c>
    </row>
    <row r="242" spans="2:20">
      <c r="B242" s="1">
        <v>14</v>
      </c>
      <c r="C242" s="64" t="s">
        <v>1810</v>
      </c>
      <c r="D242" s="35" t="s">
        <v>195</v>
      </c>
      <c r="E242" s="16">
        <f ca="1">E234</f>
        <v>0</v>
      </c>
      <c r="F242" s="16">
        <f t="shared" ref="F242:T242" ca="1" si="92">F234</f>
        <v>0</v>
      </c>
      <c r="G242" s="16">
        <f t="shared" ca="1" si="92"/>
        <v>0</v>
      </c>
      <c r="H242" s="16">
        <f t="shared" ca="1" si="92"/>
        <v>0</v>
      </c>
      <c r="I242" s="16">
        <f t="shared" ca="1" si="92"/>
        <v>0</v>
      </c>
      <c r="J242" s="16">
        <f t="shared" ca="1" si="92"/>
        <v>0</v>
      </c>
      <c r="K242" s="16">
        <f t="shared" ca="1" si="92"/>
        <v>0</v>
      </c>
      <c r="L242" s="16">
        <f t="shared" ca="1" si="92"/>
        <v>0</v>
      </c>
      <c r="M242" s="16">
        <f t="shared" ca="1" si="92"/>
        <v>0</v>
      </c>
      <c r="N242" s="16">
        <f t="shared" ca="1" si="92"/>
        <v>0</v>
      </c>
      <c r="O242" s="16">
        <f t="shared" ca="1" si="92"/>
        <v>0</v>
      </c>
      <c r="P242" s="16">
        <f t="shared" ca="1" si="92"/>
        <v>0</v>
      </c>
      <c r="Q242" s="16">
        <f t="shared" ca="1" si="92"/>
        <v>0</v>
      </c>
      <c r="R242" s="16">
        <f t="shared" ca="1" si="92"/>
        <v>0</v>
      </c>
      <c r="S242" s="16">
        <f t="shared" ca="1" si="92"/>
        <v>0</v>
      </c>
      <c r="T242" s="16">
        <f t="shared" ca="1" si="92"/>
        <v>0</v>
      </c>
    </row>
    <row r="244" spans="2:20" ht="15.75">
      <c r="B244" s="57" t="s">
        <v>1653</v>
      </c>
    </row>
    <row r="245" spans="2:20">
      <c r="B245" s="1">
        <v>0</v>
      </c>
      <c r="C245" s="1" t="s">
        <v>122</v>
      </c>
      <c r="D245" s="140" t="s">
        <v>28</v>
      </c>
      <c r="E245" s="16">
        <v>0</v>
      </c>
      <c r="F245" s="16">
        <v>0</v>
      </c>
      <c r="G245" s="16">
        <v>0</v>
      </c>
      <c r="H245" s="16">
        <v>0</v>
      </c>
      <c r="I245" s="16">
        <v>0</v>
      </c>
      <c r="J245" s="16">
        <v>0</v>
      </c>
      <c r="K245" s="16">
        <v>0</v>
      </c>
      <c r="L245" s="16">
        <v>0</v>
      </c>
      <c r="M245" s="16">
        <v>0</v>
      </c>
      <c r="N245" s="16">
        <v>0</v>
      </c>
      <c r="O245" s="16">
        <v>0</v>
      </c>
      <c r="P245" s="16">
        <v>0</v>
      </c>
      <c r="Q245" s="16">
        <v>0</v>
      </c>
      <c r="R245" s="16">
        <v>0</v>
      </c>
      <c r="S245" s="16">
        <v>0</v>
      </c>
      <c r="T245" s="16">
        <v>0</v>
      </c>
    </row>
    <row r="246" spans="2:20">
      <c r="B246" s="1">
        <v>1</v>
      </c>
      <c r="C246" s="1" t="s">
        <v>0</v>
      </c>
      <c r="D246" s="140" t="s">
        <v>28</v>
      </c>
      <c r="E246" s="16">
        <f ca="1">IF(E$112&lt;=Standardwerte!$C$85,Standardwerte!$I$85,IF(E$112&lt;=Standardwerte!$C$86,Standardwerte!$I$86,IF(E$112&lt;=Standardwerte!$C$87,Standardwerte!$I$87,IF(E$112&lt;=Standardwerte!$C$88,Standardwerte!$I$88,IF(E$112&lt;=Standardwerte!$C$89,Standardwerte!$I$89,IF(E$112&lt;=Standardwerte!$C$90,Standardwerte!$I$90,Standardwerte!$I$91))))))</f>
        <v>0</v>
      </c>
      <c r="F246" s="16">
        <f ca="1">IF(F$112&lt;=Standardwerte!$C$85,Standardwerte!$I$85,IF(F$112&lt;=Standardwerte!$C$86,Standardwerte!$I$86,IF(F$112&lt;=Standardwerte!$C$87,Standardwerte!$I$87,IF(F$112&lt;=Standardwerte!$C$88,Standardwerte!$I$88,IF(F$112&lt;=Standardwerte!$C$89,Standardwerte!$I$89,IF(F$112&lt;=Standardwerte!$C$90,Standardwerte!$I$90,Standardwerte!$I$91))))))</f>
        <v>0</v>
      </c>
      <c r="G246" s="16">
        <f ca="1">IF(G$112&lt;=Standardwerte!$C$85,Standardwerte!$I$85,IF(G$112&lt;=Standardwerte!$C$86,Standardwerte!$I$86,IF(G$112&lt;=Standardwerte!$C$87,Standardwerte!$I$87,IF(G$112&lt;=Standardwerte!$C$88,Standardwerte!$I$88,IF(G$112&lt;=Standardwerte!$C$89,Standardwerte!$I$89,IF(G$112&lt;=Standardwerte!$C$90,Standardwerte!$I$90,Standardwerte!$I$91))))))</f>
        <v>0</v>
      </c>
      <c r="H246" s="16">
        <f ca="1">IF(H$112&lt;=Standardwerte!$C$85,Standardwerte!$I$85,IF(H$112&lt;=Standardwerte!$C$86,Standardwerte!$I$86,IF(H$112&lt;=Standardwerte!$C$87,Standardwerte!$I$87,IF(H$112&lt;=Standardwerte!$C$88,Standardwerte!$I$88,IF(H$112&lt;=Standardwerte!$C$89,Standardwerte!$I$89,IF(H$112&lt;=Standardwerte!$C$90,Standardwerte!$I$90,Standardwerte!$I$91))))))</f>
        <v>0</v>
      </c>
      <c r="I246" s="16">
        <f ca="1">IF(I$112&lt;=Standardwerte!$C$85,Standardwerte!$I$85,IF(I$112&lt;=Standardwerte!$C$86,Standardwerte!$I$86,IF(I$112&lt;=Standardwerte!$C$87,Standardwerte!$I$87,IF(I$112&lt;=Standardwerte!$C$88,Standardwerte!$I$88,IF(I$112&lt;=Standardwerte!$C$89,Standardwerte!$I$89,IF(I$112&lt;=Standardwerte!$C$90,Standardwerte!$I$90,Standardwerte!$I$91))))))</f>
        <v>0</v>
      </c>
      <c r="J246" s="16">
        <f ca="1">IF(J$112&lt;=Standardwerte!$C$85,Standardwerte!$I$85,IF(J$112&lt;=Standardwerte!$C$86,Standardwerte!$I$86,IF(J$112&lt;=Standardwerte!$C$87,Standardwerte!$I$87,IF(J$112&lt;=Standardwerte!$C$88,Standardwerte!$I$88,IF(J$112&lt;=Standardwerte!$C$89,Standardwerte!$I$89,IF(J$112&lt;=Standardwerte!$C$90,Standardwerte!$I$90,Standardwerte!$I$91))))))</f>
        <v>0</v>
      </c>
      <c r="K246" s="16">
        <f ca="1">IF(K$112&lt;=Standardwerte!$C$85,Standardwerte!$I$85,IF(K$112&lt;=Standardwerte!$C$86,Standardwerte!$I$86,IF(K$112&lt;=Standardwerte!$C$87,Standardwerte!$I$87,IF(K$112&lt;=Standardwerte!$C$88,Standardwerte!$I$88,IF(K$112&lt;=Standardwerte!$C$89,Standardwerte!$I$89,IF(K$112&lt;=Standardwerte!$C$90,Standardwerte!$I$90,Standardwerte!$I$91))))))</f>
        <v>0</v>
      </c>
      <c r="L246" s="16">
        <f ca="1">IF(L$112&lt;=Standardwerte!$C$85,Standardwerte!$I$85,IF(L$112&lt;=Standardwerte!$C$86,Standardwerte!$I$86,IF(L$112&lt;=Standardwerte!$C$87,Standardwerte!$I$87,IF(L$112&lt;=Standardwerte!$C$88,Standardwerte!$I$88,IF(L$112&lt;=Standardwerte!$C$89,Standardwerte!$I$89,IF(L$112&lt;=Standardwerte!$C$90,Standardwerte!$I$90,Standardwerte!$I$91))))))</f>
        <v>0</v>
      </c>
      <c r="M246" s="16">
        <f>IF(M$112&lt;=Standardwerte!$C$85,Standardwerte!$I$85,IF(M$112&lt;=Standardwerte!$C$86,Standardwerte!$I$86,IF(M$112&lt;=Standardwerte!$C$87,Standardwerte!$I$87,IF(M$112&lt;=Standardwerte!$C$88,Standardwerte!$I$88,IF(M$112&lt;=Standardwerte!$C$89,Standardwerte!$I$89,IF(M$112&lt;=Standardwerte!$C$90,Standardwerte!$I$90,Standardwerte!$I$91))))))</f>
        <v>0</v>
      </c>
      <c r="N246" s="16">
        <f>IF(N$112&lt;=Standardwerte!$C$85,Standardwerte!$I$85,IF(N$112&lt;=Standardwerte!$C$86,Standardwerte!$I$86,IF(N$112&lt;=Standardwerte!$C$87,Standardwerte!$I$87,IF(N$112&lt;=Standardwerte!$C$88,Standardwerte!$I$88,IF(N$112&lt;=Standardwerte!$C$89,Standardwerte!$I$89,IF(N$112&lt;=Standardwerte!$C$90,Standardwerte!$I$90,Standardwerte!$I$91))))))</f>
        <v>0</v>
      </c>
      <c r="O246" s="16">
        <f>IF(O$112&lt;=Standardwerte!$C$85,Standardwerte!$I$85,IF(O$112&lt;=Standardwerte!$C$86,Standardwerte!$I$86,IF(O$112&lt;=Standardwerte!$C$87,Standardwerte!$I$87,IF(O$112&lt;=Standardwerte!$C$88,Standardwerte!$I$88,IF(O$112&lt;=Standardwerte!$C$89,Standardwerte!$I$89,IF(O$112&lt;=Standardwerte!$C$90,Standardwerte!$I$90,Standardwerte!$I$91))))))</f>
        <v>0</v>
      </c>
      <c r="P246" s="16">
        <f>IF(P$112&lt;=Standardwerte!$C$85,Standardwerte!$I$85,IF(P$112&lt;=Standardwerte!$C$86,Standardwerte!$I$86,IF(P$112&lt;=Standardwerte!$C$87,Standardwerte!$I$87,IF(P$112&lt;=Standardwerte!$C$88,Standardwerte!$I$88,IF(P$112&lt;=Standardwerte!$C$89,Standardwerte!$I$89,IF(P$112&lt;=Standardwerte!$C$90,Standardwerte!$I$90,Standardwerte!$I$91))))))</f>
        <v>0</v>
      </c>
      <c r="Q246" s="16">
        <f>IF(Q$112&lt;=Standardwerte!$C$85,Standardwerte!$I$85,IF(Q$112&lt;=Standardwerte!$C$86,Standardwerte!$I$86,IF(Q$112&lt;=Standardwerte!$C$87,Standardwerte!$I$87,IF(Q$112&lt;=Standardwerte!$C$88,Standardwerte!$I$88,IF(Q$112&lt;=Standardwerte!$C$89,Standardwerte!$I$89,IF(Q$112&lt;=Standardwerte!$C$90,Standardwerte!$I$90,Standardwerte!$I$91))))))</f>
        <v>0</v>
      </c>
      <c r="R246" s="16">
        <f>IF(R$112&lt;=Standardwerte!$C$85,Standardwerte!$I$85,IF(R$112&lt;=Standardwerte!$C$86,Standardwerte!$I$86,IF(R$112&lt;=Standardwerte!$C$87,Standardwerte!$I$87,IF(R$112&lt;=Standardwerte!$C$88,Standardwerte!$I$88,IF(R$112&lt;=Standardwerte!$C$89,Standardwerte!$I$89,IF(R$112&lt;=Standardwerte!$C$90,Standardwerte!$I$90,Standardwerte!$I$91))))))</f>
        <v>0</v>
      </c>
      <c r="S246" s="16">
        <f>IF(S$112&lt;=Standardwerte!$C$85,Standardwerte!$I$85,IF(S$112&lt;=Standardwerte!$C$86,Standardwerte!$I$86,IF(S$112&lt;=Standardwerte!$C$87,Standardwerte!$I$87,IF(S$112&lt;=Standardwerte!$C$88,Standardwerte!$I$88,IF(S$112&lt;=Standardwerte!$C$89,Standardwerte!$I$89,IF(S$112&lt;=Standardwerte!$C$90,Standardwerte!$I$90,Standardwerte!$I$91))))))</f>
        <v>0</v>
      </c>
      <c r="T246" s="16">
        <f>IF(T$112&lt;=Standardwerte!$C$85,Standardwerte!$I$85,IF(T$112&lt;=Standardwerte!$C$86,Standardwerte!$I$86,IF(T$112&lt;=Standardwerte!$C$87,Standardwerte!$I$87,IF(T$112&lt;=Standardwerte!$C$88,Standardwerte!$I$88,IF(T$112&lt;=Standardwerte!$C$89,Standardwerte!$I$89,IF(T$112&lt;=Standardwerte!$C$90,Standardwerte!$I$90,Standardwerte!$I$91))))))</f>
        <v>0</v>
      </c>
    </row>
    <row r="247" spans="2:20">
      <c r="B247" s="1">
        <v>2</v>
      </c>
      <c r="C247" s="1" t="s">
        <v>14</v>
      </c>
      <c r="D247" s="140" t="s">
        <v>28</v>
      </c>
      <c r="E247" s="16">
        <f ca="1">IF(E$112&lt;=Standardwerte!$C$94,Standardwerte!$I$94,IF(E$112&lt;=Standardwerte!$C$95,Standardwerte!$I$95,IF(E$112&lt;=Standardwerte!$C$96,Standardwerte!$I$96,Standardwerte!$I$97)))</f>
        <v>0</v>
      </c>
      <c r="F247" s="16">
        <f ca="1">IF(F$112&lt;=Standardwerte!$C$94,Standardwerte!$I$94,IF(F$112&lt;=Standardwerte!$C$95,Standardwerte!$I$95,IF(F$112&lt;=Standardwerte!$C$96,Standardwerte!$I$96,Standardwerte!$I$97)))</f>
        <v>0</v>
      </c>
      <c r="G247" s="16">
        <f ca="1">IF(G$112&lt;=Standardwerte!$C$94,Standardwerte!$I$94,IF(G$112&lt;=Standardwerte!$C$95,Standardwerte!$I$95,IF(G$112&lt;=Standardwerte!$C$96,Standardwerte!$I$96,Standardwerte!$I$97)))</f>
        <v>0</v>
      </c>
      <c r="H247" s="16">
        <f ca="1">IF(H$112&lt;=Standardwerte!$C$94,Standardwerte!$I$94,IF(H$112&lt;=Standardwerte!$C$95,Standardwerte!$I$95,IF(H$112&lt;=Standardwerte!$C$96,Standardwerte!$I$96,Standardwerte!$I$97)))</f>
        <v>0</v>
      </c>
      <c r="I247" s="16">
        <f ca="1">IF(I$112&lt;=Standardwerte!$C$94,Standardwerte!$I$94,IF(I$112&lt;=Standardwerte!$C$95,Standardwerte!$I$95,IF(I$112&lt;=Standardwerte!$C$96,Standardwerte!$I$96,Standardwerte!$I$97)))</f>
        <v>0</v>
      </c>
      <c r="J247" s="16">
        <f ca="1">IF(J$112&lt;=Standardwerte!$C$94,Standardwerte!$I$94,IF(J$112&lt;=Standardwerte!$C$95,Standardwerte!$I$95,IF(J$112&lt;=Standardwerte!$C$96,Standardwerte!$I$96,Standardwerte!$I$97)))</f>
        <v>0</v>
      </c>
      <c r="K247" s="16">
        <f ca="1">IF(K$112&lt;=Standardwerte!$C$94,Standardwerte!$I$94,IF(K$112&lt;=Standardwerte!$C$95,Standardwerte!$I$95,IF(K$112&lt;=Standardwerte!$C$96,Standardwerte!$I$96,Standardwerte!$I$97)))</f>
        <v>0</v>
      </c>
      <c r="L247" s="16">
        <f ca="1">IF(L$112&lt;=Standardwerte!$C$94,Standardwerte!$I$94,IF(L$112&lt;=Standardwerte!$C$95,Standardwerte!$I$95,IF(L$112&lt;=Standardwerte!$C$96,Standardwerte!$I$96,Standardwerte!$I$97)))</f>
        <v>0</v>
      </c>
      <c r="M247" s="16">
        <f>IF(M$112&lt;=Standardwerte!$C$94,Standardwerte!$I$94,IF(M$112&lt;=Standardwerte!$C$95,Standardwerte!$I$95,IF(M$112&lt;=Standardwerte!$C$96,Standardwerte!$I$96,Standardwerte!$I$97)))</f>
        <v>0</v>
      </c>
      <c r="N247" s="16">
        <f>IF(N$112&lt;=Standardwerte!$C$94,Standardwerte!$I$94,IF(N$112&lt;=Standardwerte!$C$95,Standardwerte!$I$95,IF(N$112&lt;=Standardwerte!$C$96,Standardwerte!$I$96,Standardwerte!$I$97)))</f>
        <v>0</v>
      </c>
      <c r="O247" s="16">
        <f>IF(O$112&lt;=Standardwerte!$C$94,Standardwerte!$I$94,IF(O$112&lt;=Standardwerte!$C$95,Standardwerte!$I$95,IF(O$112&lt;=Standardwerte!$C$96,Standardwerte!$I$96,Standardwerte!$I$97)))</f>
        <v>0</v>
      </c>
      <c r="P247" s="16">
        <f>IF(P$112&lt;=Standardwerte!$C$94,Standardwerte!$I$94,IF(P$112&lt;=Standardwerte!$C$95,Standardwerte!$I$95,IF(P$112&lt;=Standardwerte!$C$96,Standardwerte!$I$96,Standardwerte!$I$97)))</f>
        <v>0</v>
      </c>
      <c r="Q247" s="16">
        <f>IF(Q$112&lt;=Standardwerte!$C$94,Standardwerte!$I$94,IF(Q$112&lt;=Standardwerte!$C$95,Standardwerte!$I$95,IF(Q$112&lt;=Standardwerte!$C$96,Standardwerte!$I$96,Standardwerte!$I$97)))</f>
        <v>0</v>
      </c>
      <c r="R247" s="16">
        <f>IF(R$112&lt;=Standardwerte!$C$94,Standardwerte!$I$94,IF(R$112&lt;=Standardwerte!$C$95,Standardwerte!$I$95,IF(R$112&lt;=Standardwerte!$C$96,Standardwerte!$I$96,Standardwerte!$I$97)))</f>
        <v>0</v>
      </c>
      <c r="S247" s="16">
        <f>IF(S$112&lt;=Standardwerte!$C$94,Standardwerte!$I$94,IF(S$112&lt;=Standardwerte!$C$95,Standardwerte!$I$95,IF(S$112&lt;=Standardwerte!$C$96,Standardwerte!$I$96,Standardwerte!$I$97)))</f>
        <v>0</v>
      </c>
      <c r="T247" s="16">
        <f>IF(T$112&lt;=Standardwerte!$C$94,Standardwerte!$I$94,IF(T$112&lt;=Standardwerte!$C$95,Standardwerte!$I$95,IF(T$112&lt;=Standardwerte!$C$96,Standardwerte!$I$96,Standardwerte!$I$97)))</f>
        <v>0</v>
      </c>
    </row>
    <row r="248" spans="2:20">
      <c r="B248" s="1">
        <v>3</v>
      </c>
      <c r="C248" s="1" t="s">
        <v>1</v>
      </c>
      <c r="D248" s="140" t="s">
        <v>28</v>
      </c>
      <c r="E248" s="16">
        <f>Standardwerte!I100</f>
        <v>0</v>
      </c>
      <c r="F248" s="16">
        <f>E248</f>
        <v>0</v>
      </c>
      <c r="G248" s="16">
        <f t="shared" ref="G248:T248" si="93">F248</f>
        <v>0</v>
      </c>
      <c r="H248" s="16">
        <f t="shared" si="93"/>
        <v>0</v>
      </c>
      <c r="I248" s="16">
        <f t="shared" si="93"/>
        <v>0</v>
      </c>
      <c r="J248" s="16">
        <f t="shared" si="93"/>
        <v>0</v>
      </c>
      <c r="K248" s="16">
        <f t="shared" si="93"/>
        <v>0</v>
      </c>
      <c r="L248" s="16">
        <f t="shared" si="93"/>
        <v>0</v>
      </c>
      <c r="M248" s="16">
        <f t="shared" si="93"/>
        <v>0</v>
      </c>
      <c r="N248" s="16">
        <f t="shared" si="93"/>
        <v>0</v>
      </c>
      <c r="O248" s="16">
        <f t="shared" si="93"/>
        <v>0</v>
      </c>
      <c r="P248" s="16">
        <f t="shared" si="93"/>
        <v>0</v>
      </c>
      <c r="Q248" s="16">
        <f t="shared" si="93"/>
        <v>0</v>
      </c>
      <c r="R248" s="16">
        <f t="shared" si="93"/>
        <v>0</v>
      </c>
      <c r="S248" s="16">
        <f t="shared" si="93"/>
        <v>0</v>
      </c>
      <c r="T248" s="16">
        <f t="shared" si="93"/>
        <v>0</v>
      </c>
    </row>
    <row r="249" spans="2:20">
      <c r="B249" s="1">
        <v>4</v>
      </c>
      <c r="C249" s="1" t="s">
        <v>15</v>
      </c>
      <c r="D249" s="140" t="s">
        <v>28</v>
      </c>
      <c r="E249" s="16">
        <f>Standardwerte!I103</f>
        <v>0</v>
      </c>
      <c r="F249" s="16">
        <f>E249</f>
        <v>0</v>
      </c>
      <c r="G249" s="16">
        <f t="shared" ref="G249:T249" si="94">F249</f>
        <v>0</v>
      </c>
      <c r="H249" s="16">
        <f t="shared" si="94"/>
        <v>0</v>
      </c>
      <c r="I249" s="16">
        <f t="shared" si="94"/>
        <v>0</v>
      </c>
      <c r="J249" s="16">
        <f t="shared" si="94"/>
        <v>0</v>
      </c>
      <c r="K249" s="16">
        <f t="shared" si="94"/>
        <v>0</v>
      </c>
      <c r="L249" s="16">
        <f t="shared" si="94"/>
        <v>0</v>
      </c>
      <c r="M249" s="16">
        <f t="shared" si="94"/>
        <v>0</v>
      </c>
      <c r="N249" s="16">
        <f t="shared" si="94"/>
        <v>0</v>
      </c>
      <c r="O249" s="16">
        <f t="shared" si="94"/>
        <v>0</v>
      </c>
      <c r="P249" s="16">
        <f t="shared" si="94"/>
        <v>0</v>
      </c>
      <c r="Q249" s="16">
        <f t="shared" si="94"/>
        <v>0</v>
      </c>
      <c r="R249" s="16">
        <f t="shared" si="94"/>
        <v>0</v>
      </c>
      <c r="S249" s="16">
        <f t="shared" si="94"/>
        <v>0</v>
      </c>
      <c r="T249" s="16">
        <f t="shared" si="94"/>
        <v>0</v>
      </c>
    </row>
    <row r="250" spans="2:20">
      <c r="B250" s="1">
        <v>5</v>
      </c>
      <c r="C250" s="1" t="s">
        <v>141</v>
      </c>
      <c r="D250" s="140" t="s">
        <v>28</v>
      </c>
      <c r="E250" s="16">
        <f ca="1">IFERROR(INDEX(Standardwerte!$I$106:$I$120,MATCH(Standardwerte!$G$74,Standardwerte!$B$106:$B$120,0)),0)</f>
        <v>0</v>
      </c>
      <c r="F250" s="16">
        <f ca="1">E250</f>
        <v>0</v>
      </c>
      <c r="G250" s="16">
        <f t="shared" ref="G250:T250" ca="1" si="95">F250</f>
        <v>0</v>
      </c>
      <c r="H250" s="16">
        <f t="shared" ca="1" si="95"/>
        <v>0</v>
      </c>
      <c r="I250" s="16">
        <f t="shared" ca="1" si="95"/>
        <v>0</v>
      </c>
      <c r="J250" s="16">
        <f t="shared" ca="1" si="95"/>
        <v>0</v>
      </c>
      <c r="K250" s="16">
        <f t="shared" ca="1" si="95"/>
        <v>0</v>
      </c>
      <c r="L250" s="16">
        <f t="shared" ca="1" si="95"/>
        <v>0</v>
      </c>
      <c r="M250" s="16">
        <f t="shared" ca="1" si="95"/>
        <v>0</v>
      </c>
      <c r="N250" s="16">
        <f t="shared" ca="1" si="95"/>
        <v>0</v>
      </c>
      <c r="O250" s="16">
        <f t="shared" ca="1" si="95"/>
        <v>0</v>
      </c>
      <c r="P250" s="16">
        <f t="shared" ca="1" si="95"/>
        <v>0</v>
      </c>
      <c r="Q250" s="16">
        <f t="shared" ca="1" si="95"/>
        <v>0</v>
      </c>
      <c r="R250" s="16">
        <f t="shared" ca="1" si="95"/>
        <v>0</v>
      </c>
      <c r="S250" s="16">
        <f t="shared" ca="1" si="95"/>
        <v>0</v>
      </c>
      <c r="T250" s="16">
        <f t="shared" ca="1" si="95"/>
        <v>0</v>
      </c>
    </row>
    <row r="251" spans="2:20">
      <c r="B251" s="1">
        <v>6</v>
      </c>
      <c r="C251" s="1" t="s">
        <v>142</v>
      </c>
      <c r="D251" s="140" t="s">
        <v>28</v>
      </c>
      <c r="E251" s="16">
        <f ca="1">E250</f>
        <v>0</v>
      </c>
      <c r="F251" s="16">
        <f t="shared" ref="F251:T251" ca="1" si="96">E251</f>
        <v>0</v>
      </c>
      <c r="G251" s="16">
        <f t="shared" ca="1" si="96"/>
        <v>0</v>
      </c>
      <c r="H251" s="16">
        <f t="shared" ca="1" si="96"/>
        <v>0</v>
      </c>
      <c r="I251" s="16">
        <f t="shared" ca="1" si="96"/>
        <v>0</v>
      </c>
      <c r="J251" s="16">
        <f t="shared" ca="1" si="96"/>
        <v>0</v>
      </c>
      <c r="K251" s="16">
        <f t="shared" ca="1" si="96"/>
        <v>0</v>
      </c>
      <c r="L251" s="16">
        <f t="shared" ca="1" si="96"/>
        <v>0</v>
      </c>
      <c r="M251" s="16">
        <f t="shared" ca="1" si="96"/>
        <v>0</v>
      </c>
      <c r="N251" s="16">
        <f t="shared" ca="1" si="96"/>
        <v>0</v>
      </c>
      <c r="O251" s="16">
        <f t="shared" ca="1" si="96"/>
        <v>0</v>
      </c>
      <c r="P251" s="16">
        <f t="shared" ca="1" si="96"/>
        <v>0</v>
      </c>
      <c r="Q251" s="16">
        <f t="shared" ca="1" si="96"/>
        <v>0</v>
      </c>
      <c r="R251" s="16">
        <f t="shared" ca="1" si="96"/>
        <v>0</v>
      </c>
      <c r="S251" s="16">
        <f t="shared" ca="1" si="96"/>
        <v>0</v>
      </c>
      <c r="T251" s="16">
        <f t="shared" ca="1" si="96"/>
        <v>0</v>
      </c>
    </row>
    <row r="252" spans="2:20">
      <c r="B252" s="1">
        <v>7</v>
      </c>
      <c r="C252" s="1" t="s">
        <v>143</v>
      </c>
      <c r="D252" s="140" t="s">
        <v>28</v>
      </c>
      <c r="E252" s="16">
        <f ca="1">E251</f>
        <v>0</v>
      </c>
      <c r="F252" s="16">
        <f t="shared" ref="F252:T252" ca="1" si="97">E252</f>
        <v>0</v>
      </c>
      <c r="G252" s="16">
        <f t="shared" ca="1" si="97"/>
        <v>0</v>
      </c>
      <c r="H252" s="16">
        <f t="shared" ca="1" si="97"/>
        <v>0</v>
      </c>
      <c r="I252" s="16">
        <f t="shared" ca="1" si="97"/>
        <v>0</v>
      </c>
      <c r="J252" s="16">
        <f t="shared" ca="1" si="97"/>
        <v>0</v>
      </c>
      <c r="K252" s="16">
        <f t="shared" ca="1" si="97"/>
        <v>0</v>
      </c>
      <c r="L252" s="16">
        <f t="shared" ca="1" si="97"/>
        <v>0</v>
      </c>
      <c r="M252" s="16">
        <f t="shared" ca="1" si="97"/>
        <v>0</v>
      </c>
      <c r="N252" s="16">
        <f t="shared" ca="1" si="97"/>
        <v>0</v>
      </c>
      <c r="O252" s="16">
        <f t="shared" ca="1" si="97"/>
        <v>0</v>
      </c>
      <c r="P252" s="16">
        <f t="shared" ca="1" si="97"/>
        <v>0</v>
      </c>
      <c r="Q252" s="16">
        <f t="shared" ca="1" si="97"/>
        <v>0</v>
      </c>
      <c r="R252" s="16">
        <f t="shared" ca="1" si="97"/>
        <v>0</v>
      </c>
      <c r="S252" s="16">
        <f t="shared" ca="1" si="97"/>
        <v>0</v>
      </c>
      <c r="T252" s="16">
        <f t="shared" ca="1" si="97"/>
        <v>0</v>
      </c>
    </row>
    <row r="253" spans="2:20">
      <c r="B253" s="1">
        <v>10</v>
      </c>
      <c r="C253" s="1" t="s">
        <v>298</v>
      </c>
      <c r="D253" s="140" t="s">
        <v>28</v>
      </c>
      <c r="E253" s="16">
        <f>Standardwerte!I123</f>
        <v>0</v>
      </c>
      <c r="F253" s="16">
        <f>E253</f>
        <v>0</v>
      </c>
      <c r="G253" s="16">
        <f t="shared" ref="G253:T253" si="98">F253</f>
        <v>0</v>
      </c>
      <c r="H253" s="16">
        <f t="shared" si="98"/>
        <v>0</v>
      </c>
      <c r="I253" s="16">
        <f t="shared" si="98"/>
        <v>0</v>
      </c>
      <c r="J253" s="16">
        <f t="shared" si="98"/>
        <v>0</v>
      </c>
      <c r="K253" s="16">
        <f t="shared" si="98"/>
        <v>0</v>
      </c>
      <c r="L253" s="16">
        <f t="shared" si="98"/>
        <v>0</v>
      </c>
      <c r="M253" s="16">
        <f t="shared" si="98"/>
        <v>0</v>
      </c>
      <c r="N253" s="16">
        <f t="shared" si="98"/>
        <v>0</v>
      </c>
      <c r="O253" s="16">
        <f t="shared" si="98"/>
        <v>0</v>
      </c>
      <c r="P253" s="16">
        <f t="shared" si="98"/>
        <v>0</v>
      </c>
      <c r="Q253" s="16">
        <f t="shared" si="98"/>
        <v>0</v>
      </c>
      <c r="R253" s="16">
        <f t="shared" si="98"/>
        <v>0</v>
      </c>
      <c r="S253" s="16">
        <f t="shared" si="98"/>
        <v>0</v>
      </c>
      <c r="T253" s="16">
        <f t="shared" si="98"/>
        <v>0</v>
      </c>
    </row>
    <row r="254" spans="2:20">
      <c r="B254" s="1">
        <v>11</v>
      </c>
      <c r="C254" s="1" t="s">
        <v>329</v>
      </c>
      <c r="D254" s="140" t="s">
        <v>28</v>
      </c>
      <c r="E254" s="16">
        <f>Standardwerte!I124</f>
        <v>0</v>
      </c>
      <c r="F254" s="16">
        <f t="shared" ref="F254:T254" si="99">E254</f>
        <v>0</v>
      </c>
      <c r="G254" s="16">
        <f t="shared" si="99"/>
        <v>0</v>
      </c>
      <c r="H254" s="16">
        <f t="shared" si="99"/>
        <v>0</v>
      </c>
      <c r="I254" s="16">
        <f t="shared" si="99"/>
        <v>0</v>
      </c>
      <c r="J254" s="16">
        <f t="shared" si="99"/>
        <v>0</v>
      </c>
      <c r="K254" s="16">
        <f t="shared" si="99"/>
        <v>0</v>
      </c>
      <c r="L254" s="16">
        <f t="shared" si="99"/>
        <v>0</v>
      </c>
      <c r="M254" s="16">
        <f t="shared" si="99"/>
        <v>0</v>
      </c>
      <c r="N254" s="16">
        <f t="shared" si="99"/>
        <v>0</v>
      </c>
      <c r="O254" s="16">
        <f t="shared" si="99"/>
        <v>0</v>
      </c>
      <c r="P254" s="16">
        <f t="shared" si="99"/>
        <v>0</v>
      </c>
      <c r="Q254" s="16">
        <f t="shared" si="99"/>
        <v>0</v>
      </c>
      <c r="R254" s="16">
        <f t="shared" si="99"/>
        <v>0</v>
      </c>
      <c r="S254" s="16">
        <f t="shared" si="99"/>
        <v>0</v>
      </c>
      <c r="T254" s="16">
        <f t="shared" si="99"/>
        <v>0</v>
      </c>
    </row>
    <row r="255" spans="2:20">
      <c r="B255" s="1">
        <v>12</v>
      </c>
      <c r="C255" s="1" t="s">
        <v>300</v>
      </c>
      <c r="D255" s="140" t="s">
        <v>28</v>
      </c>
      <c r="E255" s="16">
        <f>Standardwerte!I125</f>
        <v>0</v>
      </c>
      <c r="F255" s="16">
        <f t="shared" ref="F255:T255" si="100">E255</f>
        <v>0</v>
      </c>
      <c r="G255" s="16">
        <f t="shared" si="100"/>
        <v>0</v>
      </c>
      <c r="H255" s="16">
        <f t="shared" si="100"/>
        <v>0</v>
      </c>
      <c r="I255" s="16">
        <f t="shared" si="100"/>
        <v>0</v>
      </c>
      <c r="J255" s="16">
        <f t="shared" si="100"/>
        <v>0</v>
      </c>
      <c r="K255" s="16">
        <f t="shared" si="100"/>
        <v>0</v>
      </c>
      <c r="L255" s="16">
        <f t="shared" si="100"/>
        <v>0</v>
      </c>
      <c r="M255" s="16">
        <f t="shared" si="100"/>
        <v>0</v>
      </c>
      <c r="N255" s="16">
        <f t="shared" si="100"/>
        <v>0</v>
      </c>
      <c r="O255" s="16">
        <f t="shared" si="100"/>
        <v>0</v>
      </c>
      <c r="P255" s="16">
        <f t="shared" si="100"/>
        <v>0</v>
      </c>
      <c r="Q255" s="16">
        <f t="shared" si="100"/>
        <v>0</v>
      </c>
      <c r="R255" s="16">
        <f t="shared" si="100"/>
        <v>0</v>
      </c>
      <c r="S255" s="16">
        <f t="shared" si="100"/>
        <v>0</v>
      </c>
      <c r="T255" s="16">
        <f t="shared" si="100"/>
        <v>0</v>
      </c>
    </row>
    <row r="256" spans="2:20">
      <c r="B256" s="1">
        <v>13</v>
      </c>
      <c r="C256" s="1" t="s">
        <v>301</v>
      </c>
      <c r="D256" s="140" t="s">
        <v>28</v>
      </c>
      <c r="E256" s="16">
        <f>Standardwerte!I126</f>
        <v>0</v>
      </c>
      <c r="F256" s="16">
        <f t="shared" ref="F256:T256" si="101">E256</f>
        <v>0</v>
      </c>
      <c r="G256" s="16">
        <f t="shared" si="101"/>
        <v>0</v>
      </c>
      <c r="H256" s="16">
        <f t="shared" si="101"/>
        <v>0</v>
      </c>
      <c r="I256" s="16">
        <f t="shared" si="101"/>
        <v>0</v>
      </c>
      <c r="J256" s="16">
        <f t="shared" si="101"/>
        <v>0</v>
      </c>
      <c r="K256" s="16">
        <f t="shared" si="101"/>
        <v>0</v>
      </c>
      <c r="L256" s="16">
        <f t="shared" si="101"/>
        <v>0</v>
      </c>
      <c r="M256" s="16">
        <f t="shared" si="101"/>
        <v>0</v>
      </c>
      <c r="N256" s="16">
        <f t="shared" si="101"/>
        <v>0</v>
      </c>
      <c r="O256" s="16">
        <f t="shared" si="101"/>
        <v>0</v>
      </c>
      <c r="P256" s="16">
        <f t="shared" si="101"/>
        <v>0</v>
      </c>
      <c r="Q256" s="16">
        <f t="shared" si="101"/>
        <v>0</v>
      </c>
      <c r="R256" s="16">
        <f t="shared" si="101"/>
        <v>0</v>
      </c>
      <c r="S256" s="16">
        <f t="shared" si="101"/>
        <v>0</v>
      </c>
      <c r="T256" s="16">
        <f t="shared" si="101"/>
        <v>0</v>
      </c>
    </row>
    <row r="257" spans="2:20">
      <c r="B257" s="1">
        <v>8</v>
      </c>
      <c r="C257" s="64" t="s">
        <v>974</v>
      </c>
      <c r="D257" s="140" t="s">
        <v>28</v>
      </c>
      <c r="E257" s="16">
        <f t="shared" ref="E257:T257" ca="1" si="102">E247</f>
        <v>0</v>
      </c>
      <c r="F257" s="16">
        <f t="shared" ca="1" si="102"/>
        <v>0</v>
      </c>
      <c r="G257" s="16">
        <f t="shared" ca="1" si="102"/>
        <v>0</v>
      </c>
      <c r="H257" s="16">
        <f t="shared" ca="1" si="102"/>
        <v>0</v>
      </c>
      <c r="I257" s="16">
        <f t="shared" ca="1" si="102"/>
        <v>0</v>
      </c>
      <c r="J257" s="16">
        <f t="shared" ca="1" si="102"/>
        <v>0</v>
      </c>
      <c r="K257" s="16">
        <f t="shared" ca="1" si="102"/>
        <v>0</v>
      </c>
      <c r="L257" s="16">
        <f t="shared" ca="1" si="102"/>
        <v>0</v>
      </c>
      <c r="M257" s="16">
        <f t="shared" si="102"/>
        <v>0</v>
      </c>
      <c r="N257" s="16">
        <f t="shared" si="102"/>
        <v>0</v>
      </c>
      <c r="O257" s="16">
        <f t="shared" si="102"/>
        <v>0</v>
      </c>
      <c r="P257" s="16">
        <f t="shared" si="102"/>
        <v>0</v>
      </c>
      <c r="Q257" s="16">
        <f t="shared" si="102"/>
        <v>0</v>
      </c>
      <c r="R257" s="16">
        <f t="shared" si="102"/>
        <v>0</v>
      </c>
      <c r="S257" s="16">
        <f t="shared" si="102"/>
        <v>0</v>
      </c>
      <c r="T257" s="16">
        <f t="shared" si="102"/>
        <v>0</v>
      </c>
    </row>
    <row r="258" spans="2:20">
      <c r="B258" s="1">
        <v>14</v>
      </c>
      <c r="C258" s="64" t="s">
        <v>1810</v>
      </c>
      <c r="D258" s="140" t="s">
        <v>28</v>
      </c>
      <c r="E258" s="16">
        <f ca="1">E250</f>
        <v>0</v>
      </c>
      <c r="F258" s="16">
        <f t="shared" ref="F258:T258" ca="1" si="103">F250</f>
        <v>0</v>
      </c>
      <c r="G258" s="16">
        <f t="shared" ca="1" si="103"/>
        <v>0</v>
      </c>
      <c r="H258" s="16">
        <f t="shared" ca="1" si="103"/>
        <v>0</v>
      </c>
      <c r="I258" s="16">
        <f t="shared" ca="1" si="103"/>
        <v>0</v>
      </c>
      <c r="J258" s="16">
        <f t="shared" ca="1" si="103"/>
        <v>0</v>
      </c>
      <c r="K258" s="16">
        <f t="shared" ca="1" si="103"/>
        <v>0</v>
      </c>
      <c r="L258" s="16">
        <f t="shared" ca="1" si="103"/>
        <v>0</v>
      </c>
      <c r="M258" s="16">
        <f t="shared" ca="1" si="103"/>
        <v>0</v>
      </c>
      <c r="N258" s="16">
        <f t="shared" ca="1" si="103"/>
        <v>0</v>
      </c>
      <c r="O258" s="16">
        <f t="shared" ca="1" si="103"/>
        <v>0</v>
      </c>
      <c r="P258" s="16">
        <f t="shared" ca="1" si="103"/>
        <v>0</v>
      </c>
      <c r="Q258" s="16">
        <f t="shared" ca="1" si="103"/>
        <v>0</v>
      </c>
      <c r="R258" s="16">
        <f t="shared" ca="1" si="103"/>
        <v>0</v>
      </c>
      <c r="S258" s="16">
        <f t="shared" ca="1" si="103"/>
        <v>0</v>
      </c>
      <c r="T258" s="16">
        <f t="shared" ca="1" si="103"/>
        <v>0</v>
      </c>
    </row>
    <row r="260" spans="2:20" ht="15.75">
      <c r="B260" s="57" t="s">
        <v>1673</v>
      </c>
    </row>
    <row r="261" spans="2:20">
      <c r="B261" s="1" t="s">
        <v>1672</v>
      </c>
      <c r="D261" s="140" t="s">
        <v>28</v>
      </c>
      <c r="E261" s="16">
        <f ca="1">E186</f>
        <v>0</v>
      </c>
      <c r="F261" s="16">
        <f t="shared" ref="F261:T261" ca="1" si="104">F186</f>
        <v>0</v>
      </c>
      <c r="G261" s="16">
        <f t="shared" ca="1" si="104"/>
        <v>0</v>
      </c>
      <c r="H261" s="16">
        <f t="shared" ca="1" si="104"/>
        <v>0</v>
      </c>
      <c r="I261" s="16">
        <f t="shared" ca="1" si="104"/>
        <v>0</v>
      </c>
      <c r="J261" s="16">
        <f t="shared" ca="1" si="104"/>
        <v>0</v>
      </c>
      <c r="K261" s="16">
        <f t="shared" ca="1" si="104"/>
        <v>0</v>
      </c>
      <c r="L261" s="16">
        <f t="shared" ca="1" si="104"/>
        <v>0</v>
      </c>
      <c r="M261" s="16">
        <f t="shared" ca="1" si="104"/>
        <v>0</v>
      </c>
      <c r="N261" s="16">
        <f t="shared" ca="1" si="104"/>
        <v>0</v>
      </c>
      <c r="O261" s="16">
        <f t="shared" ca="1" si="104"/>
        <v>0</v>
      </c>
      <c r="P261" s="16">
        <f t="shared" ca="1" si="104"/>
        <v>0</v>
      </c>
      <c r="Q261" s="16">
        <f t="shared" ca="1" si="104"/>
        <v>0</v>
      </c>
      <c r="R261" s="16">
        <f t="shared" ca="1" si="104"/>
        <v>0</v>
      </c>
      <c r="S261" s="16">
        <f t="shared" ca="1" si="104"/>
        <v>0</v>
      </c>
      <c r="T261" s="16">
        <f t="shared" ca="1" si="104"/>
        <v>0</v>
      </c>
    </row>
    <row r="262" spans="2:20">
      <c r="B262" s="1" t="s">
        <v>1660</v>
      </c>
      <c r="D262" s="140" t="s">
        <v>28</v>
      </c>
      <c r="E262" s="16">
        <f ca="1">VLOOKUP(E35,$B$181:$T$194,E267,FALSE)</f>
        <v>0</v>
      </c>
      <c r="F262" s="16">
        <f t="shared" ref="F262:T262" ca="1" si="105">VLOOKUP(F35,$B$181:$T$194,F267,FALSE)</f>
        <v>0</v>
      </c>
      <c r="G262" s="16">
        <f t="shared" ca="1" si="105"/>
        <v>0</v>
      </c>
      <c r="H262" s="16">
        <f t="shared" ca="1" si="105"/>
        <v>0</v>
      </c>
      <c r="I262" s="16">
        <f t="shared" ca="1" si="105"/>
        <v>0</v>
      </c>
      <c r="J262" s="16">
        <f t="shared" ca="1" si="105"/>
        <v>0</v>
      </c>
      <c r="K262" s="16">
        <f t="shared" ca="1" si="105"/>
        <v>0</v>
      </c>
      <c r="L262" s="16">
        <f t="shared" ca="1" si="105"/>
        <v>0</v>
      </c>
      <c r="M262" s="16">
        <f t="shared" si="105"/>
        <v>0</v>
      </c>
      <c r="N262" s="16">
        <f t="shared" si="105"/>
        <v>0</v>
      </c>
      <c r="O262" s="16">
        <f t="shared" si="105"/>
        <v>0</v>
      </c>
      <c r="P262" s="16">
        <f t="shared" si="105"/>
        <v>0</v>
      </c>
      <c r="Q262" s="16">
        <f t="shared" si="105"/>
        <v>0</v>
      </c>
      <c r="R262" s="16">
        <f t="shared" si="105"/>
        <v>0</v>
      </c>
      <c r="S262" s="16">
        <f t="shared" si="105"/>
        <v>0</v>
      </c>
      <c r="T262" s="16">
        <f t="shared" si="105"/>
        <v>0</v>
      </c>
    </row>
    <row r="263" spans="2:20">
      <c r="B263" s="1" t="s">
        <v>1650</v>
      </c>
      <c r="D263" s="140" t="s">
        <v>28</v>
      </c>
      <c r="E263" s="16">
        <f ca="1">VLOOKUP(E35,$B$213:$T$226,E267,FALSE)</f>
        <v>0</v>
      </c>
      <c r="F263" s="16">
        <f t="shared" ref="F263:T263" ca="1" si="106">VLOOKUP(F35,$B$213:$T$226,F267,FALSE)</f>
        <v>0</v>
      </c>
      <c r="G263" s="16">
        <f t="shared" ca="1" si="106"/>
        <v>0</v>
      </c>
      <c r="H263" s="16">
        <f t="shared" ca="1" si="106"/>
        <v>0</v>
      </c>
      <c r="I263" s="16">
        <f t="shared" ca="1" si="106"/>
        <v>0</v>
      </c>
      <c r="J263" s="16">
        <f t="shared" ca="1" si="106"/>
        <v>0</v>
      </c>
      <c r="K263" s="16">
        <f t="shared" ca="1" si="106"/>
        <v>0</v>
      </c>
      <c r="L263" s="16">
        <f t="shared" ca="1" si="106"/>
        <v>0</v>
      </c>
      <c r="M263" s="16">
        <f t="shared" si="106"/>
        <v>0</v>
      </c>
      <c r="N263" s="16">
        <f t="shared" si="106"/>
        <v>0</v>
      </c>
      <c r="O263" s="16">
        <f t="shared" si="106"/>
        <v>0</v>
      </c>
      <c r="P263" s="16">
        <f t="shared" si="106"/>
        <v>0</v>
      </c>
      <c r="Q263" s="16">
        <f t="shared" si="106"/>
        <v>0</v>
      </c>
      <c r="R263" s="16">
        <f t="shared" si="106"/>
        <v>0</v>
      </c>
      <c r="S263" s="16">
        <f t="shared" si="106"/>
        <v>0</v>
      </c>
      <c r="T263" s="16">
        <f t="shared" si="106"/>
        <v>0</v>
      </c>
    </row>
    <row r="264" spans="2:20">
      <c r="B264" s="1" t="s">
        <v>310</v>
      </c>
      <c r="D264" s="140" t="s">
        <v>28</v>
      </c>
      <c r="E264" s="16">
        <f ca="1">VLOOKUP(E35,$B$245:$T$258,E267,FALSE)</f>
        <v>0</v>
      </c>
      <c r="F264" s="16">
        <f t="shared" ref="F264:T264" ca="1" si="107">VLOOKUP(F35,$B$245:$T$258,F267,FALSE)</f>
        <v>0</v>
      </c>
      <c r="G264" s="16">
        <f t="shared" ca="1" si="107"/>
        <v>0</v>
      </c>
      <c r="H264" s="16">
        <f t="shared" ca="1" si="107"/>
        <v>0</v>
      </c>
      <c r="I264" s="16">
        <f t="shared" ca="1" si="107"/>
        <v>0</v>
      </c>
      <c r="J264" s="16">
        <f t="shared" ca="1" si="107"/>
        <v>0</v>
      </c>
      <c r="K264" s="16">
        <f t="shared" ca="1" si="107"/>
        <v>0</v>
      </c>
      <c r="L264" s="16">
        <f t="shared" ca="1" si="107"/>
        <v>0</v>
      </c>
      <c r="M264" s="16">
        <f t="shared" si="107"/>
        <v>0</v>
      </c>
      <c r="N264" s="16">
        <f t="shared" si="107"/>
        <v>0</v>
      </c>
      <c r="O264" s="16">
        <f t="shared" si="107"/>
        <v>0</v>
      </c>
      <c r="P264" s="16">
        <f t="shared" si="107"/>
        <v>0</v>
      </c>
      <c r="Q264" s="16">
        <f t="shared" si="107"/>
        <v>0</v>
      </c>
      <c r="R264" s="16">
        <f t="shared" si="107"/>
        <v>0</v>
      </c>
      <c r="S264" s="16">
        <f t="shared" si="107"/>
        <v>0</v>
      </c>
      <c r="T264" s="16">
        <f t="shared" si="107"/>
        <v>0</v>
      </c>
    </row>
    <row r="266" spans="2:20">
      <c r="B266" s="1" t="s">
        <v>1652</v>
      </c>
    </row>
    <row r="267" spans="2:20">
      <c r="B267" s="1">
        <v>1</v>
      </c>
      <c r="C267" s="1">
        <v>2</v>
      </c>
      <c r="D267" s="1">
        <v>3</v>
      </c>
      <c r="E267" s="1">
        <v>4</v>
      </c>
      <c r="F267" s="1">
        <v>5</v>
      </c>
      <c r="G267" s="1">
        <v>6</v>
      </c>
      <c r="H267" s="1">
        <v>7</v>
      </c>
      <c r="I267" s="1">
        <v>8</v>
      </c>
      <c r="J267" s="1">
        <v>9</v>
      </c>
      <c r="K267" s="1">
        <v>10</v>
      </c>
      <c r="L267" s="1">
        <v>11</v>
      </c>
      <c r="M267" s="1">
        <v>12</v>
      </c>
      <c r="N267" s="1">
        <v>13</v>
      </c>
      <c r="O267" s="1">
        <v>14</v>
      </c>
      <c r="P267" s="1">
        <v>15</v>
      </c>
      <c r="Q267" s="1">
        <v>16</v>
      </c>
      <c r="R267" s="1">
        <v>17</v>
      </c>
      <c r="S267" s="1">
        <v>18</v>
      </c>
      <c r="T267" s="1">
        <v>19</v>
      </c>
    </row>
  </sheetData>
  <pageMargins left="0.7" right="0.7" top="0.78740157499999996" bottom="0.78740157499999996"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5D1AD-AD85-4273-8DD1-50DEFA09CAE5}">
  <sheetPr codeName="Tabelle18">
    <tabColor rgb="FFFF0000"/>
  </sheetPr>
  <dimension ref="A1:BZ214"/>
  <sheetViews>
    <sheetView zoomScale="70" zoomScaleNormal="70" workbookViewId="0">
      <pane xSplit="3" ySplit="17" topLeftCell="AF18" activePane="bottomRight" state="frozen"/>
      <selection pane="topRight" activeCell="D1" sqref="D1"/>
      <selection pane="bottomLeft" activeCell="A18" sqref="A18"/>
      <selection pane="bottomRight" activeCell="BA25" sqref="BA25"/>
    </sheetView>
  </sheetViews>
  <sheetFormatPr baseColWidth="10" defaultColWidth="11.5703125" defaultRowHeight="12.75"/>
  <cols>
    <col min="1" max="1" width="10.8554687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4" width="14.140625" style="1" customWidth="1"/>
    <col min="55" max="55" width="11.5703125" style="1" customWidth="1"/>
    <col min="56" max="57" width="11.5703125" style="1"/>
    <col min="58" max="58" width="13.5703125" style="1" bestFit="1" customWidth="1"/>
    <col min="59" max="59" width="11.5703125" style="1"/>
    <col min="60" max="60" width="2.85546875" style="1" customWidth="1"/>
    <col min="61" max="62" width="11.5703125" style="1"/>
    <col min="63" max="63" width="18.7109375" style="1" customWidth="1"/>
    <col min="64" max="70" width="11.5703125" style="1"/>
    <col min="71" max="74" width="14.5703125" style="1" customWidth="1"/>
    <col min="75" max="16384" width="11.5703125" style="1"/>
  </cols>
  <sheetData>
    <row r="1" spans="2:76">
      <c r="M1" s="1" t="s">
        <v>869</v>
      </c>
      <c r="N1" s="1" t="s">
        <v>203</v>
      </c>
      <c r="O1" s="1" t="s">
        <v>348</v>
      </c>
    </row>
    <row r="2" spans="2:76">
      <c r="B2" s="1" t="s">
        <v>1039</v>
      </c>
      <c r="G2" s="155" t="s">
        <v>9</v>
      </c>
      <c r="K2" s="1" t="s">
        <v>182</v>
      </c>
      <c r="L2" s="1">
        <v>0</v>
      </c>
      <c r="M2" s="1" t="s">
        <v>9</v>
      </c>
      <c r="N2" s="1" t="s">
        <v>1086</v>
      </c>
      <c r="O2" s="1">
        <v>1</v>
      </c>
      <c r="T2" s="1" t="s">
        <v>1039</v>
      </c>
      <c r="Y2" s="155" t="s">
        <v>13</v>
      </c>
      <c r="BK2" s="1" t="s">
        <v>1186</v>
      </c>
      <c r="BL2" s="1" t="s">
        <v>1187</v>
      </c>
    </row>
    <row r="3" spans="2:76">
      <c r="G3" s="155" t="s">
        <v>10</v>
      </c>
      <c r="K3" s="1" t="s">
        <v>16</v>
      </c>
      <c r="L3" s="1">
        <v>5</v>
      </c>
      <c r="M3" s="1" t="s">
        <v>10</v>
      </c>
      <c r="N3" s="1" t="s">
        <v>996</v>
      </c>
      <c r="O3" s="1">
        <f>O2+15</f>
        <v>16</v>
      </c>
      <c r="Y3" s="155" t="s">
        <v>261</v>
      </c>
      <c r="AP3" s="1" t="s">
        <v>1064</v>
      </c>
      <c r="AR3" s="58" t="s">
        <v>1065</v>
      </c>
      <c r="AS3" s="1">
        <f>Projektdaten!E58</f>
        <v>20</v>
      </c>
      <c r="BI3" s="8" t="s">
        <v>1066</v>
      </c>
    </row>
    <row r="4" spans="2:76">
      <c r="B4" s="154" t="s">
        <v>950</v>
      </c>
      <c r="C4" s="69" t="str" cm="1">
        <f t="array" aca="1" ref="C4" ca="1">INDIRECT("Vergleich!"&amp;G2&amp;"7")</f>
        <v>Bitte wählen …</v>
      </c>
      <c r="D4" s="1" t="str">
        <f ca="1">Vergleich!F3</f>
        <v>Variante A</v>
      </c>
      <c r="I4" s="1" t="s">
        <v>869</v>
      </c>
      <c r="J4" s="1" t="s">
        <v>203</v>
      </c>
      <c r="K4" s="1" t="s">
        <v>17</v>
      </c>
      <c r="L4" s="1">
        <v>10</v>
      </c>
      <c r="M4" s="1" t="s">
        <v>13</v>
      </c>
      <c r="N4" s="1" t="s">
        <v>1087</v>
      </c>
      <c r="O4" s="1">
        <f t="shared" ref="O4:O14" si="0">O3+15</f>
        <v>31</v>
      </c>
      <c r="T4" s="154" t="s">
        <v>951</v>
      </c>
      <c r="U4" s="69" t="str" cm="1">
        <f t="array" aca="1" ref="U4" ca="1">INDIRECT("Vergleich!"&amp;Y2&amp;"7")</f>
        <v>Bitte wählen …</v>
      </c>
      <c r="AA4" s="1" t="s">
        <v>869</v>
      </c>
      <c r="AB4" s="1" t="s">
        <v>203</v>
      </c>
      <c r="BF4" s="226"/>
      <c r="BJ4" s="7" t="s">
        <v>319</v>
      </c>
      <c r="BK4" s="69">
        <f ca="1">SUM(AP25:AV25)+SUM(AW26:AW125)</f>
        <v>0</v>
      </c>
      <c r="BL4" s="69">
        <f ca="1">SUM(BI25:BO25)+SUM(BP26:BP125)</f>
        <v>0</v>
      </c>
    </row>
    <row r="5" spans="2:76" ht="15.75">
      <c r="B5" s="7" t="s">
        <v>1047</v>
      </c>
      <c r="C5" s="1">
        <f ca="1">VLOOKUP(C4,Auswahllisten!E9:F22,2,FALSE)</f>
        <v>0</v>
      </c>
      <c r="E5" s="1" t="s">
        <v>1041</v>
      </c>
      <c r="F5" s="1">
        <f ca="1">IF(C5=0,0,INDEX(L2:L15,MATCH(C6,L2:L15,1)))</f>
        <v>0</v>
      </c>
      <c r="G5" s="1" t="s">
        <v>136</v>
      </c>
      <c r="H5" s="1" t="s">
        <v>183</v>
      </c>
      <c r="I5" s="1" t="str">
        <f ca="1">VLOOKUP(F5,L2:M15,2,FALSE)</f>
        <v>F</v>
      </c>
      <c r="J5" s="1" t="str">
        <f ca="1">VLOOKUP(F5,$L$2:$N$15,3,FALSE)</f>
        <v>U</v>
      </c>
      <c r="K5" s="1" t="s">
        <v>18</v>
      </c>
      <c r="L5" s="1">
        <v>20</v>
      </c>
      <c r="M5" s="1" t="s">
        <v>261</v>
      </c>
      <c r="N5" s="1" t="s">
        <v>1008</v>
      </c>
      <c r="O5" s="1">
        <f t="shared" si="0"/>
        <v>46</v>
      </c>
      <c r="T5" s="7" t="s">
        <v>1047</v>
      </c>
      <c r="U5" s="1">
        <f ca="1">VLOOKUP(U4,Auswahllisten!E9:F22,2,FALSE)</f>
        <v>0</v>
      </c>
      <c r="W5" s="1" t="s">
        <v>1041</v>
      </c>
      <c r="X5" s="1">
        <f ca="1">IF($U$5=0,0,INDEX(L2:L15,MATCH(U6,L2:L15,1)))</f>
        <v>0</v>
      </c>
      <c r="Y5" s="1" t="s">
        <v>136</v>
      </c>
      <c r="Z5" s="1" t="s">
        <v>183</v>
      </c>
      <c r="AA5" s="1" t="str">
        <f ca="1">VLOOKUP(X5,L2:M15,2,FALSE)</f>
        <v>F</v>
      </c>
      <c r="AB5" s="1" t="str">
        <f ca="1">VLOOKUP(X5,$L$2:$N$15,3,FALSE)</f>
        <v>U</v>
      </c>
      <c r="AO5" s="157"/>
      <c r="AP5" s="1" t="s">
        <v>1063</v>
      </c>
      <c r="AR5" s="58" t="s">
        <v>1099</v>
      </c>
      <c r="AS5" s="156">
        <f>Projektdaten!E59</f>
        <v>0.02</v>
      </c>
      <c r="BF5" s="226"/>
      <c r="BJ5" s="7" t="s">
        <v>326</v>
      </c>
      <c r="BK5" s="225">
        <f ca="1">SUM(AY26:AY125)</f>
        <v>0</v>
      </c>
      <c r="BL5" s="69">
        <f ca="1">SUM(BR26:BR125)</f>
        <v>0</v>
      </c>
    </row>
    <row r="6" spans="2:76">
      <c r="B6" s="7" t="s">
        <v>953</v>
      </c>
      <c r="C6" s="33" t="str" cm="1">
        <f t="array" aca="1" ref="C6" ca="1">INDIRECT("Vergleich!"&amp;G3&amp;"25")</f>
        <v/>
      </c>
      <c r="D6" s="1" t="s">
        <v>136</v>
      </c>
      <c r="E6" s="1" t="s">
        <v>1042</v>
      </c>
      <c r="F6" s="1" cm="1">
        <f t="array" aca="1" ref="F6" ca="1">IF(C5=0,0,INDEX(L2:L15,MATCH(C6,L2:L15,1)+1))</f>
        <v>0</v>
      </c>
      <c r="G6" s="1" t="s">
        <v>136</v>
      </c>
      <c r="H6" s="1" t="s">
        <v>183</v>
      </c>
      <c r="I6" s="1" t="str">
        <f ca="1">VLOOKUP(F6,L2:M15,2,FALSE)</f>
        <v>F</v>
      </c>
      <c r="J6" s="1" t="str">
        <f ca="1">VLOOKUP(F6,$L$2:$N$15,3,FALSE)</f>
        <v>U</v>
      </c>
      <c r="K6" s="1" t="s">
        <v>19</v>
      </c>
      <c r="L6" s="1">
        <v>70</v>
      </c>
      <c r="M6" s="1" t="s">
        <v>362</v>
      </c>
      <c r="N6" s="1" t="s">
        <v>1088</v>
      </c>
      <c r="O6" s="1">
        <f t="shared" si="0"/>
        <v>61</v>
      </c>
      <c r="T6" s="7" t="s">
        <v>953</v>
      </c>
      <c r="U6" s="1" t="str" cm="1">
        <f t="array" aca="1" ref="U6" ca="1">INDIRECT("Vergleich!"&amp;Y3&amp;"25")</f>
        <v/>
      </c>
      <c r="V6" s="1" t="s">
        <v>136</v>
      </c>
      <c r="W6" s="1" t="s">
        <v>1042</v>
      </c>
      <c r="X6" s="1" cm="1">
        <f t="array" aca="1" ref="X6" ca="1">IF($U$5=0,0,INDEX(L2:L15,MATCH(U6,L2:L15,1)+1))</f>
        <v>0</v>
      </c>
      <c r="Y6" s="1" t="s">
        <v>136</v>
      </c>
      <c r="Z6" s="1" t="s">
        <v>183</v>
      </c>
      <c r="AA6" s="1" t="str">
        <f ca="1">VLOOKUP(X6,L2:M15,2,FALSE)</f>
        <v>F</v>
      </c>
      <c r="AB6" s="1" t="str">
        <f ca="1">VLOOKUP(X6,$L$2:$N$15,3,FALSE)</f>
        <v>U</v>
      </c>
      <c r="AO6" s="157"/>
      <c r="AP6" s="1" t="s">
        <v>200</v>
      </c>
      <c r="AS6" s="156">
        <f>Projektdaten!E60</f>
        <v>5.0000000000000001E-3</v>
      </c>
      <c r="AU6" s="7"/>
      <c r="BF6" s="226"/>
      <c r="BJ6" s="7" t="s">
        <v>193</v>
      </c>
      <c r="BK6" s="69">
        <f ca="1">SUM(BD26:BD125)</f>
        <v>0</v>
      </c>
      <c r="BL6" s="69">
        <f ca="1">SUM(BW26:BW125)</f>
        <v>0</v>
      </c>
    </row>
    <row r="7" spans="2:76">
      <c r="B7" s="7"/>
      <c r="C7" s="33"/>
      <c r="K7" s="1" t="s">
        <v>178</v>
      </c>
      <c r="L7" s="1">
        <v>100</v>
      </c>
      <c r="M7" s="1" t="s">
        <v>363</v>
      </c>
      <c r="N7" s="1" t="s">
        <v>1089</v>
      </c>
      <c r="O7" s="1">
        <f t="shared" si="0"/>
        <v>76</v>
      </c>
      <c r="T7" s="7"/>
      <c r="AO7" s="157"/>
      <c r="AS7" s="156"/>
      <c r="AU7" s="7"/>
      <c r="BF7" s="226"/>
      <c r="BI7" s="8" t="s">
        <v>1075</v>
      </c>
      <c r="BL7" s="157"/>
    </row>
    <row r="8" spans="2:76">
      <c r="B8" s="120" t="s">
        <v>1048</v>
      </c>
      <c r="C8" s="1" t="str">
        <f ca="1">IF(Projektdaten!$E$15=Auswahllisten!$E$31,"keine Auswahl",IF(Projektdaten!$E$15=Auswahllisten!$E$32,"Neubau",IF(OR(E12,E14),"1:1-Ersatz","Systemwechsel")))</f>
        <v>1:1-Ersatz</v>
      </c>
      <c r="K8" s="1" t="s">
        <v>179</v>
      </c>
      <c r="L8" s="1">
        <v>200</v>
      </c>
      <c r="M8" s="1" t="s">
        <v>687</v>
      </c>
      <c r="N8" s="1" t="s">
        <v>1090</v>
      </c>
      <c r="O8" s="1">
        <f t="shared" si="0"/>
        <v>91</v>
      </c>
      <c r="T8" s="120" t="s">
        <v>1048</v>
      </c>
      <c r="U8" s="1" t="str">
        <f ca="1">IF(Projektdaten!$E$15=Auswahllisten!$E$31,"keine Auswahl",IF(Projektdaten!$E$15=Auswahllisten!$E$32,"Neubau",IF(OR(W12,W14),"1:1-Ersatz","Systemwechsel")))</f>
        <v>1:1-Ersatz</v>
      </c>
      <c r="AO8" s="158"/>
      <c r="AS8" s="156"/>
      <c r="AU8" s="7"/>
      <c r="BF8" s="226"/>
      <c r="BJ8" s="7" t="s">
        <v>1306</v>
      </c>
      <c r="BK8" s="69">
        <f ca="1">SUM(BF26:BF132)</f>
        <v>0</v>
      </c>
      <c r="BL8" s="69">
        <f ca="1">SUM(BY26:BY125)</f>
        <v>0</v>
      </c>
    </row>
    <row r="9" spans="2:76">
      <c r="B9" s="7" t="s">
        <v>1047</v>
      </c>
      <c r="C9" s="1">
        <f ca="1">IF(C8="keine Auswahl",-1,IF(C8="Neubau",0,IF(C8="1:1-Ersatz",1,2)))</f>
        <v>1</v>
      </c>
      <c r="K9" s="1" t="s">
        <v>180</v>
      </c>
      <c r="L9" s="1">
        <v>350</v>
      </c>
      <c r="M9" s="1" t="s">
        <v>688</v>
      </c>
      <c r="N9" s="1" t="s">
        <v>1091</v>
      </c>
      <c r="O9" s="1">
        <f t="shared" si="0"/>
        <v>106</v>
      </c>
      <c r="T9" s="7" t="s">
        <v>1047</v>
      </c>
      <c r="U9" s="1">
        <f ca="1">IF(U8="keine Auswahl",-1,IF(U8="Neubau",0,IF(U8="1:1-Ersatz",1,2)))</f>
        <v>1</v>
      </c>
      <c r="AO9" s="159"/>
      <c r="AP9" s="1" t="s">
        <v>1068</v>
      </c>
      <c r="AS9" s="156">
        <f>Projektdaten!J59</f>
        <v>0</v>
      </c>
      <c r="AZ9" s="159"/>
      <c r="BA9" s="159"/>
      <c r="BB9" s="159"/>
      <c r="BC9" s="159"/>
      <c r="BF9" s="226"/>
      <c r="BJ9" s="7" t="s">
        <v>1194</v>
      </c>
      <c r="BK9" s="69">
        <f ca="1">BF22</f>
        <v>0</v>
      </c>
      <c r="BL9" s="69">
        <f ca="1">BY22</f>
        <v>0</v>
      </c>
    </row>
    <row r="10" spans="2:76">
      <c r="F10" s="7" t="s">
        <v>1172</v>
      </c>
      <c r="G10" s="155" t="s">
        <v>1126</v>
      </c>
      <c r="K10" s="1" t="s">
        <v>181</v>
      </c>
      <c r="L10" s="1">
        <v>500</v>
      </c>
      <c r="M10" s="1" t="s">
        <v>689</v>
      </c>
      <c r="N10" s="1" t="s">
        <v>1092</v>
      </c>
      <c r="O10" s="1">
        <f t="shared" si="0"/>
        <v>121</v>
      </c>
      <c r="X10" s="7" t="s">
        <v>1173</v>
      </c>
      <c r="Y10" s="155" t="s">
        <v>9</v>
      </c>
      <c r="AO10" s="157"/>
      <c r="AP10" s="1" t="s">
        <v>1307</v>
      </c>
      <c r="AS10" s="156">
        <f>Projektdaten!J60</f>
        <v>0</v>
      </c>
      <c r="AZ10" s="157"/>
      <c r="BA10" s="157"/>
      <c r="BB10" s="157"/>
      <c r="BC10" s="157"/>
      <c r="BI10" s="8" t="s">
        <v>1195</v>
      </c>
      <c r="BL10" s="157"/>
    </row>
    <row r="11" spans="2:76">
      <c r="B11" s="7" t="s">
        <v>1081</v>
      </c>
      <c r="C11" s="1" t="str">
        <f>Projektdaten!$E$35</f>
        <v>Öl</v>
      </c>
      <c r="F11" s="7"/>
      <c r="K11" s="1" t="s">
        <v>336</v>
      </c>
      <c r="L11" s="1">
        <v>750</v>
      </c>
      <c r="M11" s="1" t="s">
        <v>690</v>
      </c>
      <c r="N11" s="1" t="s">
        <v>1093</v>
      </c>
      <c r="O11" s="1">
        <f t="shared" si="0"/>
        <v>136</v>
      </c>
      <c r="T11" s="7"/>
      <c r="AO11" s="160"/>
      <c r="AP11" s="1" t="s">
        <v>1069</v>
      </c>
      <c r="AR11" s="1" t="s">
        <v>1070</v>
      </c>
      <c r="AS11" s="156">
        <f>AS5+AS6</f>
        <v>2.5000000000000001E-2</v>
      </c>
      <c r="AY11" s="1" t="s">
        <v>1668</v>
      </c>
      <c r="BI11" s="8"/>
      <c r="BJ11" s="7" t="s">
        <v>869</v>
      </c>
      <c r="BK11" s="69">
        <f ca="1">PMT($AS$11,$AS$3,BK4)</f>
        <v>0</v>
      </c>
      <c r="BL11" s="69">
        <f t="shared" ref="BL11:BL13" ca="1" si="1">PMT($AS$11,$AS$3,BL4)</f>
        <v>0</v>
      </c>
      <c r="BR11" s="1" t="s">
        <v>1668</v>
      </c>
    </row>
    <row r="12" spans="2:76">
      <c r="B12" s="7" t="s">
        <v>1047</v>
      </c>
      <c r="C12" s="1">
        <f ca="1">IFERROR(VLOOKUP(C11,Auswahllisten!$E$9:$F$22,2,FALSE),0)</f>
        <v>1</v>
      </c>
      <c r="E12" s="1" t="b">
        <f ca="1">OR(C12=C5,C14=C5)</f>
        <v>1</v>
      </c>
      <c r="H12" s="7" t="s">
        <v>1343</v>
      </c>
      <c r="I12" s="1" t="b" cm="1">
        <f t="array" aca="1" ref="I12" ca="1">AND(C5&lt;&gt;0,VLOOKUP(INDIRECT("Vergleich!"&amp;G2&amp;"10"),Auswahllisten!$E$105:$F$107,2,FALSE)&lt;&gt;0)</f>
        <v>0</v>
      </c>
      <c r="K12" s="1" t="s">
        <v>691</v>
      </c>
      <c r="L12" s="1">
        <v>1000</v>
      </c>
      <c r="M12" s="1" t="s">
        <v>313</v>
      </c>
      <c r="N12" s="1" t="s">
        <v>153</v>
      </c>
      <c r="O12" s="1">
        <f t="shared" si="0"/>
        <v>151</v>
      </c>
      <c r="T12" s="7"/>
      <c r="W12" s="1" t="b">
        <f ca="1">OR(C12=U5,C14=U5)</f>
        <v>1</v>
      </c>
      <c r="AY12" s="7" t="s">
        <v>1669</v>
      </c>
      <c r="AZ12" s="155">
        <v>261</v>
      </c>
      <c r="BA12" s="1">
        <f>AZ12+1</f>
        <v>262</v>
      </c>
      <c r="BB12" s="1">
        <f t="shared" ref="BB12:BC12" si="2">BA12+1</f>
        <v>263</v>
      </c>
      <c r="BC12" s="1">
        <f t="shared" si="2"/>
        <v>264</v>
      </c>
      <c r="BI12" s="125"/>
      <c r="BJ12" s="7" t="s">
        <v>203</v>
      </c>
      <c r="BK12" s="69">
        <f ca="1">PMT($AS$11,$AS$3,BK5)</f>
        <v>0</v>
      </c>
      <c r="BL12" s="69">
        <f t="shared" ca="1" si="1"/>
        <v>0</v>
      </c>
      <c r="BR12" s="7" t="s">
        <v>1669</v>
      </c>
      <c r="BS12" s="155">
        <v>261</v>
      </c>
      <c r="BT12" s="1">
        <f>BS12+1</f>
        <v>262</v>
      </c>
      <c r="BU12" s="1">
        <f t="shared" ref="BU12:BV12" si="3">BT12+1</f>
        <v>263</v>
      </c>
      <c r="BV12" s="1">
        <f t="shared" si="3"/>
        <v>264</v>
      </c>
    </row>
    <row r="13" spans="2:76">
      <c r="B13" s="7" t="s">
        <v>1101</v>
      </c>
      <c r="C13" s="1" t="str">
        <f>Projektdaten!$E$36</f>
        <v>Bitte wählen …</v>
      </c>
      <c r="H13" s="7" t="s">
        <v>1344</v>
      </c>
      <c r="I13" s="1" t="b" cm="1">
        <f t="array" aca="1" ref="I13" ca="1">AND(C5&lt;&gt;0,VLOOKUP(INDIRECT("Vergleich!"&amp;G2&amp;"88"),Auswahllisten!$E$94:$F$95,2,FALSE)&lt;&gt;0)</f>
        <v>0</v>
      </c>
      <c r="K13" s="1" t="s">
        <v>692</v>
      </c>
      <c r="L13" s="1">
        <v>1500</v>
      </c>
      <c r="M13" s="1" t="s">
        <v>1049</v>
      </c>
      <c r="N13" s="1" t="s">
        <v>1094</v>
      </c>
      <c r="O13" s="1">
        <f t="shared" si="0"/>
        <v>166</v>
      </c>
      <c r="T13" s="7"/>
      <c r="AP13" s="1" t="s">
        <v>1071</v>
      </c>
      <c r="AS13" s="155">
        <v>1</v>
      </c>
      <c r="AT13" s="1" t="s">
        <v>1072</v>
      </c>
      <c r="AY13" s="7" t="s">
        <v>1670</v>
      </c>
      <c r="AZ13" s="1" cm="1">
        <f t="array" aca="1" ref="AZ13" ca="1">INDIRECT("Energie!"&amp;$G$10&amp;AZ12)*(1+$U$158)</f>
        <v>0</v>
      </c>
      <c r="BA13" s="445" cm="1">
        <f t="array" aca="1" ref="BA13" ca="1">INDIRECT("Energie!"&amp;$G$10&amp;BA12)*(1+$U$158)</f>
        <v>0</v>
      </c>
      <c r="BB13" s="445" cm="1">
        <f t="array" aca="1" ref="BB13" ca="1">INDIRECT("Energie!"&amp;$G$10&amp;BB12)*(1+$U$158)</f>
        <v>0</v>
      </c>
      <c r="BC13" s="445" cm="1">
        <f t="array" aca="1" ref="BC13" ca="1">INDIRECT("Energie!"&amp;$G$10&amp;BC12)*(1+$U$158)</f>
        <v>0</v>
      </c>
      <c r="BI13" s="125"/>
      <c r="BJ13" s="7" t="s">
        <v>1196</v>
      </c>
      <c r="BK13" s="69">
        <f ca="1">PMT($AS$11,$AS$3,BK6)</f>
        <v>0</v>
      </c>
      <c r="BL13" s="69">
        <f t="shared" ca="1" si="1"/>
        <v>0</v>
      </c>
      <c r="BR13" s="7" t="s">
        <v>1670</v>
      </c>
      <c r="BS13" s="1" cm="1">
        <f t="array" aca="1" ref="BS13" ca="1">INDIRECT("Energie!"&amp;$Y$10&amp;BS12)*(1+$U$158)</f>
        <v>0</v>
      </c>
      <c r="BT13" s="1" cm="1">
        <f t="array" aca="1" ref="BT13" ca="1">INDIRECT("Energie!"&amp;$Y$10&amp;BT12)*(1+$U$158)</f>
        <v>0</v>
      </c>
      <c r="BU13" s="1" cm="1">
        <f t="array" aca="1" ref="BU13" ca="1">INDIRECT("Energie!"&amp;$Y$10&amp;BU12)*(1+$U$158)</f>
        <v>0</v>
      </c>
      <c r="BV13" s="1" cm="1">
        <f t="array" aca="1" ref="BV13" ca="1">INDIRECT("Energie!"&amp;$Y$10&amp;BV12)*(1+$U$158)</f>
        <v>0</v>
      </c>
    </row>
    <row r="14" spans="2:76">
      <c r="B14" s="7" t="s">
        <v>1047</v>
      </c>
      <c r="C14" s="1">
        <f ca="1">IFERROR(VLOOKUP(C13,Auswahllisten!$E$9:$F$22,2,FALSE),0)</f>
        <v>0</v>
      </c>
      <c r="E14" s="1" t="b">
        <f ca="1">AND(OR(C12=2,C14=2,C12=8,C14=8),OR(C5=2,C5=8))</f>
        <v>0</v>
      </c>
      <c r="H14" s="7"/>
      <c r="K14" s="1" t="s">
        <v>693</v>
      </c>
      <c r="L14" s="1">
        <v>2000</v>
      </c>
      <c r="M14" s="1" t="s">
        <v>1050</v>
      </c>
      <c r="N14" s="1" t="s">
        <v>1312</v>
      </c>
      <c r="O14" s="1">
        <f t="shared" si="0"/>
        <v>181</v>
      </c>
      <c r="T14" s="7"/>
      <c r="W14" s="1" t="b">
        <f ca="1">AND(OR(C12=2,C14=2,C12=8,C14=8),OR(U5=2,U5=8))</f>
        <v>0</v>
      </c>
      <c r="AO14" s="160"/>
      <c r="AP14" s="160"/>
      <c r="AQ14" s="160"/>
      <c r="AR14" s="160"/>
      <c r="AS14" s="160"/>
      <c r="AT14" s="160"/>
      <c r="AU14" s="160"/>
      <c r="AY14" s="7" t="s">
        <v>1671</v>
      </c>
      <c r="AZ14" s="155">
        <v>148</v>
      </c>
      <c r="BA14" s="1">
        <f>AZ14+1</f>
        <v>149</v>
      </c>
      <c r="BB14" s="1">
        <f t="shared" ref="BB14:BC14" si="4">BA14+1</f>
        <v>150</v>
      </c>
      <c r="BC14" s="1">
        <f t="shared" si="4"/>
        <v>151</v>
      </c>
      <c r="BE14" s="1">
        <f>BC14+8</f>
        <v>159</v>
      </c>
      <c r="BJ14" s="7" t="s">
        <v>1075</v>
      </c>
      <c r="BK14" s="69">
        <f ca="1">PMT($AS$11,$AS$3,BK8)</f>
        <v>0</v>
      </c>
      <c r="BL14" s="69">
        <f ca="1">PMT($AS$11,$AS$3,BL8)</f>
        <v>0</v>
      </c>
      <c r="BR14" s="7" t="s">
        <v>1671</v>
      </c>
      <c r="BS14" s="155">
        <v>148</v>
      </c>
      <c r="BT14" s="1">
        <f>BS14+1</f>
        <v>149</v>
      </c>
      <c r="BU14" s="1">
        <f t="shared" ref="BU14:BV14" si="5">BT14+1</f>
        <v>150</v>
      </c>
      <c r="BV14" s="1">
        <f t="shared" si="5"/>
        <v>151</v>
      </c>
      <c r="BX14" s="1">
        <f>BV14+8</f>
        <v>159</v>
      </c>
    </row>
    <row r="15" spans="2:76">
      <c r="K15" s="1" t="s">
        <v>694</v>
      </c>
      <c r="L15" s="1">
        <v>2001</v>
      </c>
      <c r="M15" s="1" t="s">
        <v>1051</v>
      </c>
      <c r="Z15" s="1">
        <v>2</v>
      </c>
      <c r="BJ15" s="7" t="s">
        <v>1197</v>
      </c>
      <c r="BK15" s="69">
        <f ca="1">PMT($AS$11,$AS$3,BK9)</f>
        <v>0</v>
      </c>
      <c r="BL15" s="69">
        <f ca="1">PMT($AS$11,$AS$3,BL9)</f>
        <v>0</v>
      </c>
      <c r="BR15" s="7"/>
    </row>
    <row r="16" spans="2:76">
      <c r="AC16" s="35"/>
      <c r="AD16" s="1" t="s">
        <v>1190</v>
      </c>
    </row>
    <row r="17" spans="1:78" ht="13.5" thickBot="1">
      <c r="D17" s="16" t="s">
        <v>1040</v>
      </c>
      <c r="E17" s="18" t="str">
        <f ca="1">"Basis "&amp;F5&amp;" kW"</f>
        <v>Basis 0 kW</v>
      </c>
      <c r="F17" s="18" t="s">
        <v>348</v>
      </c>
      <c r="G17" s="16" t="str">
        <f ca="1">"Kosten "&amp;F5&amp;" kW"</f>
        <v>Kosten 0 kW</v>
      </c>
      <c r="H17" s="18" t="str">
        <f ca="1">"Basis "&amp;F6&amp;" kW"</f>
        <v>Basis 0 kW</v>
      </c>
      <c r="I17" s="18" t="s">
        <v>348</v>
      </c>
      <c r="J17" s="16" t="str">
        <f ca="1">"Kosten "&amp;F6&amp;" kW"</f>
        <v>Kosten 0 kW</v>
      </c>
      <c r="K17" s="18" t="s">
        <v>1043</v>
      </c>
      <c r="L17" s="18" t="s">
        <v>1046</v>
      </c>
      <c r="M17" s="16" t="str">
        <f ca="1">"Kosten "&amp;C6&amp;" kW"</f>
        <v>Kosten  kW</v>
      </c>
      <c r="O17" s="16" t="s">
        <v>1040</v>
      </c>
      <c r="P17" s="18" t="str">
        <f ca="1">"Basis "&amp;X5&amp;" kW"</f>
        <v>Basis 0 kW</v>
      </c>
      <c r="Q17" s="18" t="s">
        <v>348</v>
      </c>
      <c r="R17" s="16" t="str">
        <f ca="1">"Kosten "&amp;X5&amp;" kW"</f>
        <v>Kosten 0 kW</v>
      </c>
      <c r="S17" s="18" t="str">
        <f ca="1">"Basis "&amp;X6&amp;" kW"</f>
        <v>Basis 0 kW</v>
      </c>
      <c r="T17" s="18" t="s">
        <v>348</v>
      </c>
      <c r="U17" s="16" t="str">
        <f ca="1">"Kosten "&amp;X6&amp;" kW"</f>
        <v>Kosten 0 kW</v>
      </c>
      <c r="V17" s="18" t="s">
        <v>1043</v>
      </c>
      <c r="W17" s="18" t="s">
        <v>1046</v>
      </c>
      <c r="X17" s="16" t="str">
        <f ca="1">"Kosten "&amp;U6&amp;" kW"</f>
        <v>Kosten  kW</v>
      </c>
      <c r="AA17" s="35"/>
      <c r="AC17" s="35"/>
      <c r="AD17" s="35" t="s">
        <v>1212</v>
      </c>
      <c r="AE17" s="35"/>
      <c r="AF17" s="16" t="s">
        <v>1141</v>
      </c>
      <c r="AG17" s="16" t="s">
        <v>672</v>
      </c>
      <c r="AH17" s="16" t="s">
        <v>1265</v>
      </c>
      <c r="AI17" s="16" t="s">
        <v>1142</v>
      </c>
      <c r="AJ17" s="16" t="s">
        <v>672</v>
      </c>
      <c r="AK17" s="16" t="s">
        <v>1265</v>
      </c>
      <c r="AP17" s="6" t="s">
        <v>1079</v>
      </c>
      <c r="AQ17" s="63"/>
      <c r="AR17" s="63"/>
      <c r="AS17" s="63"/>
      <c r="AT17" s="63"/>
      <c r="AU17" s="63"/>
      <c r="AV17" s="63"/>
      <c r="AW17" s="63"/>
      <c r="AX17" s="63"/>
      <c r="AY17" s="63"/>
      <c r="AZ17" s="63"/>
      <c r="BA17" s="63"/>
      <c r="BB17" s="63"/>
      <c r="BC17" s="63"/>
      <c r="BD17" s="63"/>
      <c r="BE17" s="63"/>
      <c r="BF17" s="63"/>
      <c r="BG17" s="70"/>
      <c r="BI17" s="6" t="s">
        <v>1080</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986</v>
      </c>
      <c r="D18" s="94"/>
      <c r="E18" s="94"/>
      <c r="F18" s="94"/>
      <c r="G18" s="94"/>
      <c r="H18" s="94"/>
      <c r="I18" s="94"/>
      <c r="J18" s="94"/>
      <c r="K18" s="94" t="s">
        <v>1047</v>
      </c>
      <c r="L18" s="161">
        <v>1</v>
      </c>
      <c r="M18" s="94"/>
      <c r="P18" s="94"/>
      <c r="Q18" s="94"/>
      <c r="R18" s="94"/>
      <c r="S18" s="94"/>
      <c r="T18" s="94"/>
      <c r="U18" s="94"/>
      <c r="V18" s="94"/>
      <c r="W18" s="94"/>
      <c r="X18" s="94"/>
      <c r="Z18" s="1" t="s">
        <v>1040</v>
      </c>
      <c r="AA18" s="1" t="s">
        <v>1238</v>
      </c>
      <c r="AB18" s="1" t="s">
        <v>1342</v>
      </c>
      <c r="AC18" s="35"/>
      <c r="AD18" s="82" t="s">
        <v>1248</v>
      </c>
      <c r="AE18" s="64" t="s">
        <v>1249</v>
      </c>
      <c r="AF18" s="162">
        <f ca="1">SUMIF(Variante_A!$A$19:$A$157,AD18,Variante_A!$M$19:$M$157)</f>
        <v>0</v>
      </c>
      <c r="AG18" s="162"/>
      <c r="AH18" s="26">
        <f t="shared" ref="AH18:AH32" ca="1" si="6">(AF18-AG18)*$E$158</f>
        <v>0</v>
      </c>
      <c r="AI18" s="162">
        <f>SUMIF(Variante_A!$A$19:$A$157,AD18,Variante_A!$X$19:$X$157)</f>
        <v>0</v>
      </c>
      <c r="AJ18" s="162"/>
      <c r="AK18" s="26">
        <f t="shared" ref="AK18:AK32" si="7">(AI18-AJ18)*$E$158</f>
        <v>0</v>
      </c>
      <c r="AL18" s="69"/>
      <c r="AO18" s="7" t="s">
        <v>1260</v>
      </c>
      <c r="AP18" s="335" t="s">
        <v>303</v>
      </c>
      <c r="AQ18" s="336" t="s">
        <v>1261</v>
      </c>
      <c r="AR18" s="337" t="s">
        <v>1257</v>
      </c>
      <c r="AS18" s="337" t="s">
        <v>186</v>
      </c>
      <c r="AT18" s="337" t="s">
        <v>1012</v>
      </c>
      <c r="AU18" s="337" t="s">
        <v>948</v>
      </c>
      <c r="AV18" s="338" t="s">
        <v>677</v>
      </c>
      <c r="AW18" s="339" t="s">
        <v>1073</v>
      </c>
      <c r="AX18" s="658" t="s">
        <v>203</v>
      </c>
      <c r="AY18" s="659"/>
      <c r="AZ18" s="658" t="s">
        <v>193</v>
      </c>
      <c r="BA18" s="660"/>
      <c r="BB18" s="660"/>
      <c r="BC18" s="660"/>
      <c r="BD18" s="659"/>
      <c r="BE18" s="658" t="s">
        <v>1075</v>
      </c>
      <c r="BF18" s="659"/>
      <c r="BG18" s="346" t="s">
        <v>1067</v>
      </c>
      <c r="BI18" s="335" t="s">
        <v>303</v>
      </c>
      <c r="BJ18" s="336" t="s">
        <v>1261</v>
      </c>
      <c r="BK18" s="337" t="s">
        <v>1257</v>
      </c>
      <c r="BL18" s="337" t="s">
        <v>186</v>
      </c>
      <c r="BM18" s="337" t="s">
        <v>1012</v>
      </c>
      <c r="BN18" s="337" t="s">
        <v>948</v>
      </c>
      <c r="BO18" s="338" t="s">
        <v>677</v>
      </c>
      <c r="BP18" s="345" t="s">
        <v>1073</v>
      </c>
      <c r="BQ18" s="658" t="s">
        <v>203</v>
      </c>
      <c r="BR18" s="659"/>
      <c r="BS18" s="658" t="s">
        <v>193</v>
      </c>
      <c r="BT18" s="660"/>
      <c r="BU18" s="660"/>
      <c r="BV18" s="660"/>
      <c r="BW18" s="659"/>
      <c r="BX18" s="658" t="s">
        <v>1075</v>
      </c>
      <c r="BY18" s="659"/>
      <c r="BZ18" s="346" t="s">
        <v>1067</v>
      </c>
    </row>
    <row r="19" spans="1:78" ht="13.5" thickBot="1">
      <c r="A19" s="304" t="s">
        <v>1217</v>
      </c>
      <c r="B19" s="131" t="s">
        <v>1242</v>
      </c>
      <c r="C19" s="131" t="s">
        <v>244</v>
      </c>
      <c r="D19" s="162" t="str" cm="1">
        <f t="array" aca="1" ref="D19" ca="1">INDIRECT("Vergleich!"&amp;$G$2&amp;Z19)</f>
        <v>mittel</v>
      </c>
      <c r="E19" s="162" cm="1">
        <f t="array" aca="1" ref="E19" ca="1">INDIRECT("Investition_gewählt!"&amp;$I$5&amp;AA19)</f>
        <v>1500</v>
      </c>
      <c r="F19" s="25" cm="1">
        <f t="array" aca="1" ref="F19" ca="1">IF($C$5=0,0,INDEX(Faktoren!E5:GQ5,1,VLOOKUP($F$5,$L$2:$O$14,4,FALSE)+$C$9*5+VLOOKUP(D19,Auswahllisten!$E$25:$F$29,2,FALSE)))</f>
        <v>0</v>
      </c>
      <c r="G19" s="162">
        <f ca="1">E19*F19</f>
        <v>0</v>
      </c>
      <c r="H19" s="162" cm="1">
        <f t="array" aca="1" ref="H19" ca="1">INDIRECT("Investition_gewählt!"&amp;$I$6&amp;AA19)</f>
        <v>1500</v>
      </c>
      <c r="I19" s="25" cm="1">
        <f t="array" aca="1" ref="I19" ca="1">IF($C$5=0,0,INDEX(Faktoren!E5:GQ5,1,VLOOKUP($F$6,$L$2:$O$14,4,FALSE)+$C$9*5+VLOOKUP(D19,Auswahllisten!$E$25:$F$29,2,FALSE)))</f>
        <v>0</v>
      </c>
      <c r="J19" s="162">
        <f ca="1">H19*I19</f>
        <v>0</v>
      </c>
      <c r="K19" s="162">
        <f ca="1">IF($C$5=0,0,G19+(J19-G19)*($C$6-$F$5)/($F$6-$F$5))</f>
        <v>0</v>
      </c>
      <c r="L19" s="25" t="b">
        <f ca="1">($C$5=$L$18)</f>
        <v>0</v>
      </c>
      <c r="M19" s="162">
        <f ca="1">IFERROR(ROUND(K19*L19,AB19),0)</f>
        <v>0</v>
      </c>
      <c r="O19" s="25" t="str" cm="1">
        <f t="array" aca="1" ref="O19" ca="1">INDIRECT("Vergleich!"&amp;$Y$2&amp;Z19)</f>
        <v>gering</v>
      </c>
      <c r="P19" s="162" cm="1">
        <f t="array" aca="1" ref="P19" ca="1">INDIRECT("Investition_gewählt!"&amp;$AA$5&amp;AA19)</f>
        <v>1500</v>
      </c>
      <c r="Q19" s="25" cm="1">
        <f t="array" aca="1" ref="Q19" ca="1">IF($U$5=0,0,INDEX(Faktoren!E5:GQ5,1,VLOOKUP($X$5,$L$2:$O$14,4,FALSE)+$U$9*5+VLOOKUP(O19,Auswahllisten!$E$25:$F$29,2,FALSE)))</f>
        <v>0</v>
      </c>
      <c r="R19" s="162">
        <f ca="1">P19*Q19</f>
        <v>0</v>
      </c>
      <c r="S19" s="162" cm="1">
        <f t="array" aca="1" ref="S19" ca="1">INDIRECT("Investition_gewählt!"&amp;$AA$6&amp;AA19)</f>
        <v>1500</v>
      </c>
      <c r="T19" s="25" cm="1">
        <f t="array" aca="1" ref="T19" ca="1">IF($U$5=0,0,INDEX(Faktoren!E5:QG5,1,VLOOKUP($X$6,$L$3:$O$14,4,FALSE)+$U$9*5+VLOOKUP(O19,Auswahllisten!$E$25:$F$29,2,FALSE)))</f>
        <v>0</v>
      </c>
      <c r="U19" s="162">
        <f ca="1">S19*T19</f>
        <v>0</v>
      </c>
      <c r="V19" s="162">
        <f ca="1">IF($U$5=0,0,R19+(U19-R19)*($U$6-$X$5)/($X$6-$X$5))</f>
        <v>0</v>
      </c>
      <c r="W19" s="25" t="b">
        <f ca="1">($U$5=$L$18)</f>
        <v>0</v>
      </c>
      <c r="X19" s="162">
        <f ca="1">IFERROR(ROUND(V19*W19,AB19),0)</f>
        <v>0</v>
      </c>
      <c r="Z19" s="1">
        <v>39</v>
      </c>
      <c r="AA19" s="1">
        <v>5</v>
      </c>
      <c r="AB19" s="1">
        <v>-2</v>
      </c>
      <c r="AC19" s="35"/>
      <c r="AD19" s="82" t="s">
        <v>1230</v>
      </c>
      <c r="AE19" s="64" t="s">
        <v>1247</v>
      </c>
      <c r="AF19" s="26">
        <f ca="1">SUMIF(Variante_A!$A$19:$A$157,AD19,Variante_A!$M$19:$M$157)</f>
        <v>0</v>
      </c>
      <c r="AG19" s="162"/>
      <c r="AH19" s="26">
        <f t="shared" ca="1" si="6"/>
        <v>0</v>
      </c>
      <c r="AI19" s="26">
        <f ca="1">SUMIF(Variante_A!$A$19:$A$157,AD19,Variante_A!$X$19:$X$157)</f>
        <v>0</v>
      </c>
      <c r="AJ19" s="26"/>
      <c r="AK19" s="26">
        <f t="shared" ca="1" si="7"/>
        <v>0</v>
      </c>
      <c r="AL19" s="69"/>
      <c r="AO19" s="7" t="s">
        <v>1074</v>
      </c>
      <c r="AP19" s="340"/>
      <c r="AQ19" s="18"/>
      <c r="AR19" s="18"/>
      <c r="AS19" s="18"/>
      <c r="AT19" s="18"/>
      <c r="AU19" s="20"/>
      <c r="AV19" s="312"/>
      <c r="AW19" s="253" t="s">
        <v>869</v>
      </c>
      <c r="AX19" s="341" t="s">
        <v>1305</v>
      </c>
      <c r="AY19" s="344" t="s">
        <v>1192</v>
      </c>
      <c r="AZ19" s="341" t="s">
        <v>1672</v>
      </c>
      <c r="BA19" s="458" t="s">
        <v>1648</v>
      </c>
      <c r="BB19" s="458" t="s">
        <v>1650</v>
      </c>
      <c r="BC19" s="458" t="s">
        <v>172</v>
      </c>
      <c r="BD19" s="344" t="s">
        <v>1192</v>
      </c>
      <c r="BE19" s="341" t="s">
        <v>1305</v>
      </c>
      <c r="BF19" s="344" t="s">
        <v>1192</v>
      </c>
      <c r="BG19" s="347" t="s">
        <v>1076</v>
      </c>
      <c r="BI19" s="340"/>
      <c r="BJ19" s="18"/>
      <c r="BK19" s="18"/>
      <c r="BL19" s="18"/>
      <c r="BM19" s="18"/>
      <c r="BN19" s="20"/>
      <c r="BO19" s="20"/>
      <c r="BP19" s="253" t="s">
        <v>869</v>
      </c>
      <c r="BQ19" s="341" t="s">
        <v>1305</v>
      </c>
      <c r="BR19" s="344" t="s">
        <v>1192</v>
      </c>
      <c r="BS19" s="341" t="s">
        <v>1672</v>
      </c>
      <c r="BT19" s="458" t="s">
        <v>1648</v>
      </c>
      <c r="BU19" s="458" t="s">
        <v>1650</v>
      </c>
      <c r="BV19" s="458" t="s">
        <v>172</v>
      </c>
      <c r="BW19" s="344" t="s">
        <v>1192</v>
      </c>
      <c r="BX19" s="341" t="s">
        <v>1305</v>
      </c>
      <c r="BY19" s="344" t="s">
        <v>1192</v>
      </c>
      <c r="BZ19" s="347" t="s">
        <v>1076</v>
      </c>
    </row>
    <row r="20" spans="1:78" ht="14.25" thickTop="1" thickBot="1">
      <c r="A20" s="305" t="s">
        <v>1215</v>
      </c>
      <c r="B20" s="126" t="s">
        <v>303</v>
      </c>
      <c r="C20" s="126" t="s">
        <v>988</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IF($C$5=0,0,INDEX(Faktoren!E6:GQ6,1,VLOOKUP($F$5,$L$2:$O$14,4,FALSE)+$C$9*5+VLOOKUP(D20,Auswahllisten!$E$25:$F$29,2,FALSE)))</f>
        <v>0</v>
      </c>
      <c r="G20" s="26">
        <f t="shared" ref="G20:G23" ca="1" si="8">E20*F20</f>
        <v>0</v>
      </c>
      <c r="H20" s="26" cm="1">
        <f t="array" aca="1" ref="H20" ca="1">INDIRECT("Investition_gewählt!"&amp;$I$6&amp;AA20)</f>
        <v>9400</v>
      </c>
      <c r="I20" s="25" cm="1">
        <f t="array" aca="1" ref="I20" ca="1">IF($C$5=0,0,INDEX(Faktoren!E6:GQ6,1,VLOOKUP($F$6,$L$2:$O$14,4,FALSE)+$C$9*5+VLOOKUP(D20,Auswahllisten!$E$25:$F$29,2,FALSE)))</f>
        <v>0</v>
      </c>
      <c r="J20" s="26">
        <f t="shared" ref="J20:J23" ca="1" si="9">H20*I20</f>
        <v>0</v>
      </c>
      <c r="K20" s="26">
        <f t="shared" ref="K20:K79" ca="1" si="10">IF($C$5=0,0,G20+(J20-G20)*($C$6-$F$5)/($F$6-$F$5))</f>
        <v>0</v>
      </c>
      <c r="L20" s="16" t="b">
        <f ca="1">($C$5=$L$18)</f>
        <v>0</v>
      </c>
      <c r="M20" s="26">
        <f t="shared" ref="M20:M79"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IF($U$5=0,0,INDEX(Faktoren!E6:GQ6,1,VLOOKUP($X$5,$L$2:$O$14,4,FALSE)+$U$9*5+VLOOKUP(O20,Auswahllisten!$E$25:$F$29,2,FALSE)))</f>
        <v>0</v>
      </c>
      <c r="R20" s="26">
        <f t="shared" ref="R20:R79" ca="1" si="12">P20*Q20</f>
        <v>0</v>
      </c>
      <c r="S20" s="26" cm="1">
        <f t="array" aca="1" ref="S20" ca="1">INDIRECT("Investition_gewählt!"&amp;$AA$6&amp;AA20)</f>
        <v>9400</v>
      </c>
      <c r="T20" s="16" cm="1">
        <f t="array" aca="1" ref="T20" ca="1">IF($U$5=0,0,INDEX(Faktoren!E6:QG6,1,VLOOKUP($X$6,$L$3:$O$14,4,FALSE)+$U$9*5+VLOOKUP(O20,Auswahllisten!$E$25:$F$29,2,FALSE)))</f>
        <v>0</v>
      </c>
      <c r="U20" s="26">
        <f t="shared" ref="U20:U79" ca="1" si="13">S20*T20</f>
        <v>0</v>
      </c>
      <c r="V20" s="26">
        <f t="shared" ref="V20:V83" ca="1" si="14">IF($U$5=0,0,R20+(U20-R20)*($U$6-$X$5)/($X$6-$X$5))</f>
        <v>0</v>
      </c>
      <c r="W20" s="16" t="b">
        <f t="shared" ref="W20:W23" ca="1" si="15">($U$5=$L$18)</f>
        <v>0</v>
      </c>
      <c r="X20" s="26">
        <f t="shared" ref="X20:X79" ca="1" si="16">IFERROR(ROUND(V20*W20,AB20),0)</f>
        <v>0</v>
      </c>
      <c r="Z20" s="1">
        <v>40</v>
      </c>
      <c r="AA20" s="1">
        <v>6</v>
      </c>
      <c r="AB20" s="1">
        <v>-2</v>
      </c>
      <c r="AC20" s="35"/>
      <c r="AD20" s="35" t="s">
        <v>1223</v>
      </c>
      <c r="AE20" s="1" t="s">
        <v>1251</v>
      </c>
      <c r="AF20" s="26">
        <f ca="1">SUMIF(Variante_A!$A$19:$A$157,AD20,Variante_A!$M$19:$M$157)</f>
        <v>0</v>
      </c>
      <c r="AG20" s="162">
        <f ca="1">IF($C$5=0,0,E150)</f>
        <v>0</v>
      </c>
      <c r="AH20" s="26">
        <f t="shared" ca="1" si="6"/>
        <v>0</v>
      </c>
      <c r="AI20" s="26">
        <f>SUMIF(Variante_A!$A$19:$A$157,AD20,Variante_A!$X$19:$X$157)</f>
        <v>0</v>
      </c>
      <c r="AJ20" s="26"/>
      <c r="AK20" s="26">
        <f t="shared" si="7"/>
        <v>0</v>
      </c>
      <c r="AL20" s="69"/>
      <c r="AO20" s="7" t="s">
        <v>1077</v>
      </c>
      <c r="AP20" s="341">
        <f ca="1">ROUND(VLOOKUP(C5,Standardwerte!$C$35:$M$49,3,FALSE),0)</f>
        <v>0</v>
      </c>
      <c r="AQ20" s="342">
        <f ca="1">ROUND(VLOOKUP(C5,Standardwerte!$C$35:$M$49,5,FALSE),0)</f>
        <v>0</v>
      </c>
      <c r="AR20" s="342">
        <f>ROUND(Standardwerte!$I$54,0)</f>
        <v>20</v>
      </c>
      <c r="AS20" s="342">
        <f ca="1">ROUND(VLOOKUP(C5,Standardwerte!$C$35:$M$49,4,FALSE),0)</f>
        <v>0</v>
      </c>
      <c r="AT20" s="342">
        <f ca="1">ROUND(VLOOKUP(C5,Standardwerte!$C$35:$M$49,10,FALSE),0)</f>
        <v>0</v>
      </c>
      <c r="AU20" s="342">
        <f ca="1">ROUND(VLOOKUP(C5,Standardwerte!$C$35:$M$49,11,FALSE),0)</f>
        <v>0</v>
      </c>
      <c r="AV20" s="343">
        <f>ROUND(Standardwerte!$O$54,0)</f>
        <v>20</v>
      </c>
      <c r="AW20" s="344"/>
      <c r="AY20" s="7"/>
      <c r="AZ20" s="445"/>
      <c r="BA20" s="445"/>
      <c r="BB20" s="445"/>
      <c r="BC20" s="445"/>
      <c r="BI20" s="341">
        <f ca="1">ROUND(VLOOKUP(U5,Standardwerte!$C$35:$M$49,3,FALSE),0)</f>
        <v>0</v>
      </c>
      <c r="BJ20" s="342">
        <f ca="1">ROUND(VLOOKUP(U5,Standardwerte!$C$35:$M$49,5,FALSE),0)</f>
        <v>0</v>
      </c>
      <c r="BK20" s="342">
        <f>ROUND(Standardwerte!$I$54,0)</f>
        <v>20</v>
      </c>
      <c r="BL20" s="342">
        <f ca="1">ROUND(VLOOKUP(U5,Standardwerte!$C$35:$M$49,4,FALSE),0)</f>
        <v>0</v>
      </c>
      <c r="BM20" s="342">
        <f ca="1">ROUND(VLOOKUP(U5,Standardwerte!$C$35:$M$49,10,FALSE),0)</f>
        <v>0</v>
      </c>
      <c r="BN20" s="342">
        <f ca="1">ROUND(VLOOKUP(U5,Standardwerte!$C$35:$M$49,11,FALSE),0)</f>
        <v>0</v>
      </c>
      <c r="BO20" s="342">
        <f>ROUND(Standardwerte!$O$54,0)</f>
        <v>20</v>
      </c>
      <c r="BP20" s="344"/>
      <c r="BR20" s="7"/>
      <c r="BS20" s="445"/>
      <c r="BT20" s="445"/>
      <c r="BU20" s="445"/>
      <c r="BV20" s="445"/>
      <c r="BX20" s="69"/>
    </row>
    <row r="21" spans="1:78" ht="13.5" thickTop="1">
      <c r="A21" s="305" t="s">
        <v>1215</v>
      </c>
      <c r="B21" s="126" t="s">
        <v>303</v>
      </c>
      <c r="C21" s="126" t="s">
        <v>965</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IF($C$5=0,0,INDEX(Faktoren!E7:GQ7,1,VLOOKUP($F$5,$L$2:$O$14,4,FALSE)+$C$9*5+VLOOKUP(D21,Auswahllisten!$E$25:$F$29,2,FALSE)))</f>
        <v>0</v>
      </c>
      <c r="G21" s="26">
        <f t="shared" ca="1" si="8"/>
        <v>0</v>
      </c>
      <c r="H21" s="26" cm="1">
        <f t="array" aca="1" ref="H21" ca="1">INDIRECT("Investition_gewählt!"&amp;$I$6&amp;AA21)</f>
        <v>3500</v>
      </c>
      <c r="I21" s="25" cm="1">
        <f t="array" aca="1" ref="I21" ca="1">IF($C$5=0,0,INDEX(Faktoren!E7:GQ7,1,VLOOKUP($F$6,$L$2:$O$14,4,FALSE)+$C$9*5+VLOOKUP(D21,Auswahllisten!$E$25:$F$29,2,FALSE)))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IF($U$5=0,0,INDEX(Faktoren!E7:GQ7,1,VLOOKUP($X$5,$L$2:$O$14,4,FALSE)+$U$9*5+VLOOKUP(O21,Auswahllisten!$E$25:$F$29,2,FALSE)))</f>
        <v>0</v>
      </c>
      <c r="R21" s="26">
        <f t="shared" ca="1" si="12"/>
        <v>0</v>
      </c>
      <c r="S21" s="26" cm="1">
        <f t="array" aca="1" ref="S21" ca="1">INDIRECT("Investition_gewählt!"&amp;$AA$6&amp;AA21)</f>
        <v>3500</v>
      </c>
      <c r="T21" s="16" cm="1">
        <f t="array" aca="1" ref="T21" ca="1">IF($U$5=0,0,INDEX(Faktoren!E7:QG7,1,VLOOKUP($X$6,$L$3:$O$14,4,FALSE)+$U$9*5+VLOOKUP(O21,Auswahllisten!$E$25:$F$29,2,FALSE)))</f>
        <v>0</v>
      </c>
      <c r="U21" s="26">
        <f t="shared" ca="1" si="13"/>
        <v>0</v>
      </c>
      <c r="V21" s="26">
        <f t="shared" ca="1" si="14"/>
        <v>0</v>
      </c>
      <c r="W21" s="16" t="b">
        <f t="shared" ca="1" si="15"/>
        <v>0</v>
      </c>
      <c r="X21" s="26">
        <f t="shared" ca="1" si="16"/>
        <v>0</v>
      </c>
      <c r="Z21" s="1">
        <v>42</v>
      </c>
      <c r="AA21" s="1">
        <v>7</v>
      </c>
      <c r="AB21" s="1">
        <v>-2</v>
      </c>
      <c r="AC21" s="35"/>
      <c r="AD21" s="82" t="s">
        <v>1244</v>
      </c>
      <c r="AE21" s="64" t="s">
        <v>1245</v>
      </c>
      <c r="AF21" s="26">
        <f ca="1">SUMIF(Variante_A!$A$19:$A$157,AD21,Variante_A!$M$19:$M$157)</f>
        <v>0</v>
      </c>
      <c r="AG21" s="162"/>
      <c r="AH21" s="26">
        <f t="shared" ca="1" si="6"/>
        <v>0</v>
      </c>
      <c r="AI21" s="26">
        <f ca="1">SUMIF(Variante_A!$A$19:$A$157,AD21,Variante_A!$X$19:$X$157)</f>
        <v>0</v>
      </c>
      <c r="AJ21" s="26"/>
      <c r="AK21" s="26">
        <f t="shared" ca="1" si="7"/>
        <v>0</v>
      </c>
      <c r="AL21" s="69"/>
      <c r="AO21" s="7"/>
      <c r="BY21" s="69"/>
      <c r="BZ21" s="69"/>
    </row>
    <row r="22" spans="1:78">
      <c r="A22" s="305" t="s">
        <v>1215</v>
      </c>
      <c r="B22" s="126" t="s">
        <v>303</v>
      </c>
      <c r="C22" s="126" t="s">
        <v>966</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IF($C$5=0,0,INDEX(Faktoren!E8:GQ8,1,VLOOKUP($F$5,$L$2:$O$14,4,FALSE)+$C$9*5+VLOOKUP(D22,Auswahllisten!$E$25:$F$29,2,FALSE)))</f>
        <v>0</v>
      </c>
      <c r="G22" s="26">
        <f t="shared" ca="1" si="8"/>
        <v>0</v>
      </c>
      <c r="H22" s="26" cm="1">
        <f t="array" aca="1" ref="H22" ca="1">INDIRECT("Investition_gewählt!"&amp;$I$6&amp;AA22)</f>
        <v>8500</v>
      </c>
      <c r="I22" s="25" cm="1">
        <f t="array" aca="1" ref="I22" ca="1">IF($C$5=0,0,INDEX(Faktoren!E8:GQ8,1,VLOOKUP($F$6,$L$2:$O$14,4,FALSE)+$C$9*5+VLOOKUP(D22,Auswahllisten!$E$25:$F$29,2,FALSE)))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IF($U$5=0,0,INDEX(Faktoren!E8:GQ8,1,VLOOKUP($X$5,$L$2:$O$14,4,FALSE)+$U$9*5+VLOOKUP(O22,Auswahllisten!$E$25:$F$29,2,FALSE)))</f>
        <v>0</v>
      </c>
      <c r="R22" s="26">
        <f t="shared" ca="1" si="12"/>
        <v>0</v>
      </c>
      <c r="S22" s="26" cm="1">
        <f t="array" aca="1" ref="S22" ca="1">INDIRECT("Investition_gewählt!"&amp;$AA$6&amp;AA22)</f>
        <v>8500</v>
      </c>
      <c r="T22" s="16" cm="1">
        <f t="array" aca="1" ref="T22" ca="1">IF($U$5=0,0,INDEX(Faktoren!E8:QG8,1,VLOOKUP($X$6,$L$3:$O$14,4,FALSE)+$U$9*5+VLOOKUP(O22,Auswahllisten!$E$25:$F$29,2,FALSE)))</f>
        <v>0</v>
      </c>
      <c r="U22" s="26">
        <f t="shared" ca="1" si="13"/>
        <v>0</v>
      </c>
      <c r="V22" s="26">
        <f t="shared" ca="1" si="14"/>
        <v>0</v>
      </c>
      <c r="W22" s="16" t="b">
        <f t="shared" ca="1" si="15"/>
        <v>0</v>
      </c>
      <c r="X22" s="26">
        <f t="shared" ca="1" si="16"/>
        <v>0</v>
      </c>
      <c r="Z22" s="1">
        <v>47</v>
      </c>
      <c r="AA22" s="1">
        <v>8</v>
      </c>
      <c r="AB22" s="1">
        <v>-2</v>
      </c>
      <c r="AC22" s="35"/>
      <c r="AD22" s="82" t="s">
        <v>1228</v>
      </c>
      <c r="AE22" s="64" t="s">
        <v>1013</v>
      </c>
      <c r="AF22" s="26">
        <f ca="1">SUMIF(Variante_A!$A$19:$A$157,AD22,Variante_A!$M$19:$M$157)</f>
        <v>0</v>
      </c>
      <c r="AG22" s="162"/>
      <c r="AH22" s="26">
        <f t="shared" ca="1" si="6"/>
        <v>0</v>
      </c>
      <c r="AI22" s="26">
        <f>SUMIF(Variante_A!$A$19:$A$157,AD22,Variante_A!$X$19:$X$157)</f>
        <v>0</v>
      </c>
      <c r="AJ22" s="26"/>
      <c r="AK22" s="26">
        <f t="shared" si="7"/>
        <v>0</v>
      </c>
      <c r="AL22" s="69"/>
      <c r="AO22" s="7" t="s">
        <v>1078</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06" t="s">
        <v>1256</v>
      </c>
      <c r="B23" s="297" t="s">
        <v>303</v>
      </c>
      <c r="C23" s="134" t="s">
        <v>186</v>
      </c>
      <c r="D23" s="163" t="str" cm="1">
        <f t="array" aca="1" ref="D23" ca="1">INDIRECT("Vergleich!"&amp;$G$2&amp;Z23)</f>
        <v>mittel</v>
      </c>
      <c r="E23" s="163" cm="1">
        <f t="array" aca="1" ref="E23" ca="1">INDIRECT("Investition_gewählt!"&amp;$I$5&amp;AA23)</f>
        <v>4000</v>
      </c>
      <c r="F23" s="61" cm="1">
        <f t="array" aca="1" ref="F23" ca="1">IF($C$5=0,0,INDEX(Faktoren!E9:GQ9,1,VLOOKUP($F$5,$L$2:$O$14,4,FALSE)+$C$9*5+VLOOKUP(D23,Auswahllisten!$E$25:$F$29,2,FALSE)))</f>
        <v>0</v>
      </c>
      <c r="G23" s="296">
        <f t="shared" ca="1" si="8"/>
        <v>0</v>
      </c>
      <c r="H23" s="296" cm="1">
        <f t="array" aca="1" ref="H23" ca="1">INDIRECT("Investition_gewählt!"&amp;$I$6&amp;AA23)</f>
        <v>4000</v>
      </c>
      <c r="I23" s="61" cm="1">
        <f t="array" aca="1" ref="I23" ca="1">IF($C$5=0,0,INDEX(Faktoren!E9:GQ9,1,VLOOKUP($F$6,$L$2:$O$14,4,FALSE)+$C$9*5+VLOOKUP(D23,Auswahllisten!$E$25:$F$29,2,FALSE)))</f>
        <v>0</v>
      </c>
      <c r="J23" s="163">
        <f t="shared" ca="1" si="9"/>
        <v>0</v>
      </c>
      <c r="K23" s="163">
        <f t="shared" ca="1" si="10"/>
        <v>0</v>
      </c>
      <c r="L23" s="93" t="b">
        <f ca="1">($C$5=$L$18)</f>
        <v>0</v>
      </c>
      <c r="M23" s="163">
        <f t="shared" ca="1" si="11"/>
        <v>0</v>
      </c>
      <c r="O23" s="93" t="str" cm="1">
        <f t="array" aca="1" ref="O23" ca="1">INDIRECT("Vergleich!"&amp;$Y$2&amp;Z23)</f>
        <v>gering</v>
      </c>
      <c r="P23" s="163" cm="1">
        <f t="array" aca="1" ref="P23" ca="1">INDIRECT("Investition_gewählt!"&amp;$AA$5&amp;AA23)</f>
        <v>4000</v>
      </c>
      <c r="Q23" s="93" cm="1">
        <f t="array" aca="1" ref="Q23" ca="1">IF($U$5=0,0,INDEX(Faktoren!E9:GQ9,1,VLOOKUP($X$5,$L$2:$O$14,4,FALSE)+$U$9*5+VLOOKUP(O23,Auswahllisten!$E$25:$F$29,2,FALSE)))</f>
        <v>0</v>
      </c>
      <c r="R23" s="163">
        <f t="shared" ca="1" si="12"/>
        <v>0</v>
      </c>
      <c r="S23" s="163" cm="1">
        <f t="array" aca="1" ref="S23" ca="1">INDIRECT("Investition_gewählt!"&amp;$AA$6&amp;AA23)</f>
        <v>4000</v>
      </c>
      <c r="T23" s="93" cm="1">
        <f t="array" aca="1" ref="T23" ca="1">IF($U$5=0,0,INDEX(Faktoren!E9:QG9,1,VLOOKUP($X$6,$L$3:$O$14,4,FALSE)+$U$9*5+VLOOKUP(O23,Auswahllisten!$E$25:$F$29,2,FALSE)))</f>
        <v>0</v>
      </c>
      <c r="U23" s="163">
        <f t="shared" ca="1" si="13"/>
        <v>0</v>
      </c>
      <c r="V23" s="163">
        <f t="shared" ca="1" si="14"/>
        <v>0</v>
      </c>
      <c r="W23" s="93" t="b">
        <f t="shared" ca="1" si="15"/>
        <v>0</v>
      </c>
      <c r="X23" s="163">
        <f t="shared" ca="1" si="16"/>
        <v>0</v>
      </c>
      <c r="Z23" s="1">
        <v>48</v>
      </c>
      <c r="AA23" s="1">
        <v>9</v>
      </c>
      <c r="AB23" s="1">
        <v>-2</v>
      </c>
      <c r="AC23" s="35"/>
      <c r="AD23" s="82" t="s">
        <v>1217</v>
      </c>
      <c r="AE23" s="64" t="s">
        <v>1242</v>
      </c>
      <c r="AF23" s="26">
        <f ca="1">SUMIF(Variante_A!$A$19:$A$157,AD23,Variante_A!$M$19:$M$157)</f>
        <v>0</v>
      </c>
      <c r="AG23" s="162"/>
      <c r="AH23" s="26">
        <f t="shared" ca="1" si="6"/>
        <v>0</v>
      </c>
      <c r="AI23" s="26">
        <f ca="1">SUMIF(Variante_A!$A$19:$A$157,AD23,Variante_A!$X$19:$X$157)</f>
        <v>0</v>
      </c>
      <c r="AJ23" s="26"/>
      <c r="AK23" s="26">
        <f t="shared" ca="1" si="7"/>
        <v>0</v>
      </c>
      <c r="AL23" s="69"/>
    </row>
    <row r="24" spans="1:78">
      <c r="D24" s="69"/>
      <c r="E24" s="69"/>
      <c r="G24" s="69"/>
      <c r="H24" s="69"/>
      <c r="M24" s="69"/>
      <c r="P24" s="69"/>
      <c r="R24" s="69"/>
      <c r="S24" s="69"/>
      <c r="U24" s="69"/>
      <c r="V24" s="69"/>
      <c r="X24" s="69"/>
      <c r="AA24" s="1">
        <v>10</v>
      </c>
      <c r="AB24" s="1">
        <v>-2</v>
      </c>
      <c r="AC24" s="35"/>
      <c r="AD24" s="82" t="s">
        <v>1215</v>
      </c>
      <c r="AE24" s="64" t="s">
        <v>303</v>
      </c>
      <c r="AF24" s="26">
        <f ca="1">SUMIF(Variante_A!$A$19:$A$157,AD24,Variante_A!$M$19:$M$157)</f>
        <v>0</v>
      </c>
      <c r="AG24" s="162">
        <f ca="1">IF($C$5=0,0,E109)</f>
        <v>0</v>
      </c>
      <c r="AH24" s="26">
        <f t="shared" ca="1" si="6"/>
        <v>0</v>
      </c>
      <c r="AI24" s="26">
        <f ca="1">SUMIF(Variante_A!$A$19:$A$157,AD24,Variante_A!$X$19:$X$157)</f>
        <v>0</v>
      </c>
      <c r="AJ24" s="26">
        <f ca="1">IF($U$5=0,0,Variante_A!P109)</f>
        <v>0</v>
      </c>
      <c r="AK24" s="26">
        <f t="shared" ca="1" si="7"/>
        <v>0</v>
      </c>
      <c r="AL24" s="69"/>
      <c r="AN24" s="164" t="s">
        <v>271</v>
      </c>
      <c r="AO24" s="164" t="s">
        <v>348</v>
      </c>
      <c r="AP24" s="164"/>
      <c r="AQ24" s="164"/>
      <c r="AR24" s="164"/>
      <c r="AS24" s="164"/>
      <c r="AT24" s="164"/>
      <c r="AU24" s="164"/>
      <c r="AV24" s="164"/>
      <c r="AW24" s="164"/>
      <c r="AX24" s="164"/>
      <c r="AY24" s="164"/>
      <c r="AZ24" s="164"/>
      <c r="BA24" s="164"/>
      <c r="BB24" s="164"/>
      <c r="BC24" s="164"/>
      <c r="BD24" s="164"/>
      <c r="BE24" s="164"/>
      <c r="BF24" s="164"/>
      <c r="BG24" s="164"/>
      <c r="BI24" s="164"/>
      <c r="BJ24" s="164"/>
      <c r="BK24" s="164"/>
      <c r="BL24" s="164"/>
      <c r="BM24" s="164"/>
      <c r="BN24" s="164"/>
      <c r="BO24" s="164"/>
      <c r="BP24" s="164"/>
      <c r="BQ24" s="164"/>
      <c r="BR24" s="164"/>
      <c r="BS24" s="164"/>
      <c r="BT24" s="164"/>
      <c r="BU24" s="164"/>
      <c r="BV24" s="164"/>
      <c r="BW24" s="164"/>
      <c r="BX24" s="164"/>
      <c r="BY24" s="164"/>
      <c r="BZ24" s="164"/>
    </row>
    <row r="25" spans="1:78">
      <c r="A25" s="125" t="s">
        <v>990</v>
      </c>
      <c r="B25" s="125" t="s">
        <v>14</v>
      </c>
      <c r="C25" s="64"/>
      <c r="D25" s="69"/>
      <c r="E25" s="69"/>
      <c r="G25" s="69"/>
      <c r="H25" s="69"/>
      <c r="L25" s="155">
        <v>2</v>
      </c>
      <c r="M25" s="69"/>
      <c r="P25" s="69"/>
      <c r="R25" s="69"/>
      <c r="S25" s="69"/>
      <c r="U25" s="69"/>
      <c r="V25" s="69"/>
      <c r="X25" s="69"/>
      <c r="AA25" s="1">
        <v>11</v>
      </c>
      <c r="AB25" s="1">
        <v>-2</v>
      </c>
      <c r="AC25" s="35"/>
      <c r="AD25" s="82" t="s">
        <v>1254</v>
      </c>
      <c r="AE25" s="64" t="s">
        <v>1257</v>
      </c>
      <c r="AF25" s="26">
        <f ca="1">SUMIF(Variante_A!$A$19:$A$157,AD25,Variante_A!$M$19:$M$157)</f>
        <v>0</v>
      </c>
      <c r="AG25" s="162">
        <f ca="1">IF($C$5=0,0,E143)</f>
        <v>0</v>
      </c>
      <c r="AH25" s="26">
        <f t="shared" ca="1" si="6"/>
        <v>0</v>
      </c>
      <c r="AI25" s="26">
        <f>SUMIF(Variante_A!$A$19:$A$157,AD25,Variante_A!$X$19:$X$157)</f>
        <v>0</v>
      </c>
      <c r="AJ25" s="26"/>
      <c r="AK25" s="26">
        <f t="shared" si="7"/>
        <v>0</v>
      </c>
      <c r="AL25" s="69"/>
      <c r="AN25" s="55">
        <v>0</v>
      </c>
      <c r="AO25" s="55"/>
      <c r="AP25" s="165">
        <f ca="1">-(AF35+AH35)</f>
        <v>0</v>
      </c>
      <c r="AQ25" s="165">
        <f ca="1">-(AF36+AH36)</f>
        <v>0</v>
      </c>
      <c r="AR25" s="165">
        <f ca="1">-(AF37+AH37)</f>
        <v>0</v>
      </c>
      <c r="AS25" s="165">
        <f ca="1">-(AF38+AH38)</f>
        <v>0</v>
      </c>
      <c r="AT25" s="165">
        <f ca="1">-(AF39+AH39)</f>
        <v>0</v>
      </c>
      <c r="AU25" s="165">
        <f ca="1">-(AF40+AH40)</f>
        <v>0</v>
      </c>
      <c r="AV25" s="165">
        <f ca="1">-(AF41+AH41)</f>
        <v>0</v>
      </c>
      <c r="AW25" s="165"/>
      <c r="AX25" s="165">
        <f ca="1">-(SUM(M163:M214)*(1+E158))</f>
        <v>0</v>
      </c>
      <c r="AY25" s="165"/>
      <c r="AZ25" s="165" cm="1">
        <f t="array" aca="1" ref="AZ25" ca="1">-(INDIRECT("Energie!"&amp;$G$10&amp;AZ14)*(1+$E$158))</f>
        <v>0</v>
      </c>
      <c r="BA25" s="165" cm="1">
        <f t="array" aca="1" ref="BA25" ca="1">-(INDIRECT("Energie!"&amp;$G$10&amp;BA14)*(1+$E$158))</f>
        <v>0</v>
      </c>
      <c r="BB25" s="165" cm="1">
        <f t="array" aca="1" ref="BB25" ca="1">-(INDIRECT("Energie!"&amp;$G$10&amp;BB14)*(1+$E$158))</f>
        <v>0</v>
      </c>
      <c r="BC25" s="165" cm="1">
        <f t="array" aca="1" ref="BC25" ca="1">-(INDIRECT("Energie!"&amp;$G$10&amp;BC14)*(1+$E$158))</f>
        <v>0</v>
      </c>
      <c r="BD25" s="165"/>
      <c r="BE25" s="165" cm="1">
        <f t="array" aca="1" ref="BE25" ca="1">(INDIRECT("Energie!"&amp;G10&amp;BE14)+INDIRECT("Energie!"&amp;G10&amp;BE14+1))</f>
        <v>0</v>
      </c>
      <c r="BF25" s="165"/>
      <c r="BG25" s="165">
        <f ca="1">SUM(AP25:AV25)</f>
        <v>0</v>
      </c>
      <c r="BI25" s="165">
        <f ca="1">-(AI35+AK35)</f>
        <v>0</v>
      </c>
      <c r="BJ25" s="165">
        <f ca="1">-(AI36+AK36)</f>
        <v>0</v>
      </c>
      <c r="BK25" s="165">
        <f>-(AI37+AK37)</f>
        <v>0</v>
      </c>
      <c r="BL25" s="165">
        <f ca="1">-(AI38+AK38)</f>
        <v>0</v>
      </c>
      <c r="BM25" s="165">
        <f>-(AI39+AK39)</f>
        <v>0</v>
      </c>
      <c r="BN25" s="165">
        <f>-(AI40+AK40)</f>
        <v>0</v>
      </c>
      <c r="BO25" s="165">
        <f>-(AI41+AK41)</f>
        <v>0</v>
      </c>
      <c r="BP25" s="165"/>
      <c r="BQ25" s="165">
        <f ca="1">-(SUM(X163:X214)*(1+E158))</f>
        <v>0</v>
      </c>
      <c r="BR25" s="165"/>
      <c r="BS25" s="165" cm="1">
        <f t="array" aca="1" ref="BS25" ca="1">-(INDIRECT("Energie!"&amp;$Y$10&amp;BS14)*(1+$E$158))</f>
        <v>0</v>
      </c>
      <c r="BT25" s="165" cm="1">
        <f t="array" aca="1" ref="BT25" ca="1">-(INDIRECT("Energie!"&amp;$Y$10&amp;BT14)*(1+$E$158))</f>
        <v>0</v>
      </c>
      <c r="BU25" s="165" cm="1">
        <f t="array" aca="1" ref="BU25" ca="1">-(INDIRECT("Energie!"&amp;$Y$10&amp;BU14)*(1+$E$158))</f>
        <v>0</v>
      </c>
      <c r="BV25" s="165" cm="1">
        <f t="array" aca="1" ref="BV25" ca="1">-(INDIRECT("Energie!"&amp;$Y$10&amp;BV14)*(1+$E$158))</f>
        <v>0</v>
      </c>
      <c r="BW25" s="165"/>
      <c r="BX25" s="165" cm="1">
        <f t="array" aca="1" ref="BX25" ca="1">(INDIRECT("Energie!"&amp;Y10&amp;BX14)+INDIRECT("Energie!"&amp;Y10&amp;BX14+1))</f>
        <v>0</v>
      </c>
      <c r="BZ25" s="69">
        <f ca="1">SUM(BI25:BO25)</f>
        <v>0</v>
      </c>
    </row>
    <row r="26" spans="1:78">
      <c r="A26" s="304" t="s">
        <v>1217</v>
      </c>
      <c r="B26" s="131" t="s">
        <v>1242</v>
      </c>
      <c r="C26" s="131" t="s">
        <v>206</v>
      </c>
      <c r="D26" s="162" t="str" cm="1">
        <f t="array" aca="1" ref="D26" ca="1">INDIRECT("Vergleich!"&amp;$G$2&amp;Z26)</f>
        <v>mittel</v>
      </c>
      <c r="E26" s="162" cm="1">
        <f t="array" aca="1" ref="E26" ca="1">INDIRECT("Investition_gewählt!"&amp;$I$5&amp;AA26)</f>
        <v>4000</v>
      </c>
      <c r="F26" s="25" cm="1">
        <f t="array" aca="1" ref="F26" ca="1">IF($C$5=0,0,INDEX(Faktoren!E12:GQ12,1,VLOOKUP($F$5,$L$2:$O$14,4,FALSE)+$C$9*5+VLOOKUP(D26,Auswahllisten!$E$25:$F$29,2,FALSE)))</f>
        <v>0</v>
      </c>
      <c r="G26" s="162">
        <f ca="1">E26*F26</f>
        <v>0</v>
      </c>
      <c r="H26" s="162" cm="1">
        <f t="array" aca="1" ref="H26" ca="1">INDIRECT("Investition_gewählt!"&amp;$I$6&amp;AA26)</f>
        <v>4000</v>
      </c>
      <c r="I26" s="25" cm="1">
        <f t="array" aca="1" ref="I26" ca="1">IF($C$5=0,0,INDEX(Faktoren!E12:GQ12,1,VLOOKUP($F$6,$L$2:$O$14,4,FALSE)+$C$9*5+VLOOKUP(D26,Auswahllisten!$E$25:$F$29,2,FALSE)))</f>
        <v>0</v>
      </c>
      <c r="J26" s="162">
        <f ca="1">H26*I26</f>
        <v>0</v>
      </c>
      <c r="K26" s="162">
        <f t="shared" ca="1" si="10"/>
        <v>0</v>
      </c>
      <c r="L26" s="25" t="b">
        <f ca="1">($C$5=$L$25)</f>
        <v>0</v>
      </c>
      <c r="M26" s="162">
        <f t="shared" ca="1" si="11"/>
        <v>0</v>
      </c>
      <c r="O26" s="25" t="str" cm="1">
        <f t="array" aca="1" ref="O26" ca="1">INDIRECT("Vergleich!"&amp;$Y$2&amp;Z26)</f>
        <v>gering</v>
      </c>
      <c r="P26" s="162" cm="1">
        <f t="array" aca="1" ref="P26" ca="1">INDIRECT("Investition_gewählt!"&amp;$AA$5&amp;AA26)</f>
        <v>4000</v>
      </c>
      <c r="Q26" s="25" cm="1">
        <f t="array" aca="1" ref="Q26" ca="1">IF($U$5=0,0,INDEX(Faktoren!E12:GQ12,1,VLOOKUP($X$5,$L$2:$O$14,4,FALSE)+$U$9*5+VLOOKUP(O26,Auswahllisten!$E$25:$F$29,2,FALSE)))</f>
        <v>0</v>
      </c>
      <c r="R26" s="162">
        <f t="shared" ca="1" si="12"/>
        <v>0</v>
      </c>
      <c r="S26" s="162" cm="1">
        <f t="array" aca="1" ref="S26" ca="1">INDIRECT("Investition_gewählt!"&amp;$AA$6&amp;AA26)</f>
        <v>4000</v>
      </c>
      <c r="T26" s="25" cm="1">
        <f t="array" aca="1" ref="T26" ca="1">IF($U$5=0,0,INDEX(Faktoren!E12:QG12,1,VLOOKUP($X$6,$L$3:$O$14,4,FALSE)+$U$9*5+VLOOKUP(O26,Auswahllisten!$E$25:$F$29,2,FALSE)))</f>
        <v>0</v>
      </c>
      <c r="U26" s="162">
        <f t="shared" ca="1" si="13"/>
        <v>0</v>
      </c>
      <c r="V26" s="162">
        <f t="shared" ca="1" si="14"/>
        <v>0</v>
      </c>
      <c r="W26" s="25" t="b">
        <f ca="1">($U$5=$L$25)</f>
        <v>0</v>
      </c>
      <c r="X26" s="162">
        <f t="shared" ca="1" si="16"/>
        <v>0</v>
      </c>
      <c r="Z26" s="1">
        <v>38</v>
      </c>
      <c r="AA26" s="1">
        <v>12</v>
      </c>
      <c r="AB26" s="1">
        <v>-2</v>
      </c>
      <c r="AC26" s="35"/>
      <c r="AD26" s="82" t="s">
        <v>1256</v>
      </c>
      <c r="AE26" s="64" t="s">
        <v>186</v>
      </c>
      <c r="AF26" s="26">
        <f ca="1">SUMIF(Variante_A!$A$19:$A$157,AD26,Variante_A!$M$19:$M$157)</f>
        <v>0</v>
      </c>
      <c r="AG26" s="162"/>
      <c r="AH26" s="26">
        <f t="shared" ca="1" si="6"/>
        <v>0</v>
      </c>
      <c r="AI26" s="26">
        <f ca="1">SUMIF(Variante_A!$A$19:$A$157,AD26,Variante_A!$X$19:$X$157)</f>
        <v>0</v>
      </c>
      <c r="AJ26" s="26"/>
      <c r="AK26" s="26">
        <f t="shared" ca="1" si="7"/>
        <v>0</v>
      </c>
      <c r="AL26" s="315"/>
      <c r="AN26" s="1">
        <v>1</v>
      </c>
      <c r="AO26" s="1">
        <f t="shared" ref="AO26:AO57" si="19">IF($AS$3&lt;AN26,0,1)</f>
        <v>1</v>
      </c>
      <c r="AP26" s="69">
        <f t="shared" ref="AP26:AV35" ca="1" si="20">IFERROR($AO26*IF(MOD($AN26,AP$20)=0,AP$25,0)*(1+$AS$10)^$AN26*IF($AS$3=$AN26,0,1),0)</f>
        <v>0</v>
      </c>
      <c r="AQ26" s="69">
        <f t="shared" ca="1" si="20"/>
        <v>0</v>
      </c>
      <c r="AR26" s="69">
        <f t="shared" si="20"/>
        <v>0</v>
      </c>
      <c r="AS26" s="69">
        <f t="shared" ca="1" si="20"/>
        <v>0</v>
      </c>
      <c r="AT26" s="69">
        <f t="shared" ca="1" si="20"/>
        <v>0</v>
      </c>
      <c r="AU26" s="69">
        <f t="shared" ca="1" si="20"/>
        <v>0</v>
      </c>
      <c r="AV26" s="69">
        <f t="shared" si="20"/>
        <v>0</v>
      </c>
      <c r="AW26" s="69">
        <f ca="1">SUM(AP26:AV26)/(1+$AS$11)^AN26</f>
        <v>0</v>
      </c>
      <c r="AX26" s="69">
        <f ca="1">$AO26*AX$25*(1+$AS$9)^$AN26</f>
        <v>0</v>
      </c>
      <c r="AY26" s="69">
        <f ca="1">SUM(AX26)/(1+$AS$11)^AN26</f>
        <v>0</v>
      </c>
      <c r="AZ26" s="69">
        <f ca="1">$AO26*IF(Auswahllisten!$G$150,AZ$25+AZ$25*AZ$13*$AN26,AZ$25*(1+AZ$13)^$AN26)</f>
        <v>0</v>
      </c>
      <c r="BA26" s="69">
        <f ca="1">$AO26*IF(Auswahllisten!$G$150,BA$25+BA$25*BA$13*$AN26,BA$25*(1+BA$13)^$AN26)</f>
        <v>0</v>
      </c>
      <c r="BB26" s="69">
        <f ca="1">$AO26*IF(Auswahllisten!$G$150,BB$25+BB$25*BB$13*$AN26,BB$25*(1+BB$13)^$AN26)</f>
        <v>0</v>
      </c>
      <c r="BC26" s="69">
        <f ca="1">$AO26*IF(Auswahllisten!$G$150,BC$25+BC$25*BC$13*$AN26,BC$25*(1+BC$13)^$AN26)</f>
        <v>0</v>
      </c>
      <c r="BD26" s="69">
        <f ca="1">SUM(AZ26:BC26)/(1+$AS$11)^AN26</f>
        <v>0</v>
      </c>
      <c r="BE26" s="69">
        <f ca="1">AO26*$BE$25*(1+$AS$8)^AN26</f>
        <v>0</v>
      </c>
      <c r="BF26" s="69">
        <f ca="1">BE26/(1+$AS$11)^AN26</f>
        <v>0</v>
      </c>
      <c r="BG26" s="69">
        <f ca="1">BG25+AW26+AY26+BD26+BF26+IF(AN26=$AS$3,$BF$22,0)</f>
        <v>0</v>
      </c>
      <c r="BI26" s="69">
        <f t="shared" ref="BI26:BO26" ca="1" si="21">IFERROR($AO26*IF(MOD($AN26,BI$20)=0,BI$25,0)*(1+$AS$10)^$AN26*IF($AS$3=$AN26,0,1),0)</f>
        <v>0</v>
      </c>
      <c r="BJ26" s="69">
        <f t="shared" ca="1" si="21"/>
        <v>0</v>
      </c>
      <c r="BK26" s="69">
        <f t="shared" si="21"/>
        <v>0</v>
      </c>
      <c r="BL26" s="69">
        <f t="shared" ca="1" si="21"/>
        <v>0</v>
      </c>
      <c r="BM26" s="69">
        <f t="shared" ca="1" si="21"/>
        <v>0</v>
      </c>
      <c r="BN26" s="69">
        <f t="shared" ca="1" si="21"/>
        <v>0</v>
      </c>
      <c r="BO26" s="69">
        <f t="shared" si="21"/>
        <v>0</v>
      </c>
      <c r="BP26" s="69">
        <f t="shared" ref="BP26:BP57" ca="1" si="22">SUM(BI26:BO26)/(1+$AS$11)^AN26</f>
        <v>0</v>
      </c>
      <c r="BQ26" s="69">
        <f ca="1">$AO26*BQ$25*(1+$AS$9)^$AN26</f>
        <v>0</v>
      </c>
      <c r="BR26" s="69">
        <f t="shared" ref="BR26:BR57" ca="1" si="23">SUM(BQ26)/(1+$AS$11)^AN26</f>
        <v>0</v>
      </c>
      <c r="BS26" s="69">
        <f ca="1">$AO26*IF(Auswahllisten!$G$150,BS$25+BS$25*BS$13*$AN26,BS$25*(1+BS$13)^$AN26)</f>
        <v>0</v>
      </c>
      <c r="BT26" s="69">
        <f ca="1">$AO26*IF(Auswahllisten!$G$150,BT$25+BT$25*BT$13*$AN26,BT$25*(1+BT$13)^$AN26)</f>
        <v>0</v>
      </c>
      <c r="BU26" s="69">
        <f ca="1">$AO26*IF(Auswahllisten!$G$150,BU$25+BU$25*BU$13*$AN26,BU$25*(1+BU$13)^$AN26)</f>
        <v>0</v>
      </c>
      <c r="BV26" s="69">
        <f ca="1">$AO26*IF(Auswahllisten!$G$150,BV$25+BV$25*BV$13*$AN26,BV$25*(1+BV$13)^$AN26)</f>
        <v>0</v>
      </c>
      <c r="BW26" s="69">
        <f ca="1">SUM(BS26:BV26)/(1+$AS$11)^AN26</f>
        <v>0</v>
      </c>
      <c r="BX26" s="69">
        <f ca="1">AO26*$BX$25*(1+$AS$8)^AN26</f>
        <v>0</v>
      </c>
      <c r="BY26" s="224">
        <f t="shared" ref="BY26:BY57" ca="1" si="24">BX26/(1+$AS$11)^AN26</f>
        <v>0</v>
      </c>
      <c r="BZ26" s="224">
        <f t="shared" ref="BZ26:BZ57" ca="1" si="25">BZ25+BP26+BR26+BW26+BY26+IF(AN26=$AS$3,$BY$22,0)</f>
        <v>0</v>
      </c>
    </row>
    <row r="27" spans="1:78">
      <c r="A27" s="305" t="s">
        <v>1215</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IF($C$5=0,0,INDEX(Faktoren!E13:GQ13,1,VLOOKUP($F$5,$L$2:$O$14,4,FALSE)+$C$9*5+VLOOKUP(D27,Auswahllisten!$E$25:$F$29,2,FALSE)))</f>
        <v>0</v>
      </c>
      <c r="G27" s="26">
        <f t="shared" ref="G27:G30" ca="1" si="26">E27*F27</f>
        <v>0</v>
      </c>
      <c r="H27" s="26" cm="1">
        <f t="array" aca="1" ref="H27" ca="1">INDIRECT("Investition_gewählt!"&amp;$I$6&amp;AA27)</f>
        <v>5100</v>
      </c>
      <c r="I27" s="25" cm="1">
        <f t="array" aca="1" ref="I27" ca="1">IF($C$5=0,0,INDEX(Faktoren!E13:GQ13,1,VLOOKUP($F$6,$L$2:$O$14,4,FALSE)+$C$9*5+VLOOKUP(D27,Auswahllisten!$E$25:$F$29,2,FALSE)))</f>
        <v>0</v>
      </c>
      <c r="J27" s="26">
        <f t="shared" ref="J27:J30" ca="1" si="27">H27*I27</f>
        <v>0</v>
      </c>
      <c r="K27" s="26">
        <f t="shared" ca="1" si="10"/>
        <v>0</v>
      </c>
      <c r="L27" s="16" t="b">
        <f ca="1">($C$5=$L$25)</f>
        <v>0</v>
      </c>
      <c r="M27" s="26">
        <f t="shared" ca="1" si="11"/>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IF($U$5=0,0,INDEX(Faktoren!E13:GQ13,1,VLOOKUP($X$5,$L$2:$O$14,4,FALSE)+$U$9*5+VLOOKUP(O27,Auswahllisten!$E$25:$F$29,2,FALSE)))</f>
        <v>0</v>
      </c>
      <c r="R27" s="26">
        <f t="shared" ca="1" si="12"/>
        <v>0</v>
      </c>
      <c r="S27" s="26" cm="1">
        <f t="array" aca="1" ref="S27" ca="1">INDIRECT("Investition_gewählt!"&amp;$AA$6&amp;AA27)</f>
        <v>5100</v>
      </c>
      <c r="T27" s="16" cm="1">
        <f t="array" aca="1" ref="T27" ca="1">IF($U$5=0,0,INDEX(Faktoren!E13:QG13,1,VLOOKUP($X$6,$L$3:$O$14,4,FALSE)+$U$9*5+VLOOKUP(O27,Auswahllisten!$E$25:$F$29,2,FALSE)))</f>
        <v>0</v>
      </c>
      <c r="U27" s="26">
        <f t="shared" ca="1" si="13"/>
        <v>0</v>
      </c>
      <c r="V27" s="26">
        <f t="shared" ca="1" si="14"/>
        <v>0</v>
      </c>
      <c r="W27" s="25" t="b">
        <f t="shared" ref="W27:W30" ca="1" si="28">($U$5=$L$25)</f>
        <v>0</v>
      </c>
      <c r="X27" s="26">
        <f t="shared" ca="1" si="16"/>
        <v>0</v>
      </c>
      <c r="Z27" s="1">
        <v>40</v>
      </c>
      <c r="AA27" s="1">
        <v>13</v>
      </c>
      <c r="AB27" s="1">
        <v>-2</v>
      </c>
      <c r="AC27" s="35"/>
      <c r="AD27" s="82" t="s">
        <v>1218</v>
      </c>
      <c r="AE27" s="64" t="s">
        <v>1243</v>
      </c>
      <c r="AF27" s="26">
        <f ca="1">SUMIF(Variante_A!$A$19:$A$157,AD27,Variante_A!$M$19:$M$157)</f>
        <v>0</v>
      </c>
      <c r="AG27" s="162"/>
      <c r="AH27" s="26">
        <f t="shared" ca="1" si="6"/>
        <v>0</v>
      </c>
      <c r="AI27" s="26">
        <f ca="1">SUMIF(Variante_A!$A$19:$A$157,AD27,Variante_A!$X$19:$X$157)</f>
        <v>0</v>
      </c>
      <c r="AJ27" s="26"/>
      <c r="AK27" s="26">
        <f t="shared" ca="1" si="7"/>
        <v>0</v>
      </c>
      <c r="AL27" s="69"/>
      <c r="AN27" s="1">
        <v>2</v>
      </c>
      <c r="AO27" s="1">
        <f t="shared" si="19"/>
        <v>1</v>
      </c>
      <c r="AP27" s="69">
        <f t="shared" ca="1" si="20"/>
        <v>0</v>
      </c>
      <c r="AQ27" s="69">
        <f t="shared" ca="1" si="20"/>
        <v>0</v>
      </c>
      <c r="AR27" s="69">
        <f t="shared" si="20"/>
        <v>0</v>
      </c>
      <c r="AS27" s="69">
        <f t="shared" ca="1" si="20"/>
        <v>0</v>
      </c>
      <c r="AT27" s="69">
        <f t="shared" ca="1" si="20"/>
        <v>0</v>
      </c>
      <c r="AU27" s="69">
        <f t="shared" ca="1" si="20"/>
        <v>0</v>
      </c>
      <c r="AV27" s="69">
        <f t="shared" si="20"/>
        <v>0</v>
      </c>
      <c r="AW27" s="69">
        <f t="shared" ref="AW27:AW90" ca="1" si="29">SUM(AP27:AV27)/(1+$AS$11)^AN27</f>
        <v>0</v>
      </c>
      <c r="AX27" s="69">
        <f t="shared" ref="AX27:AX90" ca="1" si="30">$AO27*AX$25*(1+$AS$9)^$AN27</f>
        <v>0</v>
      </c>
      <c r="AY27" s="69">
        <f t="shared" ref="AY27:AY90" ca="1" si="31">SUM(AX27)/(1+$AS$11)^AN27</f>
        <v>0</v>
      </c>
      <c r="AZ27" s="69">
        <f ca="1">$AO27*IF(Auswahllisten!$G$150,AZ$25+AZ$25*AZ$13*$AN27,AZ$25*(1+AZ$13)^$AN27)</f>
        <v>0</v>
      </c>
      <c r="BA27" s="69">
        <f ca="1">$AO27*IF(Auswahllisten!$G$150,BA$25+BA$25*BA$13*$AN27,BA$25*(1+BA$13)^$AN27)</f>
        <v>0</v>
      </c>
      <c r="BB27" s="69">
        <f ca="1">$AO27*IF(Auswahllisten!$G$150,BB$25+BB$25*BB$13*$AN27,BB$25*(1+BB$13)^$AN27)</f>
        <v>0</v>
      </c>
      <c r="BC27" s="69">
        <f ca="1">$AO27*IF(Auswahllisten!$G$150,BC$25+BC$25*BC$13*$AN27,BC$25*(1+BC$13)^$AN27)</f>
        <v>0</v>
      </c>
      <c r="BD27" s="69">
        <f t="shared" ref="BD27:BD90" ca="1" si="32">SUM(AZ27:BC27)/(1+$AS$11)^AN27</f>
        <v>0</v>
      </c>
      <c r="BE27" s="69">
        <f t="shared" ref="BE27:BE90" ca="1" si="33">AO27*$BE$25*(1+$AS$8)^AN27</f>
        <v>0</v>
      </c>
      <c r="BF27" s="69">
        <f t="shared" ref="BF27:BF90" ca="1" si="34">BE27/(1+$AS$11)^AN27</f>
        <v>0</v>
      </c>
      <c r="BG27" s="69">
        <f t="shared" ref="BG27:BG90" ca="1" si="35">BG26+AW27+AY27+BD27+BF27+IF(AN27=$AS$3,$BF$22,0)</f>
        <v>0</v>
      </c>
      <c r="BI27" s="69">
        <f t="shared" ref="BI27:BI90" ca="1" si="36">IFERROR($AO27*IF(MOD($AN27,BI$20)=0,BI$25,0)*(1+$AS$10)^$AN27*IF($AS$3=$AN27,0,1),0)</f>
        <v>0</v>
      </c>
      <c r="BJ27" s="69">
        <f t="shared" ref="BJ27:BO55" ca="1" si="37">IFERROR($AO27*IF(MOD($AN27,BJ$20)=0,BJ$25,0)*(1+$AS$10)^$AN27*IF($AS$3=$AN27,0,1),0)</f>
        <v>0</v>
      </c>
      <c r="BK27" s="69">
        <f t="shared" si="37"/>
        <v>0</v>
      </c>
      <c r="BL27" s="69">
        <f t="shared" ca="1" si="37"/>
        <v>0</v>
      </c>
      <c r="BM27" s="69">
        <f t="shared" ca="1" si="37"/>
        <v>0</v>
      </c>
      <c r="BN27" s="69">
        <f t="shared" ca="1" si="37"/>
        <v>0</v>
      </c>
      <c r="BO27" s="69">
        <f t="shared" si="37"/>
        <v>0</v>
      </c>
      <c r="BP27" s="69">
        <f t="shared" ca="1" si="22"/>
        <v>0</v>
      </c>
      <c r="BQ27" s="69">
        <f t="shared" ref="BQ27:BQ90" ca="1" si="38">$AO27*BQ$25*(1+$AS$9)^$AN27</f>
        <v>0</v>
      </c>
      <c r="BR27" s="69">
        <f t="shared" ca="1" si="23"/>
        <v>0</v>
      </c>
      <c r="BS27" s="69">
        <f ca="1">$AO27*IF(Auswahllisten!$G$150,BS$25+BS$25*BS$13*$AN27,BS$25*(1+BS$13)^$AN27)</f>
        <v>0</v>
      </c>
      <c r="BT27" s="69">
        <f ca="1">$AO27*IF(Auswahllisten!$G$150,BT$25+BT$25*BT$13*$AN27,BT$25*(1+BT$13)^$AN27)</f>
        <v>0</v>
      </c>
      <c r="BU27" s="69">
        <f ca="1">$AO27*IF(Auswahllisten!$G$150,BU$25+BU$25*BU$13*$AN27,BU$25*(1+BU$13)^$AN27)</f>
        <v>0</v>
      </c>
      <c r="BV27" s="69">
        <f ca="1">$AO27*IF(Auswahllisten!$G$150,BV$25+BV$25*BV$13*$AN27,BV$25*(1+BV$13)^$AN27)</f>
        <v>0</v>
      </c>
      <c r="BW27" s="69">
        <f t="shared" ref="BW27:BW90" ca="1" si="39">SUM(BS27:BV27)/(1+$AS$11)^AN27</f>
        <v>0</v>
      </c>
      <c r="BX27" s="69">
        <f t="shared" ref="BX27:BX90" ca="1" si="40">AO27*$BX$25*(1+$AS$8)^AN27</f>
        <v>0</v>
      </c>
      <c r="BY27" s="69">
        <f t="shared" ca="1" si="24"/>
        <v>0</v>
      </c>
      <c r="BZ27" s="69">
        <f t="shared" ca="1" si="25"/>
        <v>0</v>
      </c>
    </row>
    <row r="28" spans="1:78">
      <c r="A28" s="305" t="s">
        <v>1215</v>
      </c>
      <c r="B28" s="126" t="s">
        <v>303</v>
      </c>
      <c r="C28" s="126" t="s">
        <v>965</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IF($C$5=0,0,INDEX(Faktoren!E14:GQ14,1,VLOOKUP($F$5,$L$2:$O$14,4,FALSE)+$C$9*5+VLOOKUP(D28,Auswahllisten!$E$25:$F$29,2,FALSE)))</f>
        <v>0</v>
      </c>
      <c r="G28" s="26">
        <f t="shared" ca="1" si="26"/>
        <v>0</v>
      </c>
      <c r="H28" s="26" cm="1">
        <f t="array" aca="1" ref="H28" ca="1">INDIRECT("Investition_gewählt!"&amp;$I$6&amp;AA28)</f>
        <v>3600</v>
      </c>
      <c r="I28" s="25" cm="1">
        <f t="array" aca="1" ref="I28" ca="1">IF($C$5=0,0,INDEX(Faktoren!E14:GQ14,1,VLOOKUP($F$6,$L$2:$O$14,4,FALSE)+$C$9*5+VLOOKUP(D28,Auswahllisten!$E$25:$F$29,2,FALSE)))</f>
        <v>0</v>
      </c>
      <c r="J28" s="26">
        <f t="shared" ca="1" si="27"/>
        <v>0</v>
      </c>
      <c r="K28" s="26">
        <f t="shared" ca="1" si="10"/>
        <v>0</v>
      </c>
      <c r="L28" s="16" t="b">
        <f ca="1">($C$5=$L$25)</f>
        <v>0</v>
      </c>
      <c r="M28" s="26">
        <f t="shared" ca="1" si="11"/>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IF($U$5=0,0,INDEX(Faktoren!E14:GQ14,1,VLOOKUP($X$5,$L$2:$O$14,4,FALSE)+$U$9*5+VLOOKUP(O28,Auswahllisten!$E$25:$F$29,2,FALSE)))</f>
        <v>0</v>
      </c>
      <c r="R28" s="26">
        <f t="shared" ca="1" si="12"/>
        <v>0</v>
      </c>
      <c r="S28" s="26" cm="1">
        <f t="array" aca="1" ref="S28" ca="1">INDIRECT("Investition_gewählt!"&amp;$AA$6&amp;AA28)</f>
        <v>3600</v>
      </c>
      <c r="T28" s="16" cm="1">
        <f t="array" aca="1" ref="T28" ca="1">IF($U$5=0,0,INDEX(Faktoren!E14:QG14,1,VLOOKUP($X$6,$L$3:$O$14,4,FALSE)+$U$9*5+VLOOKUP(O28,Auswahllisten!$E$25:$F$29,2,FALSE)))</f>
        <v>0</v>
      </c>
      <c r="U28" s="26">
        <f t="shared" ca="1" si="13"/>
        <v>0</v>
      </c>
      <c r="V28" s="26">
        <f t="shared" ca="1" si="14"/>
        <v>0</v>
      </c>
      <c r="W28" s="25" t="b">
        <f t="shared" ca="1" si="28"/>
        <v>0</v>
      </c>
      <c r="X28" s="26">
        <f t="shared" ca="1" si="16"/>
        <v>0</v>
      </c>
      <c r="Z28" s="1">
        <v>42</v>
      </c>
      <c r="AA28" s="1">
        <v>14</v>
      </c>
      <c r="AB28" s="1">
        <v>-2</v>
      </c>
      <c r="AC28" s="35"/>
      <c r="AD28" s="82" t="s">
        <v>1219</v>
      </c>
      <c r="AE28" s="64" t="s">
        <v>1012</v>
      </c>
      <c r="AF28" s="26">
        <f ca="1">SUMIF(Variante_A!$A$19:$A$157,AD28,Variante_A!$M$19:$M$157)</f>
        <v>0</v>
      </c>
      <c r="AG28" s="162"/>
      <c r="AH28" s="26">
        <f t="shared" ca="1" si="6"/>
        <v>0</v>
      </c>
      <c r="AI28" s="26">
        <f>SUMIF(Variante_A!$A$19:$A$157,AD28,Variante_A!$X$19:$X$157)</f>
        <v>0</v>
      </c>
      <c r="AJ28" s="26"/>
      <c r="AK28" s="26">
        <f t="shared" si="7"/>
        <v>0</v>
      </c>
      <c r="AL28" s="69"/>
      <c r="AN28" s="1">
        <v>3</v>
      </c>
      <c r="AO28" s="1">
        <f t="shared" si="19"/>
        <v>1</v>
      </c>
      <c r="AP28" s="69">
        <f t="shared" ca="1" si="20"/>
        <v>0</v>
      </c>
      <c r="AQ28" s="69">
        <f t="shared" ca="1" si="20"/>
        <v>0</v>
      </c>
      <c r="AR28" s="69">
        <f t="shared" si="20"/>
        <v>0</v>
      </c>
      <c r="AS28" s="69">
        <f t="shared" ca="1" si="20"/>
        <v>0</v>
      </c>
      <c r="AT28" s="69">
        <f t="shared" ca="1" si="20"/>
        <v>0</v>
      </c>
      <c r="AU28" s="69">
        <f t="shared" ca="1" si="20"/>
        <v>0</v>
      </c>
      <c r="AV28" s="69">
        <f t="shared" si="20"/>
        <v>0</v>
      </c>
      <c r="AW28" s="69">
        <f t="shared" ca="1" si="29"/>
        <v>0</v>
      </c>
      <c r="AX28" s="69">
        <f t="shared" ca="1" si="30"/>
        <v>0</v>
      </c>
      <c r="AY28" s="69">
        <f t="shared" ca="1" si="31"/>
        <v>0</v>
      </c>
      <c r="AZ28" s="69">
        <f ca="1">$AO28*IF(Auswahllisten!$G$150,AZ$25+AZ$25*AZ$13*$AN28,AZ$25*(1+AZ$13)^$AN28)</f>
        <v>0</v>
      </c>
      <c r="BA28" s="69">
        <f ca="1">$AO28*IF(Auswahllisten!$G$150,BA$25+BA$25*BA$13*$AN28,BA$25*(1+BA$13)^$AN28)</f>
        <v>0</v>
      </c>
      <c r="BB28" s="69">
        <f ca="1">$AO28*IF(Auswahllisten!$G$150,BB$25+BB$25*BB$13*$AN28,BB$25*(1+BB$13)^$AN28)</f>
        <v>0</v>
      </c>
      <c r="BC28" s="69">
        <f ca="1">$AO28*IF(Auswahllisten!$G$150,BC$25+BC$25*BC$13*$AN28,BC$25*(1+BC$13)^$AN28)</f>
        <v>0</v>
      </c>
      <c r="BD28" s="69">
        <f t="shared" ca="1" si="32"/>
        <v>0</v>
      </c>
      <c r="BE28" s="69">
        <f t="shared" ca="1" si="33"/>
        <v>0</v>
      </c>
      <c r="BF28" s="69">
        <f t="shared" ca="1" si="34"/>
        <v>0</v>
      </c>
      <c r="BG28" s="69">
        <f t="shared" ca="1" si="35"/>
        <v>0</v>
      </c>
      <c r="BI28" s="69">
        <f t="shared" ca="1" si="36"/>
        <v>0</v>
      </c>
      <c r="BJ28" s="69">
        <f t="shared" ca="1" si="37"/>
        <v>0</v>
      </c>
      <c r="BK28" s="69">
        <f t="shared" si="37"/>
        <v>0</v>
      </c>
      <c r="BL28" s="69">
        <f t="shared" ca="1" si="37"/>
        <v>0</v>
      </c>
      <c r="BM28" s="69">
        <f t="shared" ca="1" si="37"/>
        <v>0</v>
      </c>
      <c r="BN28" s="69">
        <f t="shared" ca="1" si="37"/>
        <v>0</v>
      </c>
      <c r="BO28" s="69">
        <f t="shared" si="37"/>
        <v>0</v>
      </c>
      <c r="BP28" s="69">
        <f t="shared" ca="1" si="22"/>
        <v>0</v>
      </c>
      <c r="BQ28" s="69">
        <f t="shared" ca="1" si="38"/>
        <v>0</v>
      </c>
      <c r="BR28" s="69">
        <f t="shared" ca="1" si="23"/>
        <v>0</v>
      </c>
      <c r="BS28" s="69">
        <f ca="1">$AO28*IF(Auswahllisten!$G$150,BS$25+BS$25*BS$13*$AN28,BS$25*(1+BS$13)^$AN28)</f>
        <v>0</v>
      </c>
      <c r="BT28" s="69">
        <f ca="1">$AO28*IF(Auswahllisten!$G$150,BT$25+BT$25*BT$13*$AN28,BT$25*(1+BT$13)^$AN28)</f>
        <v>0</v>
      </c>
      <c r="BU28" s="69">
        <f ca="1">$AO28*IF(Auswahllisten!$G$150,BU$25+BU$25*BU$13*$AN28,BU$25*(1+BU$13)^$AN28)</f>
        <v>0</v>
      </c>
      <c r="BV28" s="69">
        <f ca="1">$AO28*IF(Auswahllisten!$G$150,BV$25+BV$25*BV$13*$AN28,BV$25*(1+BV$13)^$AN28)</f>
        <v>0</v>
      </c>
      <c r="BW28" s="69">
        <f t="shared" ca="1" si="39"/>
        <v>0</v>
      </c>
      <c r="BX28" s="69">
        <f t="shared" ca="1" si="40"/>
        <v>0</v>
      </c>
      <c r="BY28" s="69">
        <f t="shared" ca="1" si="24"/>
        <v>0</v>
      </c>
      <c r="BZ28" s="69">
        <f t="shared" ca="1" si="25"/>
        <v>0</v>
      </c>
    </row>
    <row r="29" spans="1:78">
      <c r="A29" s="305" t="s">
        <v>1215</v>
      </c>
      <c r="B29" s="126" t="s">
        <v>303</v>
      </c>
      <c r="C29" s="126" t="s">
        <v>966</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IF($C$5=0,0,INDEX(Faktoren!E15:GQ15,1,VLOOKUP($F$5,$L$2:$O$14,4,FALSE)+$C$9*5+VLOOKUP(D29,Auswahllisten!$E$25:$F$29,2,FALSE)))</f>
        <v>0</v>
      </c>
      <c r="G29" s="26">
        <f t="shared" ca="1" si="26"/>
        <v>0</v>
      </c>
      <c r="H29" s="26" cm="1">
        <f t="array" aca="1" ref="H29" ca="1">INDIRECT("Investition_gewählt!"&amp;$I$6&amp;AA29)</f>
        <v>6000</v>
      </c>
      <c r="I29" s="25" cm="1">
        <f t="array" aca="1" ref="I29" ca="1">IF($C$5=0,0,INDEX(Faktoren!E15:GQ15,1,VLOOKUP($F$6,$L$2:$O$14,4,FALSE)+$C$9*5+VLOOKUP(D29,Auswahllisten!$E$25:$F$29,2,FALSE)))</f>
        <v>0</v>
      </c>
      <c r="J29" s="26">
        <f t="shared" ca="1" si="27"/>
        <v>0</v>
      </c>
      <c r="K29" s="26">
        <f t="shared" ca="1" si="10"/>
        <v>0</v>
      </c>
      <c r="L29" s="16" t="b">
        <f ca="1">($C$5=$L$25)</f>
        <v>0</v>
      </c>
      <c r="M29" s="26">
        <f t="shared" ca="1" si="11"/>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IF($U$5=0,0,INDEX(Faktoren!E15:GQ15,1,VLOOKUP($X$5,$L$2:$O$14,4,FALSE)+$U$9*5+VLOOKUP(O29,Auswahllisten!$E$25:$F$29,2,FALSE)))</f>
        <v>0</v>
      </c>
      <c r="R29" s="26">
        <f t="shared" ca="1" si="12"/>
        <v>0</v>
      </c>
      <c r="S29" s="26" cm="1">
        <f t="array" aca="1" ref="S29" ca="1">INDIRECT("Investition_gewählt!"&amp;$AA$6&amp;AA29)</f>
        <v>6000</v>
      </c>
      <c r="T29" s="16" cm="1">
        <f t="array" aca="1" ref="T29" ca="1">IF($U$5=0,0,INDEX(Faktoren!E15:QG15,1,VLOOKUP($X$6,$L$3:$O$14,4,FALSE)+$U$9*5+VLOOKUP(O29,Auswahllisten!$E$25:$F$29,2,FALSE)))</f>
        <v>0</v>
      </c>
      <c r="U29" s="26">
        <f t="shared" ca="1" si="13"/>
        <v>0</v>
      </c>
      <c r="V29" s="26">
        <f t="shared" ca="1" si="14"/>
        <v>0</v>
      </c>
      <c r="W29" s="25" t="b">
        <f t="shared" ca="1" si="28"/>
        <v>0</v>
      </c>
      <c r="X29" s="26">
        <f t="shared" ca="1" si="16"/>
        <v>0</v>
      </c>
      <c r="Z29" s="1">
        <v>47</v>
      </c>
      <c r="AA29" s="1">
        <v>15</v>
      </c>
      <c r="AB29" s="1">
        <v>-2</v>
      </c>
      <c r="AC29" s="35"/>
      <c r="AD29" s="82" t="s">
        <v>1226</v>
      </c>
      <c r="AE29" s="64" t="s">
        <v>948</v>
      </c>
      <c r="AF29" s="26">
        <f ca="1">SUMIF(Variante_A!$A$19:$A$157,AD29,Variante_A!$M$19:$M$157)</f>
        <v>0</v>
      </c>
      <c r="AG29" s="162"/>
      <c r="AH29" s="26">
        <f t="shared" ca="1" si="6"/>
        <v>0</v>
      </c>
      <c r="AI29" s="26">
        <f>SUMIF(Variante_A!$A$19:$A$157,AD29,Variante_A!$X$19:$X$157)</f>
        <v>0</v>
      </c>
      <c r="AJ29" s="26"/>
      <c r="AK29" s="26">
        <f t="shared" si="7"/>
        <v>0</v>
      </c>
      <c r="AL29" s="69"/>
      <c r="AN29" s="1">
        <v>4</v>
      </c>
      <c r="AO29" s="1">
        <f t="shared" si="19"/>
        <v>1</v>
      </c>
      <c r="AP29" s="69">
        <f t="shared" ca="1" si="20"/>
        <v>0</v>
      </c>
      <c r="AQ29" s="69">
        <f t="shared" ca="1" si="20"/>
        <v>0</v>
      </c>
      <c r="AR29" s="69">
        <f t="shared" si="20"/>
        <v>0</v>
      </c>
      <c r="AS29" s="69">
        <f t="shared" ca="1" si="20"/>
        <v>0</v>
      </c>
      <c r="AT29" s="69">
        <f t="shared" ca="1" si="20"/>
        <v>0</v>
      </c>
      <c r="AU29" s="69">
        <f t="shared" ca="1" si="20"/>
        <v>0</v>
      </c>
      <c r="AV29" s="69">
        <f t="shared" si="20"/>
        <v>0</v>
      </c>
      <c r="AW29" s="69">
        <f t="shared" ca="1" si="29"/>
        <v>0</v>
      </c>
      <c r="AX29" s="69">
        <f t="shared" ca="1" si="30"/>
        <v>0</v>
      </c>
      <c r="AY29" s="69">
        <f t="shared" ca="1" si="31"/>
        <v>0</v>
      </c>
      <c r="AZ29" s="69">
        <f ca="1">$AO29*IF(Auswahllisten!$G$150,AZ$25+AZ$25*AZ$13*$AN29,AZ$25*(1+AZ$13)^$AN29)</f>
        <v>0</v>
      </c>
      <c r="BA29" s="69">
        <f ca="1">$AO29*IF(Auswahllisten!$G$150,BA$25+BA$25*BA$13*$AN29,BA$25*(1+BA$13)^$AN29)</f>
        <v>0</v>
      </c>
      <c r="BB29" s="69">
        <f ca="1">$AO29*IF(Auswahllisten!$G$150,BB$25+BB$25*BB$13*$AN29,BB$25*(1+BB$13)^$AN29)</f>
        <v>0</v>
      </c>
      <c r="BC29" s="69">
        <f ca="1">$AO29*IF(Auswahllisten!$G$150,BC$25+BC$25*BC$13*$AN29,BC$25*(1+BC$13)^$AN29)</f>
        <v>0</v>
      </c>
      <c r="BD29" s="69">
        <f t="shared" ca="1" si="32"/>
        <v>0</v>
      </c>
      <c r="BE29" s="69">
        <f t="shared" ca="1" si="33"/>
        <v>0</v>
      </c>
      <c r="BF29" s="69">
        <f t="shared" ca="1" si="34"/>
        <v>0</v>
      </c>
      <c r="BG29" s="69">
        <f t="shared" ca="1" si="35"/>
        <v>0</v>
      </c>
      <c r="BI29" s="69">
        <f t="shared" ca="1" si="36"/>
        <v>0</v>
      </c>
      <c r="BJ29" s="69">
        <f t="shared" ca="1" si="37"/>
        <v>0</v>
      </c>
      <c r="BK29" s="69">
        <f t="shared" si="37"/>
        <v>0</v>
      </c>
      <c r="BL29" s="69">
        <f t="shared" ca="1" si="37"/>
        <v>0</v>
      </c>
      <c r="BM29" s="69">
        <f t="shared" ca="1" si="37"/>
        <v>0</v>
      </c>
      <c r="BN29" s="69">
        <f t="shared" ca="1" si="37"/>
        <v>0</v>
      </c>
      <c r="BO29" s="69">
        <f t="shared" si="37"/>
        <v>0</v>
      </c>
      <c r="BP29" s="69">
        <f t="shared" ca="1" si="22"/>
        <v>0</v>
      </c>
      <c r="BQ29" s="69">
        <f t="shared" ca="1" si="38"/>
        <v>0</v>
      </c>
      <c r="BR29" s="69">
        <f t="shared" ca="1" si="23"/>
        <v>0</v>
      </c>
      <c r="BS29" s="69">
        <f ca="1">$AO29*IF(Auswahllisten!$G$150,BS$25+BS$25*BS$13*$AN29,BS$25*(1+BS$13)^$AN29)</f>
        <v>0</v>
      </c>
      <c r="BT29" s="69">
        <f ca="1">$AO29*IF(Auswahllisten!$G$150,BT$25+BT$25*BT$13*$AN29,BT$25*(1+BT$13)^$AN29)</f>
        <v>0</v>
      </c>
      <c r="BU29" s="69">
        <f ca="1">$AO29*IF(Auswahllisten!$G$150,BU$25+BU$25*BU$13*$AN29,BU$25*(1+BU$13)^$AN29)</f>
        <v>0</v>
      </c>
      <c r="BV29" s="69">
        <f ca="1">$AO29*IF(Auswahllisten!$G$150,BV$25+BV$25*BV$13*$AN29,BV$25*(1+BV$13)^$AN29)</f>
        <v>0</v>
      </c>
      <c r="BW29" s="69">
        <f t="shared" ca="1" si="39"/>
        <v>0</v>
      </c>
      <c r="BX29" s="69">
        <f t="shared" ca="1" si="40"/>
        <v>0</v>
      </c>
      <c r="BY29" s="69">
        <f t="shared" ca="1" si="24"/>
        <v>0</v>
      </c>
      <c r="BZ29" s="69">
        <f t="shared" ca="1" si="25"/>
        <v>0</v>
      </c>
    </row>
    <row r="30" spans="1:78">
      <c r="A30" s="306" t="s">
        <v>1256</v>
      </c>
      <c r="B30" s="297" t="s">
        <v>303</v>
      </c>
      <c r="C30" s="134" t="s">
        <v>186</v>
      </c>
      <c r="D30" s="163" t="str" cm="1">
        <f t="array" aca="1" ref="D30" ca="1">INDIRECT("Vergleich!"&amp;$G$2&amp;Z30)</f>
        <v>mittel</v>
      </c>
      <c r="E30" s="163" cm="1">
        <f t="array" aca="1" ref="E30" ca="1">INDIRECT("Investition_gewählt!"&amp;$I$5&amp;AA30)</f>
        <v>4000</v>
      </c>
      <c r="F30" s="61" cm="1">
        <f t="array" aca="1" ref="F30" ca="1">IF($C$5=0,0,INDEX(Faktoren!E16:GQ16,1,VLOOKUP($F$5,$L$2:$O$14,4,FALSE)+$C$9*5+VLOOKUP(D30,Auswahllisten!$E$25:$F$29,2,FALSE)))</f>
        <v>0</v>
      </c>
      <c r="G30" s="296">
        <f t="shared" ca="1" si="26"/>
        <v>0</v>
      </c>
      <c r="H30" s="296" cm="1">
        <f t="array" aca="1" ref="H30" ca="1">INDIRECT("Investition_gewählt!"&amp;$I$6&amp;AA30)</f>
        <v>4000</v>
      </c>
      <c r="I30" s="61" cm="1">
        <f t="array" aca="1" ref="I30" ca="1">IF($C$5=0,0,INDEX(Faktoren!E16:GQ16,1,VLOOKUP($F$6,$L$2:$O$14,4,FALSE)+$C$9*5+VLOOKUP(D30,Auswahllisten!$E$25:$F$29,2,FALSE)))</f>
        <v>0</v>
      </c>
      <c r="J30" s="163">
        <f t="shared" ca="1" si="27"/>
        <v>0</v>
      </c>
      <c r="K30" s="163">
        <f t="shared" ca="1" si="10"/>
        <v>0</v>
      </c>
      <c r="L30" s="93" t="b">
        <f ca="1">($C$5=$L$25)</f>
        <v>0</v>
      </c>
      <c r="M30" s="163">
        <f t="shared" ca="1" si="11"/>
        <v>0</v>
      </c>
      <c r="O30" s="93" t="str" cm="1">
        <f t="array" aca="1" ref="O30" ca="1">INDIRECT("Vergleich!"&amp;$Y$2&amp;Z30)</f>
        <v>gering</v>
      </c>
      <c r="P30" s="163" cm="1">
        <f t="array" aca="1" ref="P30" ca="1">INDIRECT("Investition_gewählt!"&amp;$AA$5&amp;AA30)</f>
        <v>4000</v>
      </c>
      <c r="Q30" s="93" cm="1">
        <f t="array" aca="1" ref="Q30" ca="1">IF($U$5=0,0,INDEX(Faktoren!E16:GQ16,1,VLOOKUP($X$5,$L$2:$O$14,4,FALSE)+$U$9*5+VLOOKUP(O30,Auswahllisten!$E$25:$F$29,2,FALSE)))</f>
        <v>0</v>
      </c>
      <c r="R30" s="163">
        <f t="shared" ca="1" si="12"/>
        <v>0</v>
      </c>
      <c r="S30" s="163" cm="1">
        <f t="array" aca="1" ref="S30" ca="1">INDIRECT("Investition_gewählt!"&amp;$AA$6&amp;AA30)</f>
        <v>4000</v>
      </c>
      <c r="T30" s="93" cm="1">
        <f t="array" aca="1" ref="T30" ca="1">IF($U$5=0,0,INDEX(Faktoren!E16:QG16,1,VLOOKUP($X$6,$L$3:$O$14,4,FALSE)+$U$9*5+VLOOKUP(O30,Auswahllisten!$E$25:$F$29,2,FALSE)))</f>
        <v>0</v>
      </c>
      <c r="U30" s="163">
        <f t="shared" ca="1" si="13"/>
        <v>0</v>
      </c>
      <c r="V30" s="163">
        <f t="shared" ca="1" si="14"/>
        <v>0</v>
      </c>
      <c r="W30" s="61" t="b">
        <f t="shared" ca="1" si="28"/>
        <v>0</v>
      </c>
      <c r="X30" s="163">
        <f t="shared" ca="1" si="16"/>
        <v>0</v>
      </c>
      <c r="Z30" s="1">
        <v>48</v>
      </c>
      <c r="AA30" s="1">
        <v>16</v>
      </c>
      <c r="AB30" s="1">
        <v>-2</v>
      </c>
      <c r="AC30" s="35"/>
      <c r="AD30" s="82" t="s">
        <v>1225</v>
      </c>
      <c r="AE30" s="64" t="s">
        <v>1250</v>
      </c>
      <c r="AF30" s="26">
        <f ca="1">SUMIF(Variante_A!$A$19:$A$157,AD30,Variante_A!$M$19:$M$157)</f>
        <v>0</v>
      </c>
      <c r="AG30" s="162"/>
      <c r="AH30" s="26">
        <f t="shared" ca="1" si="6"/>
        <v>0</v>
      </c>
      <c r="AI30" s="26">
        <f>SUMIF(Variante_A!$A$19:$A$157,AD30,Variante_A!$X$19:$X$157)</f>
        <v>0</v>
      </c>
      <c r="AJ30" s="26"/>
      <c r="AK30" s="26">
        <f t="shared" si="7"/>
        <v>0</v>
      </c>
      <c r="AL30" s="69"/>
      <c r="AN30" s="1">
        <v>5</v>
      </c>
      <c r="AO30" s="1">
        <f t="shared" si="19"/>
        <v>1</v>
      </c>
      <c r="AP30" s="69">
        <f t="shared" ca="1" si="20"/>
        <v>0</v>
      </c>
      <c r="AQ30" s="69">
        <f t="shared" ca="1" si="20"/>
        <v>0</v>
      </c>
      <c r="AR30" s="69">
        <f t="shared" si="20"/>
        <v>0</v>
      </c>
      <c r="AS30" s="69">
        <f t="shared" ca="1" si="20"/>
        <v>0</v>
      </c>
      <c r="AT30" s="69">
        <f t="shared" ca="1" si="20"/>
        <v>0</v>
      </c>
      <c r="AU30" s="69">
        <f t="shared" ca="1" si="20"/>
        <v>0</v>
      </c>
      <c r="AV30" s="69">
        <f t="shared" si="20"/>
        <v>0</v>
      </c>
      <c r="AW30" s="69">
        <f t="shared" ca="1" si="29"/>
        <v>0</v>
      </c>
      <c r="AX30" s="69">
        <f t="shared" ca="1" si="30"/>
        <v>0</v>
      </c>
      <c r="AY30" s="69">
        <f t="shared" ca="1" si="31"/>
        <v>0</v>
      </c>
      <c r="AZ30" s="69">
        <f ca="1">$AO30*IF(Auswahllisten!$G$150,AZ$25+AZ$25*AZ$13*$AN30,AZ$25*(1+AZ$13)^$AN30)</f>
        <v>0</v>
      </c>
      <c r="BA30" s="69">
        <f ca="1">$AO30*IF(Auswahllisten!$G$150,BA$25+BA$25*BA$13*$AN30,BA$25*(1+BA$13)^$AN30)</f>
        <v>0</v>
      </c>
      <c r="BB30" s="69">
        <f ca="1">$AO30*IF(Auswahllisten!$G$150,BB$25+BB$25*BB$13*$AN30,BB$25*(1+BB$13)^$AN30)</f>
        <v>0</v>
      </c>
      <c r="BC30" s="69">
        <f ca="1">$AO30*IF(Auswahllisten!$G$150,BC$25+BC$25*BC$13*$AN30,BC$25*(1+BC$13)^$AN30)</f>
        <v>0</v>
      </c>
      <c r="BD30" s="69">
        <f t="shared" ca="1" si="32"/>
        <v>0</v>
      </c>
      <c r="BE30" s="69">
        <f t="shared" ca="1" si="33"/>
        <v>0</v>
      </c>
      <c r="BF30" s="69">
        <f t="shared" ca="1" si="34"/>
        <v>0</v>
      </c>
      <c r="BG30" s="69">
        <f t="shared" ca="1" si="35"/>
        <v>0</v>
      </c>
      <c r="BI30" s="69">
        <f t="shared" ca="1" si="36"/>
        <v>0</v>
      </c>
      <c r="BJ30" s="69">
        <f t="shared" ca="1" si="37"/>
        <v>0</v>
      </c>
      <c r="BK30" s="69">
        <f t="shared" si="37"/>
        <v>0</v>
      </c>
      <c r="BL30" s="69">
        <f t="shared" ca="1" si="37"/>
        <v>0</v>
      </c>
      <c r="BM30" s="69">
        <f t="shared" ca="1" si="37"/>
        <v>0</v>
      </c>
      <c r="BN30" s="69">
        <f t="shared" ca="1" si="37"/>
        <v>0</v>
      </c>
      <c r="BO30" s="69">
        <f t="shared" si="37"/>
        <v>0</v>
      </c>
      <c r="BP30" s="69">
        <f t="shared" ca="1" si="22"/>
        <v>0</v>
      </c>
      <c r="BQ30" s="69">
        <f t="shared" ca="1" si="38"/>
        <v>0</v>
      </c>
      <c r="BR30" s="69">
        <f t="shared" ca="1" si="23"/>
        <v>0</v>
      </c>
      <c r="BS30" s="69">
        <f ca="1">$AO30*IF(Auswahllisten!$G$150,BS$25+BS$25*BS$13*$AN30,BS$25*(1+BS$13)^$AN30)</f>
        <v>0</v>
      </c>
      <c r="BT30" s="69">
        <f ca="1">$AO30*IF(Auswahllisten!$G$150,BT$25+BT$25*BT$13*$AN30,BT$25*(1+BT$13)^$AN30)</f>
        <v>0</v>
      </c>
      <c r="BU30" s="69">
        <f ca="1">$AO30*IF(Auswahllisten!$G$150,BU$25+BU$25*BU$13*$AN30,BU$25*(1+BU$13)^$AN30)</f>
        <v>0</v>
      </c>
      <c r="BV30" s="69">
        <f ca="1">$AO30*IF(Auswahllisten!$G$150,BV$25+BV$25*BV$13*$AN30,BV$25*(1+BV$13)^$AN30)</f>
        <v>0</v>
      </c>
      <c r="BW30" s="69">
        <f t="shared" ca="1" si="39"/>
        <v>0</v>
      </c>
      <c r="BX30" s="69">
        <f t="shared" ca="1" si="40"/>
        <v>0</v>
      </c>
      <c r="BY30" s="69">
        <f t="shared" ca="1" si="24"/>
        <v>0</v>
      </c>
      <c r="BZ30" s="69">
        <f t="shared" ca="1" si="25"/>
        <v>0</v>
      </c>
    </row>
    <row r="31" spans="1:78">
      <c r="A31" s="125"/>
      <c r="B31" s="64"/>
      <c r="C31" s="64"/>
      <c r="D31" s="157"/>
      <c r="E31" s="157"/>
      <c r="G31" s="69"/>
      <c r="H31" s="157"/>
      <c r="J31" s="8"/>
      <c r="K31" s="8"/>
      <c r="L31" s="8"/>
      <c r="M31" s="157"/>
      <c r="N31" s="8"/>
      <c r="P31" s="69"/>
      <c r="R31" s="69"/>
      <c r="S31" s="69"/>
      <c r="U31" s="69"/>
      <c r="V31" s="69"/>
      <c r="X31" s="69"/>
      <c r="AA31" s="1">
        <v>17</v>
      </c>
      <c r="AB31" s="1">
        <v>-2</v>
      </c>
      <c r="AC31" s="35"/>
      <c r="AD31" s="82" t="s">
        <v>1229</v>
      </c>
      <c r="AE31" s="64" t="s">
        <v>1246</v>
      </c>
      <c r="AF31" s="26">
        <f ca="1">SUMIF(Variante_A!$A$19:$A$157,AD31,Variante_A!$M$19:$M$157)</f>
        <v>0</v>
      </c>
      <c r="AG31" s="162"/>
      <c r="AH31" s="26">
        <f t="shared" ca="1" si="6"/>
        <v>0</v>
      </c>
      <c r="AI31" s="26">
        <f ca="1">SUMIF(Variante_A!$A$19:$A$157,AD31,Variante_A!$X$19:$X$157)</f>
        <v>0</v>
      </c>
      <c r="AJ31" s="26"/>
      <c r="AK31" s="26">
        <f t="shared" ca="1" si="7"/>
        <v>0</v>
      </c>
      <c r="AL31" s="69"/>
      <c r="AN31" s="1">
        <v>6</v>
      </c>
      <c r="AO31" s="1">
        <f t="shared" si="19"/>
        <v>1</v>
      </c>
      <c r="AP31" s="69">
        <f t="shared" ca="1" si="20"/>
        <v>0</v>
      </c>
      <c r="AQ31" s="69">
        <f t="shared" ca="1" si="20"/>
        <v>0</v>
      </c>
      <c r="AR31" s="69">
        <f t="shared" si="20"/>
        <v>0</v>
      </c>
      <c r="AS31" s="69">
        <f t="shared" ca="1" si="20"/>
        <v>0</v>
      </c>
      <c r="AT31" s="69">
        <f t="shared" ca="1" si="20"/>
        <v>0</v>
      </c>
      <c r="AU31" s="69">
        <f t="shared" ca="1" si="20"/>
        <v>0</v>
      </c>
      <c r="AV31" s="69">
        <f t="shared" si="20"/>
        <v>0</v>
      </c>
      <c r="AW31" s="69">
        <f t="shared" ca="1" si="29"/>
        <v>0</v>
      </c>
      <c r="AX31" s="69">
        <f t="shared" ca="1" si="30"/>
        <v>0</v>
      </c>
      <c r="AY31" s="69">
        <f t="shared" ca="1" si="31"/>
        <v>0</v>
      </c>
      <c r="AZ31" s="69">
        <f ca="1">$AO31*IF(Auswahllisten!$G$150,AZ$25+AZ$25*AZ$13*$AN31,AZ$25*(1+AZ$13)^$AN31)</f>
        <v>0</v>
      </c>
      <c r="BA31" s="69">
        <f ca="1">$AO31*IF(Auswahllisten!$G$150,BA$25+BA$25*BA$13*$AN31,BA$25*(1+BA$13)^$AN31)</f>
        <v>0</v>
      </c>
      <c r="BB31" s="69">
        <f ca="1">$AO31*IF(Auswahllisten!$G$150,BB$25+BB$25*BB$13*$AN31,BB$25*(1+BB$13)^$AN31)</f>
        <v>0</v>
      </c>
      <c r="BC31" s="69">
        <f ca="1">$AO31*IF(Auswahllisten!$G$150,BC$25+BC$25*BC$13*$AN31,BC$25*(1+BC$13)^$AN31)</f>
        <v>0</v>
      </c>
      <c r="BD31" s="69">
        <f t="shared" ca="1" si="32"/>
        <v>0</v>
      </c>
      <c r="BE31" s="69">
        <f t="shared" ca="1" si="33"/>
        <v>0</v>
      </c>
      <c r="BF31" s="69">
        <f t="shared" ca="1" si="34"/>
        <v>0</v>
      </c>
      <c r="BG31" s="69">
        <f t="shared" ca="1" si="35"/>
        <v>0</v>
      </c>
      <c r="BI31" s="69">
        <f t="shared" ca="1" si="36"/>
        <v>0</v>
      </c>
      <c r="BJ31" s="69">
        <f t="shared" ca="1" si="37"/>
        <v>0</v>
      </c>
      <c r="BK31" s="69">
        <f t="shared" si="37"/>
        <v>0</v>
      </c>
      <c r="BL31" s="69">
        <f t="shared" ca="1" si="37"/>
        <v>0</v>
      </c>
      <c r="BM31" s="69">
        <f t="shared" ca="1" si="37"/>
        <v>0</v>
      </c>
      <c r="BN31" s="69">
        <f t="shared" ca="1" si="37"/>
        <v>0</v>
      </c>
      <c r="BO31" s="69">
        <f t="shared" si="37"/>
        <v>0</v>
      </c>
      <c r="BP31" s="69">
        <f t="shared" ca="1" si="22"/>
        <v>0</v>
      </c>
      <c r="BQ31" s="69">
        <f t="shared" ca="1" si="38"/>
        <v>0</v>
      </c>
      <c r="BR31" s="69">
        <f t="shared" ca="1" si="23"/>
        <v>0</v>
      </c>
      <c r="BS31" s="69">
        <f ca="1">$AO31*IF(Auswahllisten!$G$150,BS$25+BS$25*BS$13*$AN31,BS$25*(1+BS$13)^$AN31)</f>
        <v>0</v>
      </c>
      <c r="BT31" s="69">
        <f ca="1">$AO31*IF(Auswahllisten!$G$150,BT$25+BT$25*BT$13*$AN31,BT$25*(1+BT$13)^$AN31)</f>
        <v>0</v>
      </c>
      <c r="BU31" s="69">
        <f ca="1">$AO31*IF(Auswahllisten!$G$150,BU$25+BU$25*BU$13*$AN31,BU$25*(1+BU$13)^$AN31)</f>
        <v>0</v>
      </c>
      <c r="BV31" s="69">
        <f ca="1">$AO31*IF(Auswahllisten!$G$150,BV$25+BV$25*BV$13*$AN31,BV$25*(1+BV$13)^$AN31)</f>
        <v>0</v>
      </c>
      <c r="BW31" s="69">
        <f t="shared" ca="1" si="39"/>
        <v>0</v>
      </c>
      <c r="BX31" s="69">
        <f t="shared" ca="1" si="40"/>
        <v>0</v>
      </c>
      <c r="BY31" s="69">
        <f t="shared" ca="1" si="24"/>
        <v>0</v>
      </c>
      <c r="BZ31" s="69">
        <f t="shared" ca="1" si="25"/>
        <v>0</v>
      </c>
    </row>
    <row r="32" spans="1:78">
      <c r="A32" s="125" t="s">
        <v>991</v>
      </c>
      <c r="B32" s="125" t="s">
        <v>1</v>
      </c>
      <c r="C32" s="125"/>
      <c r="D32" s="157"/>
      <c r="E32" s="157"/>
      <c r="G32" s="69"/>
      <c r="H32" s="157"/>
      <c r="J32" s="8"/>
      <c r="L32" s="155">
        <v>3</v>
      </c>
      <c r="M32" s="157"/>
      <c r="P32" s="69"/>
      <c r="R32" s="69"/>
      <c r="S32" s="69"/>
      <c r="U32" s="69"/>
      <c r="V32" s="69"/>
      <c r="X32" s="69"/>
      <c r="AA32" s="1">
        <v>18</v>
      </c>
      <c r="AB32" s="1">
        <v>-2</v>
      </c>
      <c r="AC32" s="35"/>
      <c r="AD32" s="35" t="s">
        <v>1221</v>
      </c>
      <c r="AE32" s="1" t="s">
        <v>1252</v>
      </c>
      <c r="AF32" s="26">
        <f ca="1">SUMIF(Variante_A!$A$19:$A$157,AD32,Variante_A!$M$19:$M$157)</f>
        <v>0</v>
      </c>
      <c r="AG32" s="162"/>
      <c r="AH32" s="26">
        <f t="shared" ca="1" si="6"/>
        <v>0</v>
      </c>
      <c r="AI32" s="26">
        <f>SUMIF(Variante_A!$A$19:$A$157,AD32,Variante_A!$X$19:$X$157)</f>
        <v>0</v>
      </c>
      <c r="AJ32" s="26"/>
      <c r="AK32" s="26">
        <f t="shared" si="7"/>
        <v>0</v>
      </c>
      <c r="AL32" s="69"/>
      <c r="AN32" s="1">
        <v>7</v>
      </c>
      <c r="AO32" s="1">
        <f t="shared" si="19"/>
        <v>1</v>
      </c>
      <c r="AP32" s="69">
        <f t="shared" ca="1" si="20"/>
        <v>0</v>
      </c>
      <c r="AQ32" s="69">
        <f t="shared" ca="1" si="20"/>
        <v>0</v>
      </c>
      <c r="AR32" s="69">
        <f t="shared" si="20"/>
        <v>0</v>
      </c>
      <c r="AS32" s="69">
        <f t="shared" ca="1" si="20"/>
        <v>0</v>
      </c>
      <c r="AT32" s="69">
        <f t="shared" ca="1" si="20"/>
        <v>0</v>
      </c>
      <c r="AU32" s="69">
        <f t="shared" ca="1" si="20"/>
        <v>0</v>
      </c>
      <c r="AV32" s="69">
        <f t="shared" si="20"/>
        <v>0</v>
      </c>
      <c r="AW32" s="69">
        <f t="shared" ca="1" si="29"/>
        <v>0</v>
      </c>
      <c r="AX32" s="69">
        <f t="shared" ca="1" si="30"/>
        <v>0</v>
      </c>
      <c r="AY32" s="69">
        <f t="shared" ca="1" si="31"/>
        <v>0</v>
      </c>
      <c r="AZ32" s="69">
        <f ca="1">$AO32*IF(Auswahllisten!$G$150,AZ$25+AZ$25*AZ$13*$AN32,AZ$25*(1+AZ$13)^$AN32)</f>
        <v>0</v>
      </c>
      <c r="BA32" s="69">
        <f ca="1">$AO32*IF(Auswahllisten!$G$150,BA$25+BA$25*BA$13*$AN32,BA$25*(1+BA$13)^$AN32)</f>
        <v>0</v>
      </c>
      <c r="BB32" s="69">
        <f ca="1">$AO32*IF(Auswahllisten!$G$150,BB$25+BB$25*BB$13*$AN32,BB$25*(1+BB$13)^$AN32)</f>
        <v>0</v>
      </c>
      <c r="BC32" s="69">
        <f ca="1">$AO32*IF(Auswahllisten!$G$150,BC$25+BC$25*BC$13*$AN32,BC$25*(1+BC$13)^$AN32)</f>
        <v>0</v>
      </c>
      <c r="BD32" s="69">
        <f t="shared" ca="1" si="32"/>
        <v>0</v>
      </c>
      <c r="BE32" s="69">
        <f t="shared" ca="1" si="33"/>
        <v>0</v>
      </c>
      <c r="BF32" s="69">
        <f t="shared" ca="1" si="34"/>
        <v>0</v>
      </c>
      <c r="BG32" s="69">
        <f t="shared" ca="1" si="35"/>
        <v>0</v>
      </c>
      <c r="BI32" s="69">
        <f t="shared" ca="1" si="36"/>
        <v>0</v>
      </c>
      <c r="BJ32" s="69">
        <f t="shared" ca="1" si="37"/>
        <v>0</v>
      </c>
      <c r="BK32" s="69">
        <f t="shared" si="37"/>
        <v>0</v>
      </c>
      <c r="BL32" s="69">
        <f t="shared" ca="1" si="37"/>
        <v>0</v>
      </c>
      <c r="BM32" s="69">
        <f t="shared" ca="1" si="37"/>
        <v>0</v>
      </c>
      <c r="BN32" s="69">
        <f t="shared" ca="1" si="37"/>
        <v>0</v>
      </c>
      <c r="BO32" s="69">
        <f t="shared" si="37"/>
        <v>0</v>
      </c>
      <c r="BP32" s="69">
        <f t="shared" ca="1" si="22"/>
        <v>0</v>
      </c>
      <c r="BQ32" s="69">
        <f t="shared" ca="1" si="38"/>
        <v>0</v>
      </c>
      <c r="BR32" s="69">
        <f t="shared" ca="1" si="23"/>
        <v>0</v>
      </c>
      <c r="BS32" s="69">
        <f ca="1">$AO32*IF(Auswahllisten!$G$150,BS$25+BS$25*BS$13*$AN32,BS$25*(1+BS$13)^$AN32)</f>
        <v>0</v>
      </c>
      <c r="BT32" s="69">
        <f ca="1">$AO32*IF(Auswahllisten!$G$150,BT$25+BT$25*BT$13*$AN32,BT$25*(1+BT$13)^$AN32)</f>
        <v>0</v>
      </c>
      <c r="BU32" s="69">
        <f ca="1">$AO32*IF(Auswahllisten!$G$150,BU$25+BU$25*BU$13*$AN32,BU$25*(1+BU$13)^$AN32)</f>
        <v>0</v>
      </c>
      <c r="BV32" s="69">
        <f ca="1">$AO32*IF(Auswahllisten!$G$150,BV$25+BV$25*BV$13*$AN32,BV$25*(1+BV$13)^$AN32)</f>
        <v>0</v>
      </c>
      <c r="BW32" s="69">
        <f t="shared" ca="1" si="39"/>
        <v>0</v>
      </c>
      <c r="BX32" s="69">
        <f t="shared" ca="1" si="40"/>
        <v>0</v>
      </c>
      <c r="BY32" s="69">
        <f t="shared" ca="1" si="24"/>
        <v>0</v>
      </c>
      <c r="BZ32" s="69">
        <f t="shared" ca="1" si="25"/>
        <v>0</v>
      </c>
    </row>
    <row r="33" spans="1:78">
      <c r="A33" s="304" t="s">
        <v>1217</v>
      </c>
      <c r="B33" s="131" t="s">
        <v>1242</v>
      </c>
      <c r="C33" s="131" t="s">
        <v>243</v>
      </c>
      <c r="D33" s="162" t="str" cm="1">
        <f t="array" aca="1" ref="D33" ca="1">INDIRECT("Vergleich!"&amp;$G$2&amp;Z33)</f>
        <v>mittel</v>
      </c>
      <c r="E33" s="162" cm="1">
        <f t="array" aca="1" ref="E33" ca="1">INDIRECT("Investition_gewählt!"&amp;$I$5&amp;AA33)</f>
        <v>3000</v>
      </c>
      <c r="F33" s="25" cm="1">
        <f t="array" aca="1" ref="F33" ca="1">IF($C$5=0,0,INDEX(Faktoren!E19:GQ19,1,VLOOKUP($F$5,$L$2:$O$14,4,FALSE)+$C$9*5+VLOOKUP(D33,Auswahllisten!$E$25:$F$29,2,FALSE)))</f>
        <v>0</v>
      </c>
      <c r="G33" s="162">
        <f ca="1">E33*F33</f>
        <v>0</v>
      </c>
      <c r="H33" s="162" cm="1">
        <f t="array" aca="1" ref="H33" ca="1">INDIRECT("Investition_gewählt!"&amp;$I$6&amp;AA33)</f>
        <v>3000</v>
      </c>
      <c r="I33" s="25" cm="1">
        <f t="array" aca="1" ref="I33" ca="1">IF($C$5=0,0,INDEX(Faktoren!E19:GQ19,1,VLOOKUP($F$6,$L$2:$O$14,4,FALSE)+$C$9*5+VLOOKUP(D33,Auswahllisten!$E$25:$F$29,2,FALSE)))</f>
        <v>0</v>
      </c>
      <c r="J33" s="25">
        <f ca="1">H33*I33</f>
        <v>0</v>
      </c>
      <c r="K33" s="25">
        <f t="shared" ca="1" si="10"/>
        <v>0</v>
      </c>
      <c r="L33" s="25" t="b">
        <f t="shared" ref="L33:L39" ca="1" si="41">($C$5=$L$32)</f>
        <v>0</v>
      </c>
      <c r="M33" s="162">
        <f t="shared" ca="1" si="11"/>
        <v>0</v>
      </c>
      <c r="O33" s="25" t="str" cm="1">
        <f t="array" aca="1" ref="O33" ca="1">INDIRECT("Vergleich!"&amp;$Y$2&amp;Z33)</f>
        <v>gering</v>
      </c>
      <c r="P33" s="162" cm="1">
        <f t="array" aca="1" ref="P33" ca="1">INDIRECT("Investition_gewählt!"&amp;$AA$5&amp;AA33)</f>
        <v>3000</v>
      </c>
      <c r="Q33" s="25" cm="1">
        <f t="array" aca="1" ref="Q33" ca="1">IF($U$5=0,0,INDEX(Faktoren!E19:GQ19,1,VLOOKUP($X$5,$L$2:$O$14,4,FALSE)+$U$9*5+VLOOKUP(O33,Auswahllisten!$E$25:$F$29,2,FALSE)))</f>
        <v>0</v>
      </c>
      <c r="R33" s="162">
        <f t="shared" ca="1" si="12"/>
        <v>0</v>
      </c>
      <c r="S33" s="162" cm="1">
        <f t="array" aca="1" ref="S33" ca="1">INDIRECT("Investition_gewählt!"&amp;$AA$6&amp;AA33)</f>
        <v>3000</v>
      </c>
      <c r="T33" s="25" cm="1">
        <f t="array" aca="1" ref="T33" ca="1">IF($U$5=0,0,INDEX(Faktoren!E19:QG19,1,VLOOKUP($X$6,$L$3:$O$14,4,FALSE)+$U$9*5+VLOOKUP(O33,Auswahllisten!$E$25:$F$29,2,FALSE)))</f>
        <v>0</v>
      </c>
      <c r="U33" s="162">
        <f t="shared" ca="1" si="13"/>
        <v>0</v>
      </c>
      <c r="V33" s="162">
        <f t="shared" ca="1" si="14"/>
        <v>0</v>
      </c>
      <c r="W33" s="25" t="b">
        <f ca="1">($U$5=$L$32)</f>
        <v>0</v>
      </c>
      <c r="X33" s="162">
        <f t="shared" ca="1" si="16"/>
        <v>0</v>
      </c>
      <c r="Z33" s="1">
        <v>34</v>
      </c>
      <c r="AA33" s="1">
        <v>19</v>
      </c>
      <c r="AB33" s="1">
        <v>-2</v>
      </c>
      <c r="AD33" s="82"/>
      <c r="AE33" s="311" t="s">
        <v>189</v>
      </c>
      <c r="AF33" s="316">
        <f ca="1">SUM(AF18:AF32)</f>
        <v>0</v>
      </c>
      <c r="AG33" s="316">
        <f ca="1">SUM(AG18:AG32)</f>
        <v>0</v>
      </c>
      <c r="AH33" s="316">
        <f t="shared" ref="AH33:AK33" ca="1" si="42">SUM(AH18:AH32)</f>
        <v>0</v>
      </c>
      <c r="AI33" s="316">
        <f t="shared" ca="1" si="42"/>
        <v>0</v>
      </c>
      <c r="AJ33" s="316">
        <f t="shared" ca="1" si="42"/>
        <v>0</v>
      </c>
      <c r="AK33" s="316">
        <f t="shared" ca="1" si="42"/>
        <v>0</v>
      </c>
      <c r="AL33" s="69"/>
      <c r="AN33" s="1">
        <v>8</v>
      </c>
      <c r="AO33" s="1">
        <f t="shared" si="19"/>
        <v>1</v>
      </c>
      <c r="AP33" s="69">
        <f t="shared" ca="1" si="20"/>
        <v>0</v>
      </c>
      <c r="AQ33" s="69">
        <f t="shared" ca="1" si="20"/>
        <v>0</v>
      </c>
      <c r="AR33" s="69">
        <f t="shared" si="20"/>
        <v>0</v>
      </c>
      <c r="AS33" s="69">
        <f t="shared" ca="1" si="20"/>
        <v>0</v>
      </c>
      <c r="AT33" s="69">
        <f t="shared" ca="1" si="20"/>
        <v>0</v>
      </c>
      <c r="AU33" s="69">
        <f t="shared" ca="1" si="20"/>
        <v>0</v>
      </c>
      <c r="AV33" s="69">
        <f t="shared" si="20"/>
        <v>0</v>
      </c>
      <c r="AW33" s="69">
        <f t="shared" ca="1" si="29"/>
        <v>0</v>
      </c>
      <c r="AX33" s="69">
        <f t="shared" ca="1" si="30"/>
        <v>0</v>
      </c>
      <c r="AY33" s="69">
        <f t="shared" ca="1" si="31"/>
        <v>0</v>
      </c>
      <c r="AZ33" s="69">
        <f ca="1">$AO33*IF(Auswahllisten!$G$150,AZ$25+AZ$25*AZ$13*$AN33,AZ$25*(1+AZ$13)^$AN33)</f>
        <v>0</v>
      </c>
      <c r="BA33" s="69">
        <f ca="1">$AO33*IF(Auswahllisten!$G$150,BA$25+BA$25*BA$13*$AN33,BA$25*(1+BA$13)^$AN33)</f>
        <v>0</v>
      </c>
      <c r="BB33" s="69">
        <f ca="1">$AO33*IF(Auswahllisten!$G$150,BB$25+BB$25*BB$13*$AN33,BB$25*(1+BB$13)^$AN33)</f>
        <v>0</v>
      </c>
      <c r="BC33" s="69">
        <f ca="1">$AO33*IF(Auswahllisten!$G$150,BC$25+BC$25*BC$13*$AN33,BC$25*(1+BC$13)^$AN33)</f>
        <v>0</v>
      </c>
      <c r="BD33" s="69">
        <f t="shared" ca="1" si="32"/>
        <v>0</v>
      </c>
      <c r="BE33" s="69">
        <f t="shared" ca="1" si="33"/>
        <v>0</v>
      </c>
      <c r="BF33" s="69">
        <f t="shared" ca="1" si="34"/>
        <v>0</v>
      </c>
      <c r="BG33" s="69">
        <f t="shared" ca="1" si="35"/>
        <v>0</v>
      </c>
      <c r="BI33" s="69">
        <f t="shared" ca="1" si="36"/>
        <v>0</v>
      </c>
      <c r="BJ33" s="69">
        <f t="shared" ca="1" si="37"/>
        <v>0</v>
      </c>
      <c r="BK33" s="69">
        <f t="shared" si="37"/>
        <v>0</v>
      </c>
      <c r="BL33" s="69">
        <f t="shared" ca="1" si="37"/>
        <v>0</v>
      </c>
      <c r="BM33" s="69">
        <f t="shared" ca="1" si="37"/>
        <v>0</v>
      </c>
      <c r="BN33" s="69">
        <f t="shared" ca="1" si="37"/>
        <v>0</v>
      </c>
      <c r="BO33" s="69">
        <f t="shared" si="37"/>
        <v>0</v>
      </c>
      <c r="BP33" s="69">
        <f t="shared" ca="1" si="22"/>
        <v>0</v>
      </c>
      <c r="BQ33" s="69">
        <f t="shared" ca="1" si="38"/>
        <v>0</v>
      </c>
      <c r="BR33" s="69">
        <f t="shared" ca="1" si="23"/>
        <v>0</v>
      </c>
      <c r="BS33" s="69">
        <f ca="1">$AO33*IF(Auswahllisten!$G$150,BS$25+BS$25*BS$13*$AN33,BS$25*(1+BS$13)^$AN33)</f>
        <v>0</v>
      </c>
      <c r="BT33" s="69">
        <f ca="1">$AO33*IF(Auswahllisten!$G$150,BT$25+BT$25*BT$13*$AN33,BT$25*(1+BT$13)^$AN33)</f>
        <v>0</v>
      </c>
      <c r="BU33" s="69">
        <f ca="1">$AO33*IF(Auswahllisten!$G$150,BU$25+BU$25*BU$13*$AN33,BU$25*(1+BU$13)^$AN33)</f>
        <v>0</v>
      </c>
      <c r="BV33" s="69">
        <f ca="1">$AO33*IF(Auswahllisten!$G$150,BV$25+BV$25*BV$13*$AN33,BV$25*(1+BV$13)^$AN33)</f>
        <v>0</v>
      </c>
      <c r="BW33" s="69">
        <f t="shared" ca="1" si="39"/>
        <v>0</v>
      </c>
      <c r="BX33" s="69">
        <f t="shared" ca="1" si="40"/>
        <v>0</v>
      </c>
      <c r="BY33" s="69">
        <f t="shared" ca="1" si="24"/>
        <v>0</v>
      </c>
      <c r="BZ33" s="69">
        <f t="shared" ca="1" si="25"/>
        <v>0</v>
      </c>
    </row>
    <row r="34" spans="1:78">
      <c r="A34" s="305" t="s">
        <v>1217</v>
      </c>
      <c r="B34" s="131" t="s">
        <v>1242</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IF($C$5=0,0,INDEX(Faktoren!E20:GQ20,1,VLOOKUP($F$5,$L$2:$O$14,4,FALSE)+$C$9*5+VLOOKUP(D34,Auswahllisten!$E$25:$F$29,2,FALSE)))</f>
        <v>0</v>
      </c>
      <c r="G34" s="26">
        <f t="shared" ref="G34:G39" ca="1" si="43">E34*F34</f>
        <v>0</v>
      </c>
      <c r="H34" s="26" cm="1">
        <f t="array" aca="1" ref="H34" ca="1">INDIRECT("Investition_gewählt!"&amp;$I$6&amp;AA34)</f>
        <v>2000</v>
      </c>
      <c r="I34" s="25" cm="1">
        <f t="array" aca="1" ref="I34" ca="1">IF($C$5=0,0,INDEX(Faktoren!E20:GQ20,1,VLOOKUP($F$6,$L$2:$O$14,4,FALSE)+$C$9*5+VLOOKUP(D34,Auswahllisten!$E$25:$F$29,2,FALSE)))</f>
        <v>0</v>
      </c>
      <c r="J34" s="16">
        <f t="shared" ref="J34:J39" ca="1" si="44">H34*I34</f>
        <v>0</v>
      </c>
      <c r="K34" s="16">
        <f t="shared" ca="1" si="10"/>
        <v>0</v>
      </c>
      <c r="L34" s="16" t="b">
        <f t="shared" ca="1" si="41"/>
        <v>0</v>
      </c>
      <c r="M34" s="26">
        <f t="shared" ca="1" si="11"/>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IF($U$5=0,0,INDEX(Faktoren!E20:GQ20,1,VLOOKUP($X$5,$L$2:$O$14,4,FALSE)+$U$9*5+VLOOKUP(O34,Auswahllisten!$E$25:$F$29,2,FALSE)))</f>
        <v>0</v>
      </c>
      <c r="R34" s="26">
        <f t="shared" ca="1" si="12"/>
        <v>0</v>
      </c>
      <c r="S34" s="26" cm="1">
        <f t="array" aca="1" ref="S34" ca="1">INDIRECT("Investition_gewählt!"&amp;$AA$6&amp;AA34)</f>
        <v>2000</v>
      </c>
      <c r="T34" s="16" cm="1">
        <f t="array" aca="1" ref="T34" ca="1">IF($U$5=0,0,INDEX(Faktoren!E20:QG20,1,VLOOKUP($X$6,$L$3:$O$14,4,FALSE)+$U$9*5+VLOOKUP(O34,Auswahllisten!$E$25:$F$29,2,FALSE)))</f>
        <v>0</v>
      </c>
      <c r="U34" s="26">
        <f t="shared" ca="1" si="13"/>
        <v>0</v>
      </c>
      <c r="V34" s="26">
        <f t="shared" ca="1" si="14"/>
        <v>0</v>
      </c>
      <c r="W34" s="25" t="b">
        <f t="shared" ref="W34:W39" ca="1" si="45">($U$5=$L$32)</f>
        <v>0</v>
      </c>
      <c r="X34" s="26">
        <f t="shared" ca="1" si="16"/>
        <v>0</v>
      </c>
      <c r="Z34" s="1">
        <v>35</v>
      </c>
      <c r="AA34" s="1">
        <v>20</v>
      </c>
      <c r="AB34" s="1">
        <v>-2</v>
      </c>
      <c r="AN34" s="1">
        <v>9</v>
      </c>
      <c r="AO34" s="1">
        <f t="shared" si="19"/>
        <v>1</v>
      </c>
      <c r="AP34" s="69">
        <f t="shared" ca="1" si="20"/>
        <v>0</v>
      </c>
      <c r="AQ34" s="69">
        <f t="shared" ca="1" si="20"/>
        <v>0</v>
      </c>
      <c r="AR34" s="69">
        <f t="shared" si="20"/>
        <v>0</v>
      </c>
      <c r="AS34" s="69">
        <f t="shared" ca="1" si="20"/>
        <v>0</v>
      </c>
      <c r="AT34" s="69">
        <f t="shared" ca="1" si="20"/>
        <v>0</v>
      </c>
      <c r="AU34" s="69">
        <f t="shared" ca="1" si="20"/>
        <v>0</v>
      </c>
      <c r="AV34" s="69">
        <f t="shared" si="20"/>
        <v>0</v>
      </c>
      <c r="AW34" s="69">
        <f t="shared" ca="1" si="29"/>
        <v>0</v>
      </c>
      <c r="AX34" s="69">
        <f t="shared" ca="1" si="30"/>
        <v>0</v>
      </c>
      <c r="AY34" s="69">
        <f t="shared" ca="1" si="31"/>
        <v>0</v>
      </c>
      <c r="AZ34" s="69">
        <f ca="1">$AO34*IF(Auswahllisten!$G$150,AZ$25+AZ$25*AZ$13*$AN34,AZ$25*(1+AZ$13)^$AN34)</f>
        <v>0</v>
      </c>
      <c r="BA34" s="69">
        <f ca="1">$AO34*IF(Auswahllisten!$G$150,BA$25+BA$25*BA$13*$AN34,BA$25*(1+BA$13)^$AN34)</f>
        <v>0</v>
      </c>
      <c r="BB34" s="69">
        <f ca="1">$AO34*IF(Auswahllisten!$G$150,BB$25+BB$25*BB$13*$AN34,BB$25*(1+BB$13)^$AN34)</f>
        <v>0</v>
      </c>
      <c r="BC34" s="69">
        <f ca="1">$AO34*IF(Auswahllisten!$G$150,BC$25+BC$25*BC$13*$AN34,BC$25*(1+BC$13)^$AN34)</f>
        <v>0</v>
      </c>
      <c r="BD34" s="69">
        <f t="shared" ca="1" si="32"/>
        <v>0</v>
      </c>
      <c r="BE34" s="69">
        <f t="shared" ca="1" si="33"/>
        <v>0</v>
      </c>
      <c r="BF34" s="69">
        <f t="shared" ca="1" si="34"/>
        <v>0</v>
      </c>
      <c r="BG34" s="69">
        <f t="shared" ca="1" si="35"/>
        <v>0</v>
      </c>
      <c r="BI34" s="69">
        <f t="shared" ca="1" si="36"/>
        <v>0</v>
      </c>
      <c r="BJ34" s="69">
        <f t="shared" ca="1" si="37"/>
        <v>0</v>
      </c>
      <c r="BK34" s="69">
        <f t="shared" si="37"/>
        <v>0</v>
      </c>
      <c r="BL34" s="69">
        <f t="shared" ca="1" si="37"/>
        <v>0</v>
      </c>
      <c r="BM34" s="69">
        <f t="shared" ca="1" si="37"/>
        <v>0</v>
      </c>
      <c r="BN34" s="69">
        <f t="shared" ca="1" si="37"/>
        <v>0</v>
      </c>
      <c r="BO34" s="69">
        <f t="shared" si="37"/>
        <v>0</v>
      </c>
      <c r="BP34" s="69">
        <f t="shared" ca="1" si="22"/>
        <v>0</v>
      </c>
      <c r="BQ34" s="69">
        <f t="shared" ca="1" si="38"/>
        <v>0</v>
      </c>
      <c r="BR34" s="69">
        <f t="shared" ca="1" si="23"/>
        <v>0</v>
      </c>
      <c r="BS34" s="69">
        <f ca="1">$AO34*IF(Auswahllisten!$G$150,BS$25+BS$25*BS$13*$AN34,BS$25*(1+BS$13)^$AN34)</f>
        <v>0</v>
      </c>
      <c r="BT34" s="69">
        <f ca="1">$AO34*IF(Auswahllisten!$G$150,BT$25+BT$25*BT$13*$AN34,BT$25*(1+BT$13)^$AN34)</f>
        <v>0</v>
      </c>
      <c r="BU34" s="69">
        <f ca="1">$AO34*IF(Auswahllisten!$G$150,BU$25+BU$25*BU$13*$AN34,BU$25*(1+BU$13)^$AN34)</f>
        <v>0</v>
      </c>
      <c r="BV34" s="69">
        <f ca="1">$AO34*IF(Auswahllisten!$G$150,BV$25+BV$25*BV$13*$AN34,BV$25*(1+BV$13)^$AN34)</f>
        <v>0</v>
      </c>
      <c r="BW34" s="69">
        <f t="shared" ca="1" si="39"/>
        <v>0</v>
      </c>
      <c r="BX34" s="69">
        <f t="shared" ca="1" si="40"/>
        <v>0</v>
      </c>
      <c r="BY34" s="69">
        <f t="shared" ca="1" si="24"/>
        <v>0</v>
      </c>
      <c r="BZ34" s="69">
        <f t="shared" ca="1" si="25"/>
        <v>0</v>
      </c>
    </row>
    <row r="35" spans="1:78">
      <c r="A35" s="305" t="s">
        <v>1215</v>
      </c>
      <c r="B35" s="126" t="s">
        <v>303</v>
      </c>
      <c r="C35" s="126" t="s">
        <v>992</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IF($C$5=0,0,INDEX(Faktoren!E21:GQ21,1,VLOOKUP($F$5,$L$2:$O$14,4,FALSE)+$C$9*5+VLOOKUP(D35,Auswahllisten!$E$25:$F$29,2,FALSE)))</f>
        <v>0</v>
      </c>
      <c r="G35" s="26">
        <f t="shared" ca="1" si="43"/>
        <v>0</v>
      </c>
      <c r="H35" s="26" cm="1">
        <f t="array" aca="1" ref="H35" ca="1">INDIRECT("Investition_gewählt!"&amp;$I$6&amp;AA35)</f>
        <v>12000</v>
      </c>
      <c r="I35" s="25" cm="1">
        <f t="array" aca="1" ref="I35" ca="1">IF($C$5=0,0,INDEX(Faktoren!E21:GQ21,1,VLOOKUP($F$6,$L$2:$O$14,4,FALSE)+$C$9*5+VLOOKUP(D35,Auswahllisten!$E$25:$F$29,2,FALSE)))</f>
        <v>0</v>
      </c>
      <c r="J35" s="16">
        <f t="shared" ca="1" si="44"/>
        <v>0</v>
      </c>
      <c r="K35" s="16">
        <f t="shared" ca="1" si="10"/>
        <v>0</v>
      </c>
      <c r="L35" s="16" t="b">
        <f t="shared" ca="1" si="41"/>
        <v>0</v>
      </c>
      <c r="M35" s="26">
        <f t="shared" ca="1" si="11"/>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IF($U$5=0,0,INDEX(Faktoren!E21:GQ21,1,VLOOKUP($X$5,$L$2:$O$14,4,FALSE)+$U$9*5+VLOOKUP(O35,Auswahllisten!$E$25:$F$29,2,FALSE)))</f>
        <v>0</v>
      </c>
      <c r="R35" s="26">
        <f t="shared" ca="1" si="12"/>
        <v>0</v>
      </c>
      <c r="S35" s="26" cm="1">
        <f t="array" aca="1" ref="S35" ca="1">INDIRECT("Investition_gewählt!"&amp;$AA$6&amp;AA35)</f>
        <v>12000</v>
      </c>
      <c r="T35" s="16" cm="1">
        <f t="array" aca="1" ref="T35" ca="1">IF($U$5=0,0,INDEX(Faktoren!E21:QG21,1,VLOOKUP($X$6,$L$3:$O$14,4,FALSE)+$U$9*5+VLOOKUP(O35,Auswahllisten!$E$25:$F$29,2,FALSE)))</f>
        <v>0</v>
      </c>
      <c r="U35" s="26">
        <f t="shared" ca="1" si="13"/>
        <v>0</v>
      </c>
      <c r="V35" s="26">
        <f t="shared" ca="1" si="14"/>
        <v>0</v>
      </c>
      <c r="W35" s="25" t="b">
        <f t="shared" ca="1" si="45"/>
        <v>0</v>
      </c>
      <c r="X35" s="26">
        <f t="shared" ca="1" si="16"/>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19"/>
        <v>1</v>
      </c>
      <c r="AP35" s="69">
        <f t="shared" ca="1" si="20"/>
        <v>0</v>
      </c>
      <c r="AQ35" s="69">
        <f t="shared" ca="1" si="20"/>
        <v>0</v>
      </c>
      <c r="AR35" s="69">
        <f t="shared" si="20"/>
        <v>0</v>
      </c>
      <c r="AS35" s="69">
        <f t="shared" ca="1" si="20"/>
        <v>0</v>
      </c>
      <c r="AT35" s="69">
        <f t="shared" ca="1" si="20"/>
        <v>0</v>
      </c>
      <c r="AU35" s="69">
        <f t="shared" ca="1" si="20"/>
        <v>0</v>
      </c>
      <c r="AV35" s="69">
        <f t="shared" si="20"/>
        <v>0</v>
      </c>
      <c r="AW35" s="69">
        <f t="shared" ca="1" si="29"/>
        <v>0</v>
      </c>
      <c r="AX35" s="69">
        <f t="shared" ca="1" si="30"/>
        <v>0</v>
      </c>
      <c r="AY35" s="69">
        <f t="shared" ca="1" si="31"/>
        <v>0</v>
      </c>
      <c r="AZ35" s="69">
        <f ca="1">$AO35*IF(Auswahllisten!$G$150,AZ$25+AZ$25*AZ$13*$AN35,AZ$25*(1+AZ$13)^$AN35)</f>
        <v>0</v>
      </c>
      <c r="BA35" s="69">
        <f ca="1">$AO35*IF(Auswahllisten!$G$150,BA$25+BA$25*BA$13*$AN35,BA$25*(1+BA$13)^$AN35)</f>
        <v>0</v>
      </c>
      <c r="BB35" s="69">
        <f ca="1">$AO35*IF(Auswahllisten!$G$150,BB$25+BB$25*BB$13*$AN35,BB$25*(1+BB$13)^$AN35)</f>
        <v>0</v>
      </c>
      <c r="BC35" s="69">
        <f ca="1">$AO35*IF(Auswahllisten!$G$150,BC$25+BC$25*BC$13*$AN35,BC$25*(1+BC$13)^$AN35)</f>
        <v>0</v>
      </c>
      <c r="BD35" s="69">
        <f t="shared" ca="1" si="32"/>
        <v>0</v>
      </c>
      <c r="BE35" s="69">
        <f t="shared" ca="1" si="33"/>
        <v>0</v>
      </c>
      <c r="BF35" s="69">
        <f t="shared" ca="1" si="34"/>
        <v>0</v>
      </c>
      <c r="BG35" s="69">
        <f t="shared" ca="1" si="35"/>
        <v>0</v>
      </c>
      <c r="BI35" s="69">
        <f t="shared" ca="1" si="36"/>
        <v>0</v>
      </c>
      <c r="BJ35" s="69">
        <f t="shared" ca="1" si="37"/>
        <v>0</v>
      </c>
      <c r="BK35" s="69">
        <f t="shared" si="37"/>
        <v>0</v>
      </c>
      <c r="BL35" s="69">
        <f t="shared" ca="1" si="37"/>
        <v>0</v>
      </c>
      <c r="BM35" s="69">
        <f t="shared" ca="1" si="37"/>
        <v>0</v>
      </c>
      <c r="BN35" s="69">
        <f t="shared" ca="1" si="37"/>
        <v>0</v>
      </c>
      <c r="BO35" s="69">
        <f t="shared" si="37"/>
        <v>0</v>
      </c>
      <c r="BP35" s="69">
        <f t="shared" ca="1" si="22"/>
        <v>0</v>
      </c>
      <c r="BQ35" s="69">
        <f t="shared" ca="1" si="38"/>
        <v>0</v>
      </c>
      <c r="BR35" s="69">
        <f t="shared" ca="1" si="23"/>
        <v>0</v>
      </c>
      <c r="BS35" s="69">
        <f ca="1">$AO35*IF(Auswahllisten!$G$150,BS$25+BS$25*BS$13*$AN35,BS$25*(1+BS$13)^$AN35)</f>
        <v>0</v>
      </c>
      <c r="BT35" s="69">
        <f ca="1">$AO35*IF(Auswahllisten!$G$150,BT$25+BT$25*BT$13*$AN35,BT$25*(1+BT$13)^$AN35)</f>
        <v>0</v>
      </c>
      <c r="BU35" s="69">
        <f ca="1">$AO35*IF(Auswahllisten!$G$150,BU$25+BU$25*BU$13*$AN35,BU$25*(1+BU$13)^$AN35)</f>
        <v>0</v>
      </c>
      <c r="BV35" s="69">
        <f ca="1">$AO35*IF(Auswahllisten!$G$150,BV$25+BV$25*BV$13*$AN35,BV$25*(1+BV$13)^$AN35)</f>
        <v>0</v>
      </c>
      <c r="BW35" s="69">
        <f t="shared" ca="1" si="39"/>
        <v>0</v>
      </c>
      <c r="BX35" s="69">
        <f t="shared" ca="1" si="40"/>
        <v>0</v>
      </c>
      <c r="BY35" s="69">
        <f t="shared" ca="1" si="24"/>
        <v>0</v>
      </c>
      <c r="BZ35" s="69">
        <f t="shared" ca="1" si="25"/>
        <v>0</v>
      </c>
    </row>
    <row r="36" spans="1:78">
      <c r="A36" s="305" t="s">
        <v>1215</v>
      </c>
      <c r="B36" s="126" t="s">
        <v>303</v>
      </c>
      <c r="C36" s="126" t="s">
        <v>965</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IF($C$5=0,0,INDEX(Faktoren!E22:GQ22,1,VLOOKUP($F$5,$L$2:$O$14,4,FALSE)+$C$9*5+VLOOKUP(D36,Auswahllisten!$E$25:$F$29,2,FALSE)))</f>
        <v>0</v>
      </c>
      <c r="G36" s="26">
        <f t="shared" ca="1" si="43"/>
        <v>0</v>
      </c>
      <c r="H36" s="26" cm="1">
        <f t="array" aca="1" ref="H36" ca="1">INDIRECT("Investition_gewählt!"&amp;$I$6&amp;AA36)</f>
        <v>4000</v>
      </c>
      <c r="I36" s="25" cm="1">
        <f t="array" aca="1" ref="I36" ca="1">IF($C$5=0,0,INDEX(Faktoren!E22:GQ22,1,VLOOKUP($F$6,$L$2:$O$14,4,FALSE)+$C$9*5+VLOOKUP(D36,Auswahllisten!$E$25:$F$29,2,FALSE)))</f>
        <v>0</v>
      </c>
      <c r="J36" s="16">
        <f t="shared" ca="1" si="44"/>
        <v>0</v>
      </c>
      <c r="K36" s="16">
        <f t="shared" ca="1" si="10"/>
        <v>0</v>
      </c>
      <c r="L36" s="16" t="b">
        <f t="shared" ca="1" si="41"/>
        <v>0</v>
      </c>
      <c r="M36" s="26">
        <f t="shared" ca="1" si="11"/>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IF($U$5=0,0,INDEX(Faktoren!E22:GQ22,1,VLOOKUP($X$5,$L$2:$O$14,4,FALSE)+$U$9*5+VLOOKUP(O36,Auswahllisten!$E$25:$F$29,2,FALSE)))</f>
        <v>0</v>
      </c>
      <c r="R36" s="26">
        <f t="shared" ca="1" si="12"/>
        <v>0</v>
      </c>
      <c r="S36" s="26" cm="1">
        <f t="array" aca="1" ref="S36" ca="1">INDIRECT("Investition_gewählt!"&amp;$AA$6&amp;AA36)</f>
        <v>4000</v>
      </c>
      <c r="T36" s="16" cm="1">
        <f t="array" aca="1" ref="T36" ca="1">IF($U$5=0,0,INDEX(Faktoren!E22:QG22,1,VLOOKUP($X$6,$L$3:$O$14,4,FALSE)+$U$9*5+VLOOKUP(O36,Auswahllisten!$E$25:$F$29,2,FALSE)))</f>
        <v>0</v>
      </c>
      <c r="U36" s="26">
        <f t="shared" ca="1" si="13"/>
        <v>0</v>
      </c>
      <c r="V36" s="26">
        <f t="shared" ca="1" si="14"/>
        <v>0</v>
      </c>
      <c r="W36" s="25" t="b">
        <f t="shared" ca="1" si="45"/>
        <v>0</v>
      </c>
      <c r="X36" s="26">
        <f t="shared" ca="1" si="16"/>
        <v>0</v>
      </c>
      <c r="Z36" s="1">
        <v>42</v>
      </c>
      <c r="AA36" s="1">
        <v>22</v>
      </c>
      <c r="AB36" s="1">
        <v>-2</v>
      </c>
      <c r="AC36" s="35"/>
      <c r="AD36" s="35"/>
      <c r="AE36" s="310" t="s">
        <v>1242</v>
      </c>
      <c r="AF36" s="26">
        <f ca="1">AF23</f>
        <v>0</v>
      </c>
      <c r="AG36" s="26"/>
      <c r="AH36" s="26">
        <f t="shared" ref="AH36" ca="1" si="46">AH23</f>
        <v>0</v>
      </c>
      <c r="AI36" s="26">
        <f ca="1">AI23</f>
        <v>0</v>
      </c>
      <c r="AJ36" s="26"/>
      <c r="AK36" s="26">
        <f t="shared" ref="AK36" ca="1" si="47">AK23</f>
        <v>0</v>
      </c>
      <c r="AN36" s="1">
        <v>11</v>
      </c>
      <c r="AO36" s="1">
        <f t="shared" si="19"/>
        <v>1</v>
      </c>
      <c r="AP36" s="69">
        <f t="shared" ref="AP36:AV45" ca="1" si="48">IFERROR($AO36*IF(MOD($AN36,AP$20)=0,AP$25,0)*(1+$AS$10)^$AN36*IF($AS$3=$AN36,0,1),0)</f>
        <v>0</v>
      </c>
      <c r="AQ36" s="69">
        <f t="shared" ca="1" si="48"/>
        <v>0</v>
      </c>
      <c r="AR36" s="69">
        <f t="shared" si="48"/>
        <v>0</v>
      </c>
      <c r="AS36" s="69">
        <f t="shared" ca="1" si="48"/>
        <v>0</v>
      </c>
      <c r="AT36" s="69">
        <f t="shared" ca="1" si="48"/>
        <v>0</v>
      </c>
      <c r="AU36" s="69">
        <f t="shared" ca="1" si="48"/>
        <v>0</v>
      </c>
      <c r="AV36" s="69">
        <f t="shared" si="48"/>
        <v>0</v>
      </c>
      <c r="AW36" s="69">
        <f t="shared" ca="1" si="29"/>
        <v>0</v>
      </c>
      <c r="AX36" s="69">
        <f t="shared" ca="1" si="30"/>
        <v>0</v>
      </c>
      <c r="AY36" s="69">
        <f t="shared" ca="1" si="31"/>
        <v>0</v>
      </c>
      <c r="AZ36" s="69">
        <f ca="1">$AO36*IF(Auswahllisten!$G$150,AZ$25+AZ$25*AZ$13*$AN36,AZ$25*(1+AZ$13)^$AN36)</f>
        <v>0</v>
      </c>
      <c r="BA36" s="69">
        <f ca="1">$AO36*IF(Auswahllisten!$G$150,BA$25+BA$25*BA$13*$AN36,BA$25*(1+BA$13)^$AN36)</f>
        <v>0</v>
      </c>
      <c r="BB36" s="69">
        <f ca="1">$AO36*IF(Auswahllisten!$G$150,BB$25+BB$25*BB$13*$AN36,BB$25*(1+BB$13)^$AN36)</f>
        <v>0</v>
      </c>
      <c r="BC36" s="69">
        <f ca="1">$AO36*IF(Auswahllisten!$G$150,BC$25+BC$25*BC$13*$AN36,BC$25*(1+BC$13)^$AN36)</f>
        <v>0</v>
      </c>
      <c r="BD36" s="69">
        <f t="shared" ca="1" si="32"/>
        <v>0</v>
      </c>
      <c r="BE36" s="69">
        <f t="shared" ca="1" si="33"/>
        <v>0</v>
      </c>
      <c r="BF36" s="69">
        <f t="shared" ca="1" si="34"/>
        <v>0</v>
      </c>
      <c r="BG36" s="69">
        <f t="shared" ca="1" si="35"/>
        <v>0</v>
      </c>
      <c r="BI36" s="69">
        <f t="shared" ca="1" si="36"/>
        <v>0</v>
      </c>
      <c r="BJ36" s="69">
        <f t="shared" ca="1" si="37"/>
        <v>0</v>
      </c>
      <c r="BK36" s="69">
        <f t="shared" si="37"/>
        <v>0</v>
      </c>
      <c r="BL36" s="69">
        <f t="shared" ca="1" si="37"/>
        <v>0</v>
      </c>
      <c r="BM36" s="69">
        <f t="shared" ca="1" si="37"/>
        <v>0</v>
      </c>
      <c r="BN36" s="69">
        <f t="shared" ca="1" si="37"/>
        <v>0</v>
      </c>
      <c r="BO36" s="69">
        <f t="shared" si="37"/>
        <v>0</v>
      </c>
      <c r="BP36" s="69">
        <f t="shared" ca="1" si="22"/>
        <v>0</v>
      </c>
      <c r="BQ36" s="69">
        <f t="shared" ca="1" si="38"/>
        <v>0</v>
      </c>
      <c r="BR36" s="69">
        <f t="shared" ca="1" si="23"/>
        <v>0</v>
      </c>
      <c r="BS36" s="69">
        <f ca="1">$AO36*IF(Auswahllisten!$G$150,BS$25+BS$25*BS$13*$AN36,BS$25*(1+BS$13)^$AN36)</f>
        <v>0</v>
      </c>
      <c r="BT36" s="69">
        <f ca="1">$AO36*IF(Auswahllisten!$G$150,BT$25+BT$25*BT$13*$AN36,BT$25*(1+BT$13)^$AN36)</f>
        <v>0</v>
      </c>
      <c r="BU36" s="69">
        <f ca="1">$AO36*IF(Auswahllisten!$G$150,BU$25+BU$25*BU$13*$AN36,BU$25*(1+BU$13)^$AN36)</f>
        <v>0</v>
      </c>
      <c r="BV36" s="69">
        <f ca="1">$AO36*IF(Auswahllisten!$G$150,BV$25+BV$25*BV$13*$AN36,BV$25*(1+BV$13)^$AN36)</f>
        <v>0</v>
      </c>
      <c r="BW36" s="69">
        <f t="shared" ca="1" si="39"/>
        <v>0</v>
      </c>
      <c r="BX36" s="69">
        <f t="shared" ca="1" si="40"/>
        <v>0</v>
      </c>
      <c r="BY36" s="69">
        <f t="shared" ca="1" si="24"/>
        <v>0</v>
      </c>
      <c r="BZ36" s="69">
        <f t="shared" ca="1" si="25"/>
        <v>0</v>
      </c>
    </row>
    <row r="37" spans="1:78">
      <c r="A37" s="305" t="s">
        <v>1218</v>
      </c>
      <c r="B37" s="126" t="s">
        <v>1243</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IF($C$5=0,0,INDEX(Faktoren!E23:GQ23,1,VLOOKUP($F$5,$L$2:$O$14,4,FALSE)+$C$9*5+VLOOKUP(D37,Auswahllisten!$E$25:$F$29,2,FALSE)))</f>
        <v>0</v>
      </c>
      <c r="G37" s="26">
        <f t="shared" ca="1" si="43"/>
        <v>0</v>
      </c>
      <c r="H37" s="26" cm="1">
        <f t="array" aca="1" ref="H37" ca="1">INDIRECT("Investition_gewählt!"&amp;$I$6&amp;AA37)</f>
        <v>1500</v>
      </c>
      <c r="I37" s="25" cm="1">
        <f t="array" aca="1" ref="I37" ca="1">IF($C$5=0,0,INDEX(Faktoren!E23:GQ23,1,VLOOKUP($F$6,$L$2:$O$14,4,FALSE)+$C$9*5+VLOOKUP(D37,Auswahllisten!$E$25:$F$29,2,FALSE)))</f>
        <v>0</v>
      </c>
      <c r="J37" s="16">
        <f t="shared" ca="1" si="44"/>
        <v>0</v>
      </c>
      <c r="K37" s="16">
        <f t="shared" ca="1" si="10"/>
        <v>0</v>
      </c>
      <c r="L37" s="16" t="b">
        <f t="shared" ca="1" si="41"/>
        <v>0</v>
      </c>
      <c r="M37" s="26">
        <f t="shared" ca="1" si="11"/>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IF($U$5=0,0,INDEX(Faktoren!E23:GQ23,1,VLOOKUP($X$5,$L$2:$O$14,4,FALSE)+$U$9*5+VLOOKUP(O37,Auswahllisten!$E$25:$F$29,2,FALSE)))</f>
        <v>0</v>
      </c>
      <c r="R37" s="26">
        <f t="shared" ca="1" si="12"/>
        <v>0</v>
      </c>
      <c r="S37" s="26" cm="1">
        <f t="array" aca="1" ref="S37" ca="1">INDIRECT("Investition_gewählt!"&amp;$AA$6&amp;AA37)</f>
        <v>1500</v>
      </c>
      <c r="T37" s="16" cm="1">
        <f t="array" aca="1" ref="T37" ca="1">IF($U$5=0,0,INDEX(Faktoren!E23:QG23,1,VLOOKUP($X$6,$L$3:$O$14,4,FALSE)+$U$9*5+VLOOKUP(O37,Auswahllisten!$E$25:$F$29,2,FALSE)))</f>
        <v>0</v>
      </c>
      <c r="U37" s="26">
        <f t="shared" ca="1" si="13"/>
        <v>0</v>
      </c>
      <c r="V37" s="26">
        <f t="shared" ca="1" si="14"/>
        <v>0</v>
      </c>
      <c r="W37" s="25" t="b">
        <f t="shared" ca="1" si="45"/>
        <v>0</v>
      </c>
      <c r="X37" s="26">
        <f t="shared" ca="1" si="16"/>
        <v>0</v>
      </c>
      <c r="Z37" s="1">
        <v>41</v>
      </c>
      <c r="AA37" s="1">
        <v>23</v>
      </c>
      <c r="AB37" s="1">
        <v>-2</v>
      </c>
      <c r="AC37" s="35"/>
      <c r="AD37" s="35"/>
      <c r="AE37" s="83" t="s">
        <v>1257</v>
      </c>
      <c r="AF37" s="26">
        <f ca="1">AF25-AG25</f>
        <v>0</v>
      </c>
      <c r="AG37" s="26"/>
      <c r="AH37" s="26">
        <f ca="1">AH25</f>
        <v>0</v>
      </c>
      <c r="AI37" s="26">
        <f>AI25-AJ25</f>
        <v>0</v>
      </c>
      <c r="AJ37" s="26"/>
      <c r="AK37" s="26">
        <f>AK25</f>
        <v>0</v>
      </c>
      <c r="AN37" s="1">
        <v>12</v>
      </c>
      <c r="AO37" s="1">
        <f t="shared" si="19"/>
        <v>1</v>
      </c>
      <c r="AP37" s="69">
        <f t="shared" ca="1" si="48"/>
        <v>0</v>
      </c>
      <c r="AQ37" s="69">
        <f t="shared" ca="1" si="48"/>
        <v>0</v>
      </c>
      <c r="AR37" s="69">
        <f t="shared" si="48"/>
        <v>0</v>
      </c>
      <c r="AS37" s="69">
        <f t="shared" ca="1" si="48"/>
        <v>0</v>
      </c>
      <c r="AT37" s="69">
        <f t="shared" ca="1" si="48"/>
        <v>0</v>
      </c>
      <c r="AU37" s="69">
        <f t="shared" ca="1" si="48"/>
        <v>0</v>
      </c>
      <c r="AV37" s="69">
        <f t="shared" si="48"/>
        <v>0</v>
      </c>
      <c r="AW37" s="69">
        <f t="shared" ca="1" si="29"/>
        <v>0</v>
      </c>
      <c r="AX37" s="69">
        <f t="shared" ca="1" si="30"/>
        <v>0</v>
      </c>
      <c r="AY37" s="69">
        <f t="shared" ca="1" si="31"/>
        <v>0</v>
      </c>
      <c r="AZ37" s="69">
        <f ca="1">$AO37*IF(Auswahllisten!$G$150,AZ$25+AZ$25*AZ$13*$AN37,AZ$25*(1+AZ$13)^$AN37)</f>
        <v>0</v>
      </c>
      <c r="BA37" s="69">
        <f ca="1">$AO37*IF(Auswahllisten!$G$150,BA$25+BA$25*BA$13*$AN37,BA$25*(1+BA$13)^$AN37)</f>
        <v>0</v>
      </c>
      <c r="BB37" s="69">
        <f ca="1">$AO37*IF(Auswahllisten!$G$150,BB$25+BB$25*BB$13*$AN37,BB$25*(1+BB$13)^$AN37)</f>
        <v>0</v>
      </c>
      <c r="BC37" s="69">
        <f ca="1">$AO37*IF(Auswahllisten!$G$150,BC$25+BC$25*BC$13*$AN37,BC$25*(1+BC$13)^$AN37)</f>
        <v>0</v>
      </c>
      <c r="BD37" s="69">
        <f t="shared" ca="1" si="32"/>
        <v>0</v>
      </c>
      <c r="BE37" s="69">
        <f t="shared" ca="1" si="33"/>
        <v>0</v>
      </c>
      <c r="BF37" s="69">
        <f t="shared" ca="1" si="34"/>
        <v>0</v>
      </c>
      <c r="BG37" s="69">
        <f t="shared" ca="1" si="35"/>
        <v>0</v>
      </c>
      <c r="BI37" s="69">
        <f t="shared" ca="1" si="36"/>
        <v>0</v>
      </c>
      <c r="BJ37" s="69">
        <f t="shared" ca="1" si="37"/>
        <v>0</v>
      </c>
      <c r="BK37" s="69">
        <f t="shared" si="37"/>
        <v>0</v>
      </c>
      <c r="BL37" s="69">
        <f t="shared" ca="1" si="37"/>
        <v>0</v>
      </c>
      <c r="BM37" s="69">
        <f t="shared" ca="1" si="37"/>
        <v>0</v>
      </c>
      <c r="BN37" s="69">
        <f t="shared" ca="1" si="37"/>
        <v>0</v>
      </c>
      <c r="BO37" s="69">
        <f t="shared" si="37"/>
        <v>0</v>
      </c>
      <c r="BP37" s="69">
        <f t="shared" ca="1" si="22"/>
        <v>0</v>
      </c>
      <c r="BQ37" s="69">
        <f t="shared" ca="1" si="38"/>
        <v>0</v>
      </c>
      <c r="BR37" s="69">
        <f t="shared" ca="1" si="23"/>
        <v>0</v>
      </c>
      <c r="BS37" s="69">
        <f ca="1">$AO37*IF(Auswahllisten!$G$150,BS$25+BS$25*BS$13*$AN37,BS$25*(1+BS$13)^$AN37)</f>
        <v>0</v>
      </c>
      <c r="BT37" s="69">
        <f ca="1">$AO37*IF(Auswahllisten!$G$150,BT$25+BT$25*BT$13*$AN37,BT$25*(1+BT$13)^$AN37)</f>
        <v>0</v>
      </c>
      <c r="BU37" s="69">
        <f ca="1">$AO37*IF(Auswahllisten!$G$150,BU$25+BU$25*BU$13*$AN37,BU$25*(1+BU$13)^$AN37)</f>
        <v>0</v>
      </c>
      <c r="BV37" s="69">
        <f ca="1">$AO37*IF(Auswahllisten!$G$150,BV$25+BV$25*BV$13*$AN37,BV$25*(1+BV$13)^$AN37)</f>
        <v>0</v>
      </c>
      <c r="BW37" s="69">
        <f t="shared" ca="1" si="39"/>
        <v>0</v>
      </c>
      <c r="BX37" s="69">
        <f t="shared" ca="1" si="40"/>
        <v>0</v>
      </c>
      <c r="BY37" s="69">
        <f t="shared" ca="1" si="24"/>
        <v>0</v>
      </c>
      <c r="BZ37" s="69">
        <f t="shared" ca="1" si="25"/>
        <v>0</v>
      </c>
    </row>
    <row r="38" spans="1:78">
      <c r="A38" s="305" t="s">
        <v>1215</v>
      </c>
      <c r="B38" s="126" t="s">
        <v>303</v>
      </c>
      <c r="C38" s="126" t="s">
        <v>966</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IF($C$5=0,0,INDEX(Faktoren!E24:GQ24,1,VLOOKUP($F$5,$L$2:$O$14,4,FALSE)+$C$9*5+VLOOKUP(D38,Auswahllisten!$E$25:$F$29,2,FALSE)))</f>
        <v>0</v>
      </c>
      <c r="G38" s="26">
        <f t="shared" ca="1" si="43"/>
        <v>0</v>
      </c>
      <c r="H38" s="26" cm="1">
        <f t="array" aca="1" ref="H38" ca="1">INDIRECT("Investition_gewählt!"&amp;$I$6&amp;AA38)</f>
        <v>8500</v>
      </c>
      <c r="I38" s="25" cm="1">
        <f t="array" aca="1" ref="I38" ca="1">IF($C$5=0,0,INDEX(Faktoren!E24:GQ24,1,VLOOKUP($F$6,$L$2:$O$14,4,FALSE)+$C$9*5+VLOOKUP(D38,Auswahllisten!$E$25:$F$29,2,FALSE)))</f>
        <v>0</v>
      </c>
      <c r="J38" s="16">
        <f t="shared" ca="1" si="44"/>
        <v>0</v>
      </c>
      <c r="K38" s="16">
        <f t="shared" ca="1" si="10"/>
        <v>0</v>
      </c>
      <c r="L38" s="16" t="b">
        <f t="shared" ca="1" si="41"/>
        <v>0</v>
      </c>
      <c r="M38" s="26">
        <f t="shared" ca="1" si="11"/>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IF($U$5=0,0,INDEX(Faktoren!E24:GQ24,1,VLOOKUP($X$5,$L$2:$O$14,4,FALSE)+$U$9*5+VLOOKUP(O38,Auswahllisten!$E$25:$F$29,2,FALSE)))</f>
        <v>0</v>
      </c>
      <c r="R38" s="26">
        <f t="shared" ca="1" si="12"/>
        <v>0</v>
      </c>
      <c r="S38" s="26" cm="1">
        <f t="array" aca="1" ref="S38" ca="1">INDIRECT("Investition_gewählt!"&amp;$AA$6&amp;AA38)</f>
        <v>8500</v>
      </c>
      <c r="T38" s="16" cm="1">
        <f t="array" aca="1" ref="T38" ca="1">IF($U$5=0,0,INDEX(Faktoren!E24:QG24,1,VLOOKUP($X$6,$L$3:$O$14,4,FALSE)+$U$9*5+VLOOKUP(O38,Auswahllisten!$E$25:$F$29,2,FALSE)))</f>
        <v>0</v>
      </c>
      <c r="U38" s="26">
        <f t="shared" ca="1" si="13"/>
        <v>0</v>
      </c>
      <c r="V38" s="26">
        <f t="shared" ca="1" si="14"/>
        <v>0</v>
      </c>
      <c r="W38" s="25" t="b">
        <f t="shared" ca="1" si="45"/>
        <v>0</v>
      </c>
      <c r="X38" s="26">
        <f t="shared" ca="1" si="16"/>
        <v>0</v>
      </c>
      <c r="Z38" s="1">
        <v>47</v>
      </c>
      <c r="AA38" s="1">
        <v>24</v>
      </c>
      <c r="AB38" s="1">
        <v>-2</v>
      </c>
      <c r="AC38" s="35"/>
      <c r="AD38" s="35"/>
      <c r="AE38" s="83" t="s">
        <v>186</v>
      </c>
      <c r="AF38" s="26">
        <f ca="1">AF26</f>
        <v>0</v>
      </c>
      <c r="AG38" s="26"/>
      <c r="AH38" s="26">
        <f t="shared" ref="AH38" ca="1" si="49">AH26</f>
        <v>0</v>
      </c>
      <c r="AI38" s="26">
        <f ca="1">AI26</f>
        <v>0</v>
      </c>
      <c r="AJ38" s="26"/>
      <c r="AK38" s="26">
        <f t="shared" ref="AK38" ca="1" si="50">AK26</f>
        <v>0</v>
      </c>
      <c r="AN38" s="1">
        <v>13</v>
      </c>
      <c r="AO38" s="1">
        <f t="shared" si="19"/>
        <v>1</v>
      </c>
      <c r="AP38" s="69">
        <f t="shared" ca="1" si="48"/>
        <v>0</v>
      </c>
      <c r="AQ38" s="69">
        <f t="shared" ca="1" si="48"/>
        <v>0</v>
      </c>
      <c r="AR38" s="69">
        <f t="shared" si="48"/>
        <v>0</v>
      </c>
      <c r="AS38" s="69">
        <f t="shared" ca="1" si="48"/>
        <v>0</v>
      </c>
      <c r="AT38" s="69">
        <f t="shared" ca="1" si="48"/>
        <v>0</v>
      </c>
      <c r="AU38" s="69">
        <f t="shared" ca="1" si="48"/>
        <v>0</v>
      </c>
      <c r="AV38" s="69">
        <f t="shared" si="48"/>
        <v>0</v>
      </c>
      <c r="AW38" s="69">
        <f t="shared" ca="1" si="29"/>
        <v>0</v>
      </c>
      <c r="AX38" s="69">
        <f t="shared" ca="1" si="30"/>
        <v>0</v>
      </c>
      <c r="AY38" s="69">
        <f t="shared" ca="1" si="31"/>
        <v>0</v>
      </c>
      <c r="AZ38" s="69">
        <f ca="1">$AO38*IF(Auswahllisten!$G$150,AZ$25+AZ$25*AZ$13*$AN38,AZ$25*(1+AZ$13)^$AN38)</f>
        <v>0</v>
      </c>
      <c r="BA38" s="69">
        <f ca="1">$AO38*IF(Auswahllisten!$G$150,BA$25+BA$25*BA$13*$AN38,BA$25*(1+BA$13)^$AN38)</f>
        <v>0</v>
      </c>
      <c r="BB38" s="69">
        <f ca="1">$AO38*IF(Auswahllisten!$G$150,BB$25+BB$25*BB$13*$AN38,BB$25*(1+BB$13)^$AN38)</f>
        <v>0</v>
      </c>
      <c r="BC38" s="69">
        <f ca="1">$AO38*IF(Auswahllisten!$G$150,BC$25+BC$25*BC$13*$AN38,BC$25*(1+BC$13)^$AN38)</f>
        <v>0</v>
      </c>
      <c r="BD38" s="69">
        <f t="shared" ca="1" si="32"/>
        <v>0</v>
      </c>
      <c r="BE38" s="69">
        <f t="shared" ca="1" si="33"/>
        <v>0</v>
      </c>
      <c r="BF38" s="69">
        <f t="shared" ca="1" si="34"/>
        <v>0</v>
      </c>
      <c r="BG38" s="69">
        <f t="shared" ca="1" si="35"/>
        <v>0</v>
      </c>
      <c r="BI38" s="69">
        <f t="shared" ca="1" si="36"/>
        <v>0</v>
      </c>
      <c r="BJ38" s="69">
        <f t="shared" ca="1" si="37"/>
        <v>0</v>
      </c>
      <c r="BK38" s="69">
        <f t="shared" si="37"/>
        <v>0</v>
      </c>
      <c r="BL38" s="69">
        <f t="shared" ca="1" si="37"/>
        <v>0</v>
      </c>
      <c r="BM38" s="69">
        <f t="shared" ca="1" si="37"/>
        <v>0</v>
      </c>
      <c r="BN38" s="69">
        <f t="shared" ca="1" si="37"/>
        <v>0</v>
      </c>
      <c r="BO38" s="69">
        <f t="shared" si="37"/>
        <v>0</v>
      </c>
      <c r="BP38" s="69">
        <f t="shared" ca="1" si="22"/>
        <v>0</v>
      </c>
      <c r="BQ38" s="69">
        <f t="shared" ca="1" si="38"/>
        <v>0</v>
      </c>
      <c r="BR38" s="69">
        <f t="shared" ca="1" si="23"/>
        <v>0</v>
      </c>
      <c r="BS38" s="69">
        <f ca="1">$AO38*IF(Auswahllisten!$G$150,BS$25+BS$25*BS$13*$AN38,BS$25*(1+BS$13)^$AN38)</f>
        <v>0</v>
      </c>
      <c r="BT38" s="69">
        <f ca="1">$AO38*IF(Auswahllisten!$G$150,BT$25+BT$25*BT$13*$AN38,BT$25*(1+BT$13)^$AN38)</f>
        <v>0</v>
      </c>
      <c r="BU38" s="69">
        <f ca="1">$AO38*IF(Auswahllisten!$G$150,BU$25+BU$25*BU$13*$AN38,BU$25*(1+BU$13)^$AN38)</f>
        <v>0</v>
      </c>
      <c r="BV38" s="69">
        <f ca="1">$AO38*IF(Auswahllisten!$G$150,BV$25+BV$25*BV$13*$AN38,BV$25*(1+BV$13)^$AN38)</f>
        <v>0</v>
      </c>
      <c r="BW38" s="69">
        <f t="shared" ca="1" si="39"/>
        <v>0</v>
      </c>
      <c r="BX38" s="69">
        <f t="shared" ca="1" si="40"/>
        <v>0</v>
      </c>
      <c r="BY38" s="69">
        <f t="shared" ca="1" si="24"/>
        <v>0</v>
      </c>
      <c r="BZ38" s="69">
        <f t="shared" ca="1" si="25"/>
        <v>0</v>
      </c>
    </row>
    <row r="39" spans="1:78">
      <c r="A39" s="306" t="s">
        <v>1256</v>
      </c>
      <c r="B39" s="297" t="s">
        <v>303</v>
      </c>
      <c r="C39" s="134" t="s">
        <v>186</v>
      </c>
      <c r="D39" s="163" t="str" cm="1">
        <f t="array" aca="1" ref="D39" ca="1">INDIRECT("Vergleich!"&amp;$G$2&amp;Z39)</f>
        <v>mittel</v>
      </c>
      <c r="E39" s="163" cm="1">
        <f t="array" aca="1" ref="E39" ca="1">INDIRECT("Investition_gewählt!"&amp;$I$5&amp;AA39)</f>
        <v>4000</v>
      </c>
      <c r="F39" s="61" cm="1">
        <f t="array" aca="1" ref="F39" ca="1">IF($C$5=0,0,INDEX(Faktoren!E25:GQ25,1,VLOOKUP($F$5,$L$2:$O$14,4,FALSE)+$C$9*5+VLOOKUP(D39,Auswahllisten!$E$25:$F$29,2,FALSE)))</f>
        <v>0</v>
      </c>
      <c r="G39" s="296">
        <f t="shared" ca="1" si="43"/>
        <v>0</v>
      </c>
      <c r="H39" s="296" cm="1">
        <f t="array" aca="1" ref="H39" ca="1">INDIRECT("Investition_gewählt!"&amp;$I$6&amp;AA39)</f>
        <v>4000</v>
      </c>
      <c r="I39" s="61" cm="1">
        <f t="array" aca="1" ref="I39" ca="1">IF($C$5=0,0,INDEX(Faktoren!E25:GQ25,1,VLOOKUP($F$6,$L$2:$O$14,4,FALSE)+$C$9*5+VLOOKUP(D39,Auswahllisten!$E$25:$F$29,2,FALSE)))</f>
        <v>0</v>
      </c>
      <c r="J39" s="93">
        <f t="shared" ca="1" si="44"/>
        <v>0</v>
      </c>
      <c r="K39" s="93">
        <f t="shared" ca="1" si="10"/>
        <v>0</v>
      </c>
      <c r="L39" s="93" t="b">
        <f t="shared" ca="1" si="41"/>
        <v>0</v>
      </c>
      <c r="M39" s="163">
        <f t="shared" ca="1" si="11"/>
        <v>0</v>
      </c>
      <c r="O39" s="93" t="str" cm="1">
        <f t="array" aca="1" ref="O39" ca="1">INDIRECT("Vergleich!"&amp;$Y$2&amp;Z39)</f>
        <v>gering</v>
      </c>
      <c r="P39" s="163" cm="1">
        <f t="array" aca="1" ref="P39" ca="1">INDIRECT("Investition_gewählt!"&amp;$AA$5&amp;AA39)</f>
        <v>4000</v>
      </c>
      <c r="Q39" s="93" cm="1">
        <f t="array" aca="1" ref="Q39" ca="1">IF($U$5=0,0,INDEX(Faktoren!E25:GQ25,1,VLOOKUP($X$5,$L$2:$O$14,4,FALSE)+$U$9*5+VLOOKUP(O39,Auswahllisten!$E$25:$F$29,2,FALSE)))</f>
        <v>0</v>
      </c>
      <c r="R39" s="163">
        <f t="shared" ca="1" si="12"/>
        <v>0</v>
      </c>
      <c r="S39" s="163" cm="1">
        <f t="array" aca="1" ref="S39" ca="1">INDIRECT("Investition_gewählt!"&amp;$AA$6&amp;AA39)</f>
        <v>4000</v>
      </c>
      <c r="T39" s="93" cm="1">
        <f t="array" aca="1" ref="T39" ca="1">IF($U$5=0,0,INDEX(Faktoren!E25:QG25,1,VLOOKUP($X$6,$L$3:$O$14,4,FALSE)+$U$9*5+VLOOKUP(O39,Auswahllisten!$E$25:$F$29,2,FALSE)))</f>
        <v>0</v>
      </c>
      <c r="U39" s="163">
        <f t="shared" ca="1" si="13"/>
        <v>0</v>
      </c>
      <c r="V39" s="163">
        <f t="shared" ca="1" si="14"/>
        <v>0</v>
      </c>
      <c r="W39" s="61" t="b">
        <f t="shared" ca="1" si="45"/>
        <v>0</v>
      </c>
      <c r="X39" s="163">
        <f t="shared" ca="1" si="16"/>
        <v>0</v>
      </c>
      <c r="Z39" s="1">
        <v>48</v>
      </c>
      <c r="AA39" s="1">
        <v>25</v>
      </c>
      <c r="AB39" s="1">
        <v>-2</v>
      </c>
      <c r="AC39" s="35"/>
      <c r="AD39" s="35"/>
      <c r="AE39" s="83" t="s">
        <v>1012</v>
      </c>
      <c r="AF39" s="26">
        <f ca="1">AF28</f>
        <v>0</v>
      </c>
      <c r="AG39" s="26"/>
      <c r="AH39" s="26">
        <f t="shared" ref="AH39" ca="1" si="51">AH28</f>
        <v>0</v>
      </c>
      <c r="AI39" s="26">
        <f>AI28</f>
        <v>0</v>
      </c>
      <c r="AJ39" s="26"/>
      <c r="AK39" s="26">
        <f t="shared" ref="AK39" si="52">AK28</f>
        <v>0</v>
      </c>
      <c r="AN39" s="1">
        <v>14</v>
      </c>
      <c r="AO39" s="1">
        <f t="shared" si="19"/>
        <v>1</v>
      </c>
      <c r="AP39" s="69">
        <f t="shared" ca="1" si="48"/>
        <v>0</v>
      </c>
      <c r="AQ39" s="69">
        <f t="shared" ca="1" si="48"/>
        <v>0</v>
      </c>
      <c r="AR39" s="69">
        <f t="shared" si="48"/>
        <v>0</v>
      </c>
      <c r="AS39" s="69">
        <f t="shared" ca="1" si="48"/>
        <v>0</v>
      </c>
      <c r="AT39" s="69">
        <f t="shared" ca="1" si="48"/>
        <v>0</v>
      </c>
      <c r="AU39" s="69">
        <f t="shared" ca="1" si="48"/>
        <v>0</v>
      </c>
      <c r="AV39" s="69">
        <f t="shared" si="48"/>
        <v>0</v>
      </c>
      <c r="AW39" s="69">
        <f t="shared" ca="1" si="29"/>
        <v>0</v>
      </c>
      <c r="AX39" s="69">
        <f t="shared" ca="1" si="30"/>
        <v>0</v>
      </c>
      <c r="AY39" s="69">
        <f t="shared" ca="1" si="31"/>
        <v>0</v>
      </c>
      <c r="AZ39" s="69">
        <f ca="1">$AO39*IF(Auswahllisten!$G$150,AZ$25+AZ$25*AZ$13*$AN39,AZ$25*(1+AZ$13)^$AN39)</f>
        <v>0</v>
      </c>
      <c r="BA39" s="69">
        <f ca="1">$AO39*IF(Auswahllisten!$G$150,BA$25+BA$25*BA$13*$AN39,BA$25*(1+BA$13)^$AN39)</f>
        <v>0</v>
      </c>
      <c r="BB39" s="69">
        <f ca="1">$AO39*IF(Auswahllisten!$G$150,BB$25+BB$25*BB$13*$AN39,BB$25*(1+BB$13)^$AN39)</f>
        <v>0</v>
      </c>
      <c r="BC39" s="69">
        <f ca="1">$AO39*IF(Auswahllisten!$G$150,BC$25+BC$25*BC$13*$AN39,BC$25*(1+BC$13)^$AN39)</f>
        <v>0</v>
      </c>
      <c r="BD39" s="69">
        <f t="shared" ca="1" si="32"/>
        <v>0</v>
      </c>
      <c r="BE39" s="69">
        <f t="shared" ca="1" si="33"/>
        <v>0</v>
      </c>
      <c r="BF39" s="69">
        <f t="shared" ca="1" si="34"/>
        <v>0</v>
      </c>
      <c r="BG39" s="69">
        <f t="shared" ca="1" si="35"/>
        <v>0</v>
      </c>
      <c r="BI39" s="69">
        <f t="shared" ca="1" si="36"/>
        <v>0</v>
      </c>
      <c r="BJ39" s="69">
        <f t="shared" ca="1" si="37"/>
        <v>0</v>
      </c>
      <c r="BK39" s="69">
        <f t="shared" si="37"/>
        <v>0</v>
      </c>
      <c r="BL39" s="69">
        <f t="shared" ca="1" si="37"/>
        <v>0</v>
      </c>
      <c r="BM39" s="69">
        <f t="shared" ca="1" si="37"/>
        <v>0</v>
      </c>
      <c r="BN39" s="69">
        <f t="shared" ca="1" si="37"/>
        <v>0</v>
      </c>
      <c r="BO39" s="69">
        <f t="shared" si="37"/>
        <v>0</v>
      </c>
      <c r="BP39" s="69">
        <f t="shared" ca="1" si="22"/>
        <v>0</v>
      </c>
      <c r="BQ39" s="69">
        <f t="shared" ca="1" si="38"/>
        <v>0</v>
      </c>
      <c r="BR39" s="69">
        <f t="shared" ca="1" si="23"/>
        <v>0</v>
      </c>
      <c r="BS39" s="69">
        <f ca="1">$AO39*IF(Auswahllisten!$G$150,BS$25+BS$25*BS$13*$AN39,BS$25*(1+BS$13)^$AN39)</f>
        <v>0</v>
      </c>
      <c r="BT39" s="69">
        <f ca="1">$AO39*IF(Auswahllisten!$G$150,BT$25+BT$25*BT$13*$AN39,BT$25*(1+BT$13)^$AN39)</f>
        <v>0</v>
      </c>
      <c r="BU39" s="69">
        <f ca="1">$AO39*IF(Auswahllisten!$G$150,BU$25+BU$25*BU$13*$AN39,BU$25*(1+BU$13)^$AN39)</f>
        <v>0</v>
      </c>
      <c r="BV39" s="69">
        <f ca="1">$AO39*IF(Auswahllisten!$G$150,BV$25+BV$25*BV$13*$AN39,BV$25*(1+BV$13)^$AN39)</f>
        <v>0</v>
      </c>
      <c r="BW39" s="69">
        <f t="shared" ca="1" si="39"/>
        <v>0</v>
      </c>
      <c r="BX39" s="69">
        <f t="shared" ca="1" si="40"/>
        <v>0</v>
      </c>
      <c r="BY39" s="69">
        <f t="shared" ca="1" si="24"/>
        <v>0</v>
      </c>
      <c r="BZ39" s="69">
        <f t="shared" ca="1" si="25"/>
        <v>0</v>
      </c>
    </row>
    <row r="40" spans="1:78">
      <c r="A40" s="125"/>
      <c r="B40" s="64"/>
      <c r="C40" s="64"/>
      <c r="D40" s="69"/>
      <c r="E40" s="69"/>
      <c r="G40" s="69"/>
      <c r="H40" s="69"/>
      <c r="M40" s="69"/>
      <c r="P40" s="69"/>
      <c r="R40" s="69"/>
      <c r="S40" s="69"/>
      <c r="U40" s="69"/>
      <c r="V40" s="69"/>
      <c r="X40" s="69"/>
      <c r="AA40" s="1">
        <v>26</v>
      </c>
      <c r="AB40" s="1">
        <v>-2</v>
      </c>
      <c r="AC40" s="35"/>
      <c r="AD40" s="35"/>
      <c r="AE40" s="83" t="s">
        <v>948</v>
      </c>
      <c r="AF40" s="26">
        <f ca="1">AF29</f>
        <v>0</v>
      </c>
      <c r="AG40" s="26"/>
      <c r="AH40" s="26">
        <f t="shared" ref="AH40" ca="1" si="53">AH29</f>
        <v>0</v>
      </c>
      <c r="AI40" s="26">
        <f>AI29</f>
        <v>0</v>
      </c>
      <c r="AJ40" s="26"/>
      <c r="AK40" s="26">
        <f t="shared" ref="AK40" si="54">AK29</f>
        <v>0</v>
      </c>
      <c r="AN40" s="1">
        <v>15</v>
      </c>
      <c r="AO40" s="1">
        <f t="shared" si="19"/>
        <v>1</v>
      </c>
      <c r="AP40" s="69">
        <f t="shared" ca="1" si="48"/>
        <v>0</v>
      </c>
      <c r="AQ40" s="69">
        <f t="shared" ca="1" si="48"/>
        <v>0</v>
      </c>
      <c r="AR40" s="69">
        <f t="shared" si="48"/>
        <v>0</v>
      </c>
      <c r="AS40" s="69">
        <f t="shared" ca="1" si="48"/>
        <v>0</v>
      </c>
      <c r="AT40" s="69">
        <f t="shared" ca="1" si="48"/>
        <v>0</v>
      </c>
      <c r="AU40" s="69">
        <f t="shared" ca="1" si="48"/>
        <v>0</v>
      </c>
      <c r="AV40" s="69">
        <f t="shared" si="48"/>
        <v>0</v>
      </c>
      <c r="AW40" s="69">
        <f t="shared" ca="1" si="29"/>
        <v>0</v>
      </c>
      <c r="AX40" s="69">
        <f t="shared" ca="1" si="30"/>
        <v>0</v>
      </c>
      <c r="AY40" s="69">
        <f t="shared" ca="1" si="31"/>
        <v>0</v>
      </c>
      <c r="AZ40" s="69">
        <f ca="1">$AO40*IF(Auswahllisten!$G$150,AZ$25+AZ$25*AZ$13*$AN40,AZ$25*(1+AZ$13)^$AN40)</f>
        <v>0</v>
      </c>
      <c r="BA40" s="69">
        <f ca="1">$AO40*IF(Auswahllisten!$G$150,BA$25+BA$25*BA$13*$AN40,BA$25*(1+BA$13)^$AN40)</f>
        <v>0</v>
      </c>
      <c r="BB40" s="69">
        <f ca="1">$AO40*IF(Auswahllisten!$G$150,BB$25+BB$25*BB$13*$AN40,BB$25*(1+BB$13)^$AN40)</f>
        <v>0</v>
      </c>
      <c r="BC40" s="69">
        <f ca="1">$AO40*IF(Auswahllisten!$G$150,BC$25+BC$25*BC$13*$AN40,BC$25*(1+BC$13)^$AN40)</f>
        <v>0</v>
      </c>
      <c r="BD40" s="69">
        <f t="shared" ca="1" si="32"/>
        <v>0</v>
      </c>
      <c r="BE40" s="69">
        <f t="shared" ca="1" si="33"/>
        <v>0</v>
      </c>
      <c r="BF40" s="69">
        <f t="shared" ca="1" si="34"/>
        <v>0</v>
      </c>
      <c r="BG40" s="69">
        <f t="shared" ca="1" si="35"/>
        <v>0</v>
      </c>
      <c r="BI40" s="69">
        <f t="shared" ca="1" si="36"/>
        <v>0</v>
      </c>
      <c r="BJ40" s="69">
        <f t="shared" ca="1" si="37"/>
        <v>0</v>
      </c>
      <c r="BK40" s="69">
        <f t="shared" si="37"/>
        <v>0</v>
      </c>
      <c r="BL40" s="69">
        <f t="shared" ca="1" si="37"/>
        <v>0</v>
      </c>
      <c r="BM40" s="69">
        <f t="shared" ca="1" si="37"/>
        <v>0</v>
      </c>
      <c r="BN40" s="69">
        <f t="shared" ca="1" si="37"/>
        <v>0</v>
      </c>
      <c r="BO40" s="69">
        <f t="shared" si="37"/>
        <v>0</v>
      </c>
      <c r="BP40" s="69">
        <f t="shared" ca="1" si="22"/>
        <v>0</v>
      </c>
      <c r="BQ40" s="69">
        <f t="shared" ca="1" si="38"/>
        <v>0</v>
      </c>
      <c r="BR40" s="69">
        <f t="shared" ca="1" si="23"/>
        <v>0</v>
      </c>
      <c r="BS40" s="69">
        <f ca="1">$AO40*IF(Auswahllisten!$G$150,BS$25+BS$25*BS$13*$AN40,BS$25*(1+BS$13)^$AN40)</f>
        <v>0</v>
      </c>
      <c r="BT40" s="69">
        <f ca="1">$AO40*IF(Auswahllisten!$G$150,BT$25+BT$25*BT$13*$AN40,BT$25*(1+BT$13)^$AN40)</f>
        <v>0</v>
      </c>
      <c r="BU40" s="69">
        <f ca="1">$AO40*IF(Auswahllisten!$G$150,BU$25+BU$25*BU$13*$AN40,BU$25*(1+BU$13)^$AN40)</f>
        <v>0</v>
      </c>
      <c r="BV40" s="69">
        <f ca="1">$AO40*IF(Auswahllisten!$G$150,BV$25+BV$25*BV$13*$AN40,BV$25*(1+BV$13)^$AN40)</f>
        <v>0</v>
      </c>
      <c r="BW40" s="69">
        <f t="shared" ca="1" si="39"/>
        <v>0</v>
      </c>
      <c r="BX40" s="69">
        <f t="shared" ca="1" si="40"/>
        <v>0</v>
      </c>
      <c r="BY40" s="69">
        <f t="shared" ca="1" si="24"/>
        <v>0</v>
      </c>
      <c r="BZ40" s="69">
        <f t="shared" ca="1" si="25"/>
        <v>0</v>
      </c>
    </row>
    <row r="41" spans="1:78">
      <c r="A41" s="125" t="s">
        <v>993</v>
      </c>
      <c r="B41" s="125" t="s">
        <v>15</v>
      </c>
      <c r="C41" s="125"/>
      <c r="D41" s="69"/>
      <c r="E41" s="69"/>
      <c r="G41" s="69"/>
      <c r="H41" s="69"/>
      <c r="L41" s="155">
        <v>4</v>
      </c>
      <c r="M41" s="69"/>
      <c r="P41" s="69"/>
      <c r="R41" s="69"/>
      <c r="S41" s="69"/>
      <c r="U41" s="69"/>
      <c r="V41" s="69"/>
      <c r="X41" s="69"/>
      <c r="AA41" s="1">
        <v>27</v>
      </c>
      <c r="AB41" s="1">
        <v>-2</v>
      </c>
      <c r="AC41" s="35"/>
      <c r="AD41" s="35"/>
      <c r="AE41" s="83" t="s">
        <v>677</v>
      </c>
      <c r="AF41" s="26">
        <f ca="1">AF20-AG20</f>
        <v>0</v>
      </c>
      <c r="AG41" s="26"/>
      <c r="AH41" s="26">
        <f ca="1">AH20</f>
        <v>0</v>
      </c>
      <c r="AI41" s="26">
        <f>AI20-AJ20</f>
        <v>0</v>
      </c>
      <c r="AJ41" s="26"/>
      <c r="AK41" s="26">
        <f>AK20</f>
        <v>0</v>
      </c>
      <c r="AN41" s="1">
        <v>16</v>
      </c>
      <c r="AO41" s="1">
        <f t="shared" si="19"/>
        <v>1</v>
      </c>
      <c r="AP41" s="69">
        <f t="shared" ca="1" si="48"/>
        <v>0</v>
      </c>
      <c r="AQ41" s="69">
        <f t="shared" ca="1" si="48"/>
        <v>0</v>
      </c>
      <c r="AR41" s="69">
        <f t="shared" si="48"/>
        <v>0</v>
      </c>
      <c r="AS41" s="69">
        <f t="shared" ca="1" si="48"/>
        <v>0</v>
      </c>
      <c r="AT41" s="69">
        <f t="shared" ca="1" si="48"/>
        <v>0</v>
      </c>
      <c r="AU41" s="69">
        <f t="shared" ca="1" si="48"/>
        <v>0</v>
      </c>
      <c r="AV41" s="69">
        <f t="shared" si="48"/>
        <v>0</v>
      </c>
      <c r="AW41" s="69">
        <f t="shared" ca="1" si="29"/>
        <v>0</v>
      </c>
      <c r="AX41" s="69">
        <f t="shared" ca="1" si="30"/>
        <v>0</v>
      </c>
      <c r="AY41" s="69">
        <f t="shared" ca="1" si="31"/>
        <v>0</v>
      </c>
      <c r="AZ41" s="69">
        <f ca="1">$AO41*IF(Auswahllisten!$G$150,AZ$25+AZ$25*AZ$13*$AN41,AZ$25*(1+AZ$13)^$AN41)</f>
        <v>0</v>
      </c>
      <c r="BA41" s="69">
        <f ca="1">$AO41*IF(Auswahllisten!$G$150,BA$25+BA$25*BA$13*$AN41,BA$25*(1+BA$13)^$AN41)</f>
        <v>0</v>
      </c>
      <c r="BB41" s="69">
        <f ca="1">$AO41*IF(Auswahllisten!$G$150,BB$25+BB$25*BB$13*$AN41,BB$25*(1+BB$13)^$AN41)</f>
        <v>0</v>
      </c>
      <c r="BC41" s="69">
        <f ca="1">$AO41*IF(Auswahllisten!$G$150,BC$25+BC$25*BC$13*$AN41,BC$25*(1+BC$13)^$AN41)</f>
        <v>0</v>
      </c>
      <c r="BD41" s="69">
        <f t="shared" ca="1" si="32"/>
        <v>0</v>
      </c>
      <c r="BE41" s="69">
        <f t="shared" ca="1" si="33"/>
        <v>0</v>
      </c>
      <c r="BF41" s="69">
        <f t="shared" ca="1" si="34"/>
        <v>0</v>
      </c>
      <c r="BG41" s="69">
        <f t="shared" ca="1" si="35"/>
        <v>0</v>
      </c>
      <c r="BI41" s="69">
        <f t="shared" ca="1" si="36"/>
        <v>0</v>
      </c>
      <c r="BJ41" s="69">
        <f t="shared" ca="1" si="37"/>
        <v>0</v>
      </c>
      <c r="BK41" s="69">
        <f t="shared" si="37"/>
        <v>0</v>
      </c>
      <c r="BL41" s="69">
        <f t="shared" ca="1" si="37"/>
        <v>0</v>
      </c>
      <c r="BM41" s="69">
        <f t="shared" ca="1" si="37"/>
        <v>0</v>
      </c>
      <c r="BN41" s="69">
        <f t="shared" ca="1" si="37"/>
        <v>0</v>
      </c>
      <c r="BO41" s="69">
        <f t="shared" si="37"/>
        <v>0</v>
      </c>
      <c r="BP41" s="69">
        <f t="shared" ca="1" si="22"/>
        <v>0</v>
      </c>
      <c r="BQ41" s="69">
        <f t="shared" ca="1" si="38"/>
        <v>0</v>
      </c>
      <c r="BR41" s="69">
        <f t="shared" ca="1" si="23"/>
        <v>0</v>
      </c>
      <c r="BS41" s="69">
        <f ca="1">$AO41*IF(Auswahllisten!$G$150,BS$25+BS$25*BS$13*$AN41,BS$25*(1+BS$13)^$AN41)</f>
        <v>0</v>
      </c>
      <c r="BT41" s="69">
        <f ca="1">$AO41*IF(Auswahllisten!$G$150,BT$25+BT$25*BT$13*$AN41,BT$25*(1+BT$13)^$AN41)</f>
        <v>0</v>
      </c>
      <c r="BU41" s="69">
        <f ca="1">$AO41*IF(Auswahllisten!$G$150,BU$25+BU$25*BU$13*$AN41,BU$25*(1+BU$13)^$AN41)</f>
        <v>0</v>
      </c>
      <c r="BV41" s="69">
        <f ca="1">$AO41*IF(Auswahllisten!$G$150,BV$25+BV$25*BV$13*$AN41,BV$25*(1+BV$13)^$AN41)</f>
        <v>0</v>
      </c>
      <c r="BW41" s="69">
        <f t="shared" ca="1" si="39"/>
        <v>0</v>
      </c>
      <c r="BX41" s="69">
        <f t="shared" ca="1" si="40"/>
        <v>0</v>
      </c>
      <c r="BY41" s="69">
        <f t="shared" ca="1" si="24"/>
        <v>0</v>
      </c>
      <c r="BZ41" s="69">
        <f t="shared" ca="1" si="25"/>
        <v>0</v>
      </c>
    </row>
    <row r="42" spans="1:78">
      <c r="A42" s="304" t="s">
        <v>1217</v>
      </c>
      <c r="B42" s="131" t="s">
        <v>1242</v>
      </c>
      <c r="C42" s="131" t="s">
        <v>994</v>
      </c>
      <c r="D42" s="162" t="str" cm="1">
        <f t="array" aca="1" ref="D42" ca="1">INDIRECT("Vergleich!"&amp;$G$2&amp;Z42)</f>
        <v>mittel</v>
      </c>
      <c r="E42" s="162" cm="1">
        <f t="array" aca="1" ref="E42" ca="1">INDIRECT("Investition_gewählt!"&amp;$I$5&amp;AA42)</f>
        <v>0</v>
      </c>
      <c r="F42" s="25" cm="1">
        <f t="array" aca="1" ref="F42" ca="1">IF($C$5=0,0,INDEX(Faktoren!E28:GQ28,1,VLOOKUP($F$5,$L$2:$O$14,4,FALSE)+$C$9*5+VLOOKUP(D42,Auswahllisten!$E$25:$F$29,2,FALSE)))</f>
        <v>0</v>
      </c>
      <c r="G42" s="162">
        <f ca="1">E42*F42</f>
        <v>0</v>
      </c>
      <c r="H42" s="162" cm="1">
        <f t="array" aca="1" ref="H42" ca="1">INDIRECT("Investition_gewählt!"&amp;$I$6&amp;AA42)</f>
        <v>0</v>
      </c>
      <c r="I42" s="25" cm="1">
        <f t="array" aca="1" ref="I42" ca="1">IF($C$5=0,0,INDEX(Faktoren!E28:GQ28,1,VLOOKUP($F$6,$L$2:$O$14,4,FALSE)+$C$9*5+VLOOKUP(D42,Auswahllisten!$E$25:$F$29,2,FALSE)))</f>
        <v>0</v>
      </c>
      <c r="J42" s="25">
        <f ca="1">H42*I42</f>
        <v>0</v>
      </c>
      <c r="K42" s="25">
        <f t="shared" ca="1" si="10"/>
        <v>0</v>
      </c>
      <c r="L42" s="25" t="b">
        <f t="shared" ref="L42:L48" ca="1" si="55">($C$5=$L$41)</f>
        <v>0</v>
      </c>
      <c r="M42" s="162">
        <f t="shared" ca="1" si="11"/>
        <v>0</v>
      </c>
      <c r="O42" s="25" t="str" cm="1">
        <f t="array" aca="1" ref="O42" ca="1">INDIRECT("Vergleich!"&amp;$Y$2&amp;Z42)</f>
        <v>gering</v>
      </c>
      <c r="P42" s="162" cm="1">
        <f t="array" aca="1" ref="P42" ca="1">INDIRECT("Investition_gewählt!"&amp;$AA$5&amp;AA42)</f>
        <v>0</v>
      </c>
      <c r="Q42" s="25" cm="1">
        <f t="array" aca="1" ref="Q42" ca="1">IF($U$5=0,0,INDEX(Faktoren!E28:GQ28,1,VLOOKUP($X$5,$L$2:$O$14,4,FALSE)+$U$9*5+VLOOKUP(O42,Auswahllisten!$E$25:$F$29,2,FALSE)))</f>
        <v>0</v>
      </c>
      <c r="R42" s="162">
        <f t="shared" ca="1" si="12"/>
        <v>0</v>
      </c>
      <c r="S42" s="162" cm="1">
        <f t="array" aca="1" ref="S42" ca="1">INDIRECT("Investition_gewählt!"&amp;$AA$6&amp;AA42)</f>
        <v>0</v>
      </c>
      <c r="T42" s="25" cm="1">
        <f t="array" aca="1" ref="T42" ca="1">IF($U$5=0,0,INDEX(Faktoren!E28:QG28,1,VLOOKUP($X$6,$L$3:$O$14,4,FALSE)+$U$9*5+VLOOKUP(O42,Auswahllisten!$E$25:$F$29,2,FALSE)))</f>
        <v>0</v>
      </c>
      <c r="U42" s="162">
        <f t="shared" ca="1" si="13"/>
        <v>0</v>
      </c>
      <c r="V42" s="162">
        <f t="shared" ca="1" si="14"/>
        <v>0</v>
      </c>
      <c r="W42" s="25" t="b">
        <f ca="1">($U$5=$L$41)</f>
        <v>0</v>
      </c>
      <c r="X42" s="162">
        <f t="shared" ca="1" si="16"/>
        <v>0</v>
      </c>
      <c r="Z42" s="1">
        <v>36</v>
      </c>
      <c r="AA42" s="1">
        <v>28</v>
      </c>
      <c r="AB42" s="1">
        <v>-2</v>
      </c>
      <c r="AD42" s="35"/>
      <c r="AN42" s="1">
        <v>17</v>
      </c>
      <c r="AO42" s="1">
        <f t="shared" si="19"/>
        <v>1</v>
      </c>
      <c r="AP42" s="69">
        <f t="shared" ca="1" si="48"/>
        <v>0</v>
      </c>
      <c r="AQ42" s="69">
        <f t="shared" ca="1" si="48"/>
        <v>0</v>
      </c>
      <c r="AR42" s="69">
        <f t="shared" si="48"/>
        <v>0</v>
      </c>
      <c r="AS42" s="69">
        <f t="shared" ca="1" si="48"/>
        <v>0</v>
      </c>
      <c r="AT42" s="69">
        <f t="shared" ca="1" si="48"/>
        <v>0</v>
      </c>
      <c r="AU42" s="69">
        <f t="shared" ca="1" si="48"/>
        <v>0</v>
      </c>
      <c r="AV42" s="69">
        <f t="shared" si="48"/>
        <v>0</v>
      </c>
      <c r="AW42" s="69">
        <f t="shared" ca="1" si="29"/>
        <v>0</v>
      </c>
      <c r="AX42" s="69">
        <f t="shared" ca="1" si="30"/>
        <v>0</v>
      </c>
      <c r="AY42" s="69">
        <f t="shared" ca="1" si="31"/>
        <v>0</v>
      </c>
      <c r="AZ42" s="69">
        <f ca="1">$AO42*IF(Auswahllisten!$G$150,AZ$25+AZ$25*AZ$13*$AN42,AZ$25*(1+AZ$13)^$AN42)</f>
        <v>0</v>
      </c>
      <c r="BA42" s="69">
        <f ca="1">$AO42*IF(Auswahllisten!$G$150,BA$25+BA$25*BA$13*$AN42,BA$25*(1+BA$13)^$AN42)</f>
        <v>0</v>
      </c>
      <c r="BB42" s="69">
        <f ca="1">$AO42*IF(Auswahllisten!$G$150,BB$25+BB$25*BB$13*$AN42,BB$25*(1+BB$13)^$AN42)</f>
        <v>0</v>
      </c>
      <c r="BC42" s="69">
        <f ca="1">$AO42*IF(Auswahllisten!$G$150,BC$25+BC$25*BC$13*$AN42,BC$25*(1+BC$13)^$AN42)</f>
        <v>0</v>
      </c>
      <c r="BD42" s="69">
        <f t="shared" ca="1" si="32"/>
        <v>0</v>
      </c>
      <c r="BE42" s="69">
        <f t="shared" ca="1" si="33"/>
        <v>0</v>
      </c>
      <c r="BF42" s="69">
        <f t="shared" ca="1" si="34"/>
        <v>0</v>
      </c>
      <c r="BG42" s="69">
        <f t="shared" ca="1" si="35"/>
        <v>0</v>
      </c>
      <c r="BI42" s="69">
        <f t="shared" ca="1" si="36"/>
        <v>0</v>
      </c>
      <c r="BJ42" s="69">
        <f t="shared" ca="1" si="37"/>
        <v>0</v>
      </c>
      <c r="BK42" s="69">
        <f t="shared" si="37"/>
        <v>0</v>
      </c>
      <c r="BL42" s="69">
        <f t="shared" ca="1" si="37"/>
        <v>0</v>
      </c>
      <c r="BM42" s="69">
        <f t="shared" ca="1" si="37"/>
        <v>0</v>
      </c>
      <c r="BN42" s="69">
        <f t="shared" ca="1" si="37"/>
        <v>0</v>
      </c>
      <c r="BO42" s="69">
        <f t="shared" si="37"/>
        <v>0</v>
      </c>
      <c r="BP42" s="69">
        <f t="shared" ca="1" si="22"/>
        <v>0</v>
      </c>
      <c r="BQ42" s="69">
        <f t="shared" ca="1" si="38"/>
        <v>0</v>
      </c>
      <c r="BR42" s="69">
        <f t="shared" ca="1" si="23"/>
        <v>0</v>
      </c>
      <c r="BS42" s="69">
        <f ca="1">$AO42*IF(Auswahllisten!$G$150,BS$25+BS$25*BS$13*$AN42,BS$25*(1+BS$13)^$AN42)</f>
        <v>0</v>
      </c>
      <c r="BT42" s="69">
        <f ca="1">$AO42*IF(Auswahllisten!$G$150,BT$25+BT$25*BT$13*$AN42,BT$25*(1+BT$13)^$AN42)</f>
        <v>0</v>
      </c>
      <c r="BU42" s="69">
        <f ca="1">$AO42*IF(Auswahllisten!$G$150,BU$25+BU$25*BU$13*$AN42,BU$25*(1+BU$13)^$AN42)</f>
        <v>0</v>
      </c>
      <c r="BV42" s="69">
        <f ca="1">$AO42*IF(Auswahllisten!$G$150,BV$25+BV$25*BV$13*$AN42,BV$25*(1+BV$13)^$AN42)</f>
        <v>0</v>
      </c>
      <c r="BW42" s="69">
        <f t="shared" ca="1" si="39"/>
        <v>0</v>
      </c>
      <c r="BX42" s="69">
        <f t="shared" ca="1" si="40"/>
        <v>0</v>
      </c>
      <c r="BY42" s="69">
        <f t="shared" ca="1" si="24"/>
        <v>0</v>
      </c>
      <c r="BZ42" s="69">
        <f t="shared" ca="1" si="25"/>
        <v>0</v>
      </c>
    </row>
    <row r="43" spans="1:78">
      <c r="A43" s="305" t="s">
        <v>1217</v>
      </c>
      <c r="B43" s="131" t="s">
        <v>1242</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IF($C$5=0,0,INDEX(Faktoren!E29:GQ29,1,VLOOKUP($F$5,$L$2:$O$14,4,FALSE)+$C$9*5+VLOOKUP(D43,Auswahllisten!$E$25:$F$29,2,FALSE)))</f>
        <v>0</v>
      </c>
      <c r="G43" s="26">
        <f t="shared" ref="G43:G48" ca="1" si="56">E43*F43</f>
        <v>0</v>
      </c>
      <c r="H43" s="26" cm="1">
        <f t="array" aca="1" ref="H43" ca="1">INDIRECT("Investition_gewählt!"&amp;$I$6&amp;AA43)</f>
        <v>0</v>
      </c>
      <c r="I43" s="25" cm="1">
        <f t="array" aca="1" ref="I43" ca="1">IF($C$5=0,0,INDEX(Faktoren!E29:GQ29,1,VLOOKUP($F$6,$L$2:$O$14,4,FALSE)+$C$9*5+VLOOKUP(D43,Auswahllisten!$E$25:$F$29,2,FALSE)))</f>
        <v>0</v>
      </c>
      <c r="J43" s="16">
        <f t="shared" ref="J43:J48" ca="1" si="57">H43*I43</f>
        <v>0</v>
      </c>
      <c r="K43" s="16">
        <f t="shared" ca="1" si="10"/>
        <v>0</v>
      </c>
      <c r="L43" s="16" t="b">
        <f t="shared" ca="1" si="55"/>
        <v>0</v>
      </c>
      <c r="M43" s="26">
        <f t="shared" ca="1" si="11"/>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IF($U$5=0,0,INDEX(Faktoren!E29:GQ29,1,VLOOKUP($X$5,$L$2:$O$14,4,FALSE)+$U$9*5+VLOOKUP(O43,Auswahllisten!$E$25:$F$29,2,FALSE)))</f>
        <v>0</v>
      </c>
      <c r="R43" s="26">
        <f t="shared" ca="1" si="12"/>
        <v>0</v>
      </c>
      <c r="S43" s="26" cm="1">
        <f t="array" aca="1" ref="S43" ca="1">INDIRECT("Investition_gewählt!"&amp;$AA$6&amp;AA43)</f>
        <v>0</v>
      </c>
      <c r="T43" s="16" cm="1">
        <f t="array" aca="1" ref="T43" ca="1">IF($U$5=0,0,INDEX(Faktoren!E29:QG29,1,VLOOKUP($X$6,$L$3:$O$14,4,FALSE)+$U$9*5+VLOOKUP(O43,Auswahllisten!$E$25:$F$29,2,FALSE)))</f>
        <v>0</v>
      </c>
      <c r="U43" s="26">
        <f t="shared" ca="1" si="13"/>
        <v>0</v>
      </c>
      <c r="V43" s="26">
        <f t="shared" ca="1" si="14"/>
        <v>0</v>
      </c>
      <c r="W43" s="25" t="b">
        <f t="shared" ref="W43:W48" ca="1" si="58">($U$5=$L$41)</f>
        <v>0</v>
      </c>
      <c r="X43" s="26">
        <f t="shared" ca="1" si="16"/>
        <v>0</v>
      </c>
      <c r="Z43" s="1">
        <v>37</v>
      </c>
      <c r="AA43" s="1">
        <v>29</v>
      </c>
      <c r="AB43" s="1">
        <v>-2</v>
      </c>
      <c r="AD43" s="35"/>
      <c r="AE43" s="83" t="s">
        <v>1259</v>
      </c>
      <c r="AF43" s="69">
        <f ca="1">AF33+AI33</f>
        <v>0</v>
      </c>
      <c r="AN43" s="1">
        <v>18</v>
      </c>
      <c r="AO43" s="1">
        <f t="shared" si="19"/>
        <v>1</v>
      </c>
      <c r="AP43" s="69">
        <f t="shared" ca="1" si="48"/>
        <v>0</v>
      </c>
      <c r="AQ43" s="69">
        <f t="shared" ca="1" si="48"/>
        <v>0</v>
      </c>
      <c r="AR43" s="69">
        <f t="shared" si="48"/>
        <v>0</v>
      </c>
      <c r="AS43" s="69">
        <f t="shared" ca="1" si="48"/>
        <v>0</v>
      </c>
      <c r="AT43" s="69">
        <f t="shared" ca="1" si="48"/>
        <v>0</v>
      </c>
      <c r="AU43" s="69">
        <f t="shared" ca="1" si="48"/>
        <v>0</v>
      </c>
      <c r="AV43" s="69">
        <f t="shared" si="48"/>
        <v>0</v>
      </c>
      <c r="AW43" s="69">
        <f t="shared" ca="1" si="29"/>
        <v>0</v>
      </c>
      <c r="AX43" s="69">
        <f t="shared" ca="1" si="30"/>
        <v>0</v>
      </c>
      <c r="AY43" s="69">
        <f t="shared" ca="1" si="31"/>
        <v>0</v>
      </c>
      <c r="AZ43" s="69">
        <f ca="1">$AO43*IF(Auswahllisten!$G$150,AZ$25+AZ$25*AZ$13*$AN43,AZ$25*(1+AZ$13)^$AN43)</f>
        <v>0</v>
      </c>
      <c r="BA43" s="69">
        <f ca="1">$AO43*IF(Auswahllisten!$G$150,BA$25+BA$25*BA$13*$AN43,BA$25*(1+BA$13)^$AN43)</f>
        <v>0</v>
      </c>
      <c r="BB43" s="69">
        <f ca="1">$AO43*IF(Auswahllisten!$G$150,BB$25+BB$25*BB$13*$AN43,BB$25*(1+BB$13)^$AN43)</f>
        <v>0</v>
      </c>
      <c r="BC43" s="69">
        <f ca="1">$AO43*IF(Auswahllisten!$G$150,BC$25+BC$25*BC$13*$AN43,BC$25*(1+BC$13)^$AN43)</f>
        <v>0</v>
      </c>
      <c r="BD43" s="69">
        <f t="shared" ca="1" si="32"/>
        <v>0</v>
      </c>
      <c r="BE43" s="69">
        <f t="shared" ca="1" si="33"/>
        <v>0</v>
      </c>
      <c r="BF43" s="69">
        <f t="shared" ca="1" si="34"/>
        <v>0</v>
      </c>
      <c r="BG43" s="69">
        <f t="shared" ca="1" si="35"/>
        <v>0</v>
      </c>
      <c r="BI43" s="69">
        <f t="shared" ca="1" si="36"/>
        <v>0</v>
      </c>
      <c r="BJ43" s="69">
        <f t="shared" ca="1" si="37"/>
        <v>0</v>
      </c>
      <c r="BK43" s="69">
        <f t="shared" si="37"/>
        <v>0</v>
      </c>
      <c r="BL43" s="69">
        <f t="shared" ca="1" si="37"/>
        <v>0</v>
      </c>
      <c r="BM43" s="69">
        <f t="shared" ca="1" si="37"/>
        <v>0</v>
      </c>
      <c r="BN43" s="69">
        <f t="shared" ca="1" si="37"/>
        <v>0</v>
      </c>
      <c r="BO43" s="69">
        <f t="shared" si="37"/>
        <v>0</v>
      </c>
      <c r="BP43" s="69">
        <f t="shared" ca="1" si="22"/>
        <v>0</v>
      </c>
      <c r="BQ43" s="69">
        <f t="shared" ca="1" si="38"/>
        <v>0</v>
      </c>
      <c r="BR43" s="69">
        <f t="shared" ca="1" si="23"/>
        <v>0</v>
      </c>
      <c r="BS43" s="69">
        <f ca="1">$AO43*IF(Auswahllisten!$G$150,BS$25+BS$25*BS$13*$AN43,BS$25*(1+BS$13)^$AN43)</f>
        <v>0</v>
      </c>
      <c r="BT43" s="69">
        <f ca="1">$AO43*IF(Auswahllisten!$G$150,BT$25+BT$25*BT$13*$AN43,BT$25*(1+BT$13)^$AN43)</f>
        <v>0</v>
      </c>
      <c r="BU43" s="69">
        <f ca="1">$AO43*IF(Auswahllisten!$G$150,BU$25+BU$25*BU$13*$AN43,BU$25*(1+BU$13)^$AN43)</f>
        <v>0</v>
      </c>
      <c r="BV43" s="69">
        <f ca="1">$AO43*IF(Auswahllisten!$G$150,BV$25+BV$25*BV$13*$AN43,BV$25*(1+BV$13)^$AN43)</f>
        <v>0</v>
      </c>
      <c r="BW43" s="69">
        <f t="shared" ca="1" si="39"/>
        <v>0</v>
      </c>
      <c r="BX43" s="69">
        <f t="shared" ca="1" si="40"/>
        <v>0</v>
      </c>
      <c r="BY43" s="69">
        <f t="shared" ca="1" si="24"/>
        <v>0</v>
      </c>
      <c r="BZ43" s="69">
        <f t="shared" ca="1" si="25"/>
        <v>0</v>
      </c>
    </row>
    <row r="44" spans="1:78">
      <c r="A44" s="305" t="s">
        <v>1215</v>
      </c>
      <c r="B44" s="126" t="s">
        <v>303</v>
      </c>
      <c r="C44" s="126" t="s">
        <v>995</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IF($C$5=0,0,INDEX(Faktoren!E30:GQ30,1,VLOOKUP($F$5,$L$2:$O$14,4,FALSE)+$C$9*5+VLOOKUP(D44,Auswahllisten!$E$25:$F$29,2,FALSE)))</f>
        <v>0</v>
      </c>
      <c r="G44" s="26">
        <f t="shared" ca="1" si="56"/>
        <v>0</v>
      </c>
      <c r="H44" s="26" cm="1">
        <f t="array" aca="1" ref="H44" ca="1">INDIRECT("Investition_gewählt!"&amp;$I$6&amp;AA44)</f>
        <v>0</v>
      </c>
      <c r="I44" s="25" cm="1">
        <f t="array" aca="1" ref="I44" ca="1">IF($C$5=0,0,INDEX(Faktoren!E30:GQ30,1,VLOOKUP($F$6,$L$2:$O$14,4,FALSE)+$C$9*5+VLOOKUP(D44,Auswahllisten!$E$25:$F$29,2,FALSE)))</f>
        <v>0</v>
      </c>
      <c r="J44" s="16">
        <f t="shared" ca="1" si="57"/>
        <v>0</v>
      </c>
      <c r="K44" s="16">
        <f t="shared" ca="1" si="10"/>
        <v>0</v>
      </c>
      <c r="L44" s="16" t="b">
        <f t="shared" ca="1" si="55"/>
        <v>0</v>
      </c>
      <c r="M44" s="26">
        <f t="shared" ca="1" si="11"/>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IF($U$5=0,0,INDEX(Faktoren!E30:GQ30,1,VLOOKUP($X$5,$L$2:$O$14,4,FALSE)+$U$9*5+VLOOKUP(O44,Auswahllisten!$E$25:$F$29,2,FALSE)))</f>
        <v>0</v>
      </c>
      <c r="R44" s="26">
        <f t="shared" ca="1" si="12"/>
        <v>0</v>
      </c>
      <c r="S44" s="26" cm="1">
        <f t="array" aca="1" ref="S44" ca="1">INDIRECT("Investition_gewählt!"&amp;$AA$6&amp;AA44)</f>
        <v>0</v>
      </c>
      <c r="T44" s="16" cm="1">
        <f t="array" aca="1" ref="T44" ca="1">IF($U$5=0,0,INDEX(Faktoren!E30:QG30,1,VLOOKUP($X$6,$L$3:$O$14,4,FALSE)+$U$9*5+VLOOKUP(O44,Auswahllisten!$E$25:$F$29,2,FALSE)))</f>
        <v>0</v>
      </c>
      <c r="U44" s="26">
        <f t="shared" ca="1" si="13"/>
        <v>0</v>
      </c>
      <c r="V44" s="26">
        <f t="shared" ca="1" si="14"/>
        <v>0</v>
      </c>
      <c r="W44" s="25" t="b">
        <f t="shared" ca="1" si="58"/>
        <v>0</v>
      </c>
      <c r="X44" s="26">
        <f t="shared" ca="1" si="16"/>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19"/>
        <v>1</v>
      </c>
      <c r="AP44" s="69">
        <f t="shared" ca="1" si="48"/>
        <v>0</v>
      </c>
      <c r="AQ44" s="69">
        <f t="shared" ca="1" si="48"/>
        <v>0</v>
      </c>
      <c r="AR44" s="69">
        <f t="shared" si="48"/>
        <v>0</v>
      </c>
      <c r="AS44" s="69">
        <f t="shared" ca="1" si="48"/>
        <v>0</v>
      </c>
      <c r="AT44" s="69">
        <f t="shared" ca="1" si="48"/>
        <v>0</v>
      </c>
      <c r="AU44" s="69">
        <f t="shared" ca="1" si="48"/>
        <v>0</v>
      </c>
      <c r="AV44" s="69">
        <f t="shared" si="48"/>
        <v>0</v>
      </c>
      <c r="AW44" s="69">
        <f t="shared" ca="1" si="29"/>
        <v>0</v>
      </c>
      <c r="AX44" s="69">
        <f t="shared" ca="1" si="30"/>
        <v>0</v>
      </c>
      <c r="AY44" s="69">
        <f t="shared" ca="1" si="31"/>
        <v>0</v>
      </c>
      <c r="AZ44" s="69">
        <f ca="1">$AO44*IF(Auswahllisten!$G$150,AZ$25+AZ$25*AZ$13*$AN44,AZ$25*(1+AZ$13)^$AN44)</f>
        <v>0</v>
      </c>
      <c r="BA44" s="69">
        <f ca="1">$AO44*IF(Auswahllisten!$G$150,BA$25+BA$25*BA$13*$AN44,BA$25*(1+BA$13)^$AN44)</f>
        <v>0</v>
      </c>
      <c r="BB44" s="69">
        <f ca="1">$AO44*IF(Auswahllisten!$G$150,BB$25+BB$25*BB$13*$AN44,BB$25*(1+BB$13)^$AN44)</f>
        <v>0</v>
      </c>
      <c r="BC44" s="69">
        <f ca="1">$AO44*IF(Auswahllisten!$G$150,BC$25+BC$25*BC$13*$AN44,BC$25*(1+BC$13)^$AN44)</f>
        <v>0</v>
      </c>
      <c r="BD44" s="69">
        <f t="shared" ca="1" si="32"/>
        <v>0</v>
      </c>
      <c r="BE44" s="69">
        <f t="shared" ca="1" si="33"/>
        <v>0</v>
      </c>
      <c r="BF44" s="69">
        <f t="shared" ca="1" si="34"/>
        <v>0</v>
      </c>
      <c r="BG44" s="69">
        <f t="shared" ca="1" si="35"/>
        <v>0</v>
      </c>
      <c r="BI44" s="69">
        <f t="shared" ca="1" si="36"/>
        <v>0</v>
      </c>
      <c r="BJ44" s="69">
        <f t="shared" ca="1" si="37"/>
        <v>0</v>
      </c>
      <c r="BK44" s="69">
        <f t="shared" si="37"/>
        <v>0</v>
      </c>
      <c r="BL44" s="69">
        <f t="shared" ca="1" si="37"/>
        <v>0</v>
      </c>
      <c r="BM44" s="69">
        <f t="shared" ca="1" si="37"/>
        <v>0</v>
      </c>
      <c r="BN44" s="69">
        <f t="shared" ca="1" si="37"/>
        <v>0</v>
      </c>
      <c r="BO44" s="69">
        <f t="shared" si="37"/>
        <v>0</v>
      </c>
      <c r="BP44" s="69">
        <f t="shared" ca="1" si="22"/>
        <v>0</v>
      </c>
      <c r="BQ44" s="69">
        <f t="shared" ca="1" si="38"/>
        <v>0</v>
      </c>
      <c r="BR44" s="69">
        <f t="shared" ca="1" si="23"/>
        <v>0</v>
      </c>
      <c r="BS44" s="69">
        <f ca="1">$AO44*IF(Auswahllisten!$G$150,BS$25+BS$25*BS$13*$AN44,BS$25*(1+BS$13)^$AN44)</f>
        <v>0</v>
      </c>
      <c r="BT44" s="69">
        <f ca="1">$AO44*IF(Auswahllisten!$G$150,BT$25+BT$25*BT$13*$AN44,BT$25*(1+BT$13)^$AN44)</f>
        <v>0</v>
      </c>
      <c r="BU44" s="69">
        <f ca="1">$AO44*IF(Auswahllisten!$G$150,BU$25+BU$25*BU$13*$AN44,BU$25*(1+BU$13)^$AN44)</f>
        <v>0</v>
      </c>
      <c r="BV44" s="69">
        <f ca="1">$AO44*IF(Auswahllisten!$G$150,BV$25+BV$25*BV$13*$AN44,BV$25*(1+BV$13)^$AN44)</f>
        <v>0</v>
      </c>
      <c r="BW44" s="69">
        <f t="shared" ca="1" si="39"/>
        <v>0</v>
      </c>
      <c r="BX44" s="69">
        <f t="shared" ca="1" si="40"/>
        <v>0</v>
      </c>
      <c r="BY44" s="69">
        <f t="shared" ca="1" si="24"/>
        <v>0</v>
      </c>
      <c r="BZ44" s="69">
        <f t="shared" ca="1" si="25"/>
        <v>0</v>
      </c>
    </row>
    <row r="45" spans="1:78">
      <c r="A45" s="305" t="s">
        <v>1215</v>
      </c>
      <c r="B45" s="126" t="s">
        <v>303</v>
      </c>
      <c r="C45" s="126" t="s">
        <v>965</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IF($C$5=0,0,INDEX(Faktoren!E31:GQ31,1,VLOOKUP($F$5,$L$2:$O$14,4,FALSE)+$C$9*5+VLOOKUP(D45,Auswahllisten!$E$25:$F$29,2,FALSE)))</f>
        <v>0</v>
      </c>
      <c r="G45" s="26">
        <f t="shared" ca="1" si="56"/>
        <v>0</v>
      </c>
      <c r="H45" s="26" cm="1">
        <f t="array" aca="1" ref="H45" ca="1">INDIRECT("Investition_gewählt!"&amp;$I$6&amp;AA45)</f>
        <v>0</v>
      </c>
      <c r="I45" s="25" cm="1">
        <f t="array" aca="1" ref="I45" ca="1">IF($C$5=0,0,INDEX(Faktoren!E31:GQ31,1,VLOOKUP($F$6,$L$2:$O$14,4,FALSE)+$C$9*5+VLOOKUP(D45,Auswahllisten!$E$25:$F$29,2,FALSE)))</f>
        <v>0</v>
      </c>
      <c r="J45" s="16">
        <f t="shared" ca="1" si="57"/>
        <v>0</v>
      </c>
      <c r="K45" s="16">
        <f t="shared" ca="1" si="10"/>
        <v>0</v>
      </c>
      <c r="L45" s="16" t="b">
        <f t="shared" ca="1" si="55"/>
        <v>0</v>
      </c>
      <c r="M45" s="26">
        <f t="shared" ca="1" si="11"/>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IF($U$5=0,0,INDEX(Faktoren!E31:GQ31,1,VLOOKUP($X$5,$L$2:$O$14,4,FALSE)+$U$9*5+VLOOKUP(O45,Auswahllisten!$E$25:$F$29,2,FALSE)))</f>
        <v>0</v>
      </c>
      <c r="R45" s="26">
        <f t="shared" ca="1" si="12"/>
        <v>0</v>
      </c>
      <c r="S45" s="26" cm="1">
        <f t="array" aca="1" ref="S45" ca="1">INDIRECT("Investition_gewählt!"&amp;$AA$6&amp;AA45)</f>
        <v>0</v>
      </c>
      <c r="T45" s="16" cm="1">
        <f t="array" aca="1" ref="T45" ca="1">IF($U$5=0,0,INDEX(Faktoren!E31:QG31,1,VLOOKUP($X$6,$L$3:$O$14,4,FALSE)+$U$9*5+VLOOKUP(O45,Auswahllisten!$E$25:$F$29,2,FALSE)))</f>
        <v>0</v>
      </c>
      <c r="U45" s="26">
        <f t="shared" ca="1" si="13"/>
        <v>0</v>
      </c>
      <c r="V45" s="26">
        <f t="shared" ca="1" si="14"/>
        <v>0</v>
      </c>
      <c r="W45" s="25" t="b">
        <f t="shared" ca="1" si="58"/>
        <v>0</v>
      </c>
      <c r="X45" s="26">
        <f t="shared" ca="1" si="16"/>
        <v>0</v>
      </c>
      <c r="Z45" s="1">
        <v>42</v>
      </c>
      <c r="AA45" s="1">
        <v>31</v>
      </c>
      <c r="AB45" s="1">
        <v>-2</v>
      </c>
      <c r="AF45" s="69">
        <f ca="1">AF44+AI44</f>
        <v>0</v>
      </c>
      <c r="AG45" s="69"/>
      <c r="AH45" s="69"/>
      <c r="AI45" s="69"/>
      <c r="AJ45" s="69"/>
      <c r="AN45" s="1">
        <v>20</v>
      </c>
      <c r="AO45" s="1">
        <f t="shared" si="19"/>
        <v>1</v>
      </c>
      <c r="AP45" s="69">
        <f ca="1">IFERROR($AO45*IF(MOD($AN45,AP$20)=0,AP$25,0)*(1+$AS$10)^$AN45*IF($AS$3=$AN45,0,1),0)</f>
        <v>0</v>
      </c>
      <c r="AQ45" s="69">
        <f t="shared" ca="1" si="48"/>
        <v>0</v>
      </c>
      <c r="AR45" s="69">
        <f t="shared" ca="1" si="48"/>
        <v>0</v>
      </c>
      <c r="AS45" s="69">
        <f t="shared" ca="1" si="48"/>
        <v>0</v>
      </c>
      <c r="AT45" s="69">
        <f t="shared" ca="1" si="48"/>
        <v>0</v>
      </c>
      <c r="AU45" s="69">
        <f t="shared" ca="1" si="48"/>
        <v>0</v>
      </c>
      <c r="AV45" s="69">
        <f t="shared" ca="1" si="48"/>
        <v>0</v>
      </c>
      <c r="AW45" s="69">
        <f ca="1">SUM(AP45:AV45)/(1+$AS$11)^AN45</f>
        <v>0</v>
      </c>
      <c r="AX45" s="69">
        <f t="shared" ca="1" si="30"/>
        <v>0</v>
      </c>
      <c r="AY45" s="69">
        <f t="shared" ca="1" si="31"/>
        <v>0</v>
      </c>
      <c r="AZ45" s="69">
        <f ca="1">$AO45*IF(Auswahllisten!$G$150,AZ$25+AZ$25*AZ$13*$AN45,AZ$25*(1+AZ$13)^$AN45)</f>
        <v>0</v>
      </c>
      <c r="BA45" s="69">
        <f ca="1">$AO45*IF(Auswahllisten!$G$150,BA$25+BA$25*BA$13*$AN45,BA$25*(1+BA$13)^$AN45)</f>
        <v>0</v>
      </c>
      <c r="BB45" s="69">
        <f ca="1">$AO45*IF(Auswahllisten!$G$150,BB$25+BB$25*BB$13*$AN45,BB$25*(1+BB$13)^$AN45)</f>
        <v>0</v>
      </c>
      <c r="BC45" s="69">
        <f ca="1">$AO45*IF(Auswahllisten!$G$150,BC$25+BC$25*BC$13*$AN45,BC$25*(1+BC$13)^$AN45)</f>
        <v>0</v>
      </c>
      <c r="BD45" s="69">
        <f t="shared" ca="1" si="32"/>
        <v>0</v>
      </c>
      <c r="BE45" s="69">
        <f t="shared" ca="1" si="33"/>
        <v>0</v>
      </c>
      <c r="BF45" s="69">
        <f t="shared" ca="1" si="34"/>
        <v>0</v>
      </c>
      <c r="BG45" s="69">
        <f t="shared" ca="1" si="35"/>
        <v>0</v>
      </c>
      <c r="BI45" s="69">
        <f t="shared" ca="1" si="36"/>
        <v>0</v>
      </c>
      <c r="BJ45" s="69">
        <f t="shared" ca="1" si="37"/>
        <v>0</v>
      </c>
      <c r="BK45" s="69">
        <f t="shared" si="37"/>
        <v>0</v>
      </c>
      <c r="BL45" s="69">
        <f t="shared" ca="1" si="37"/>
        <v>0</v>
      </c>
      <c r="BM45" s="69">
        <f t="shared" ca="1" si="37"/>
        <v>0</v>
      </c>
      <c r="BN45" s="69">
        <f t="shared" ca="1" si="37"/>
        <v>0</v>
      </c>
      <c r="BO45" s="69">
        <f t="shared" si="37"/>
        <v>0</v>
      </c>
      <c r="BP45" s="69">
        <f t="shared" ca="1" si="22"/>
        <v>0</v>
      </c>
      <c r="BQ45" s="69">
        <f t="shared" ca="1" si="38"/>
        <v>0</v>
      </c>
      <c r="BR45" s="69">
        <f t="shared" ca="1" si="23"/>
        <v>0</v>
      </c>
      <c r="BS45" s="69">
        <f ca="1">$AO45*IF(Auswahllisten!$G$150,BS$25+BS$25*BS$13*$AN45,BS$25*(1+BS$13)^$AN45)</f>
        <v>0</v>
      </c>
      <c r="BT45" s="69">
        <f ca="1">$AO45*IF(Auswahllisten!$G$150,BT$25+BT$25*BT$13*$AN45,BT$25*(1+BT$13)^$AN45)</f>
        <v>0</v>
      </c>
      <c r="BU45" s="69">
        <f ca="1">$AO45*IF(Auswahllisten!$G$150,BU$25+BU$25*BU$13*$AN45,BU$25*(1+BU$13)^$AN45)</f>
        <v>0</v>
      </c>
      <c r="BV45" s="69">
        <f ca="1">$AO45*IF(Auswahllisten!$G$150,BV$25+BV$25*BV$13*$AN45,BV$25*(1+BV$13)^$AN45)</f>
        <v>0</v>
      </c>
      <c r="BW45" s="69">
        <f t="shared" ca="1" si="39"/>
        <v>0</v>
      </c>
      <c r="BX45" s="69">
        <f t="shared" ca="1" si="40"/>
        <v>0</v>
      </c>
      <c r="BY45" s="69">
        <f t="shared" ca="1" si="24"/>
        <v>0</v>
      </c>
      <c r="BZ45" s="69">
        <f t="shared" ca="1" si="25"/>
        <v>0</v>
      </c>
    </row>
    <row r="46" spans="1:78">
      <c r="A46" s="305" t="s">
        <v>1218</v>
      </c>
      <c r="B46" s="126" t="s">
        <v>1243</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IF($C$5=0,0,INDEX(Faktoren!E32:GQ32,1,VLOOKUP($F$5,$L$2:$O$14,4,FALSE)+$C$9*5+VLOOKUP(D46,Auswahllisten!$E$25:$F$29,2,FALSE)))</f>
        <v>0</v>
      </c>
      <c r="G46" s="26">
        <f t="shared" ca="1" si="56"/>
        <v>0</v>
      </c>
      <c r="H46" s="26" cm="1">
        <f t="array" aca="1" ref="H46" ca="1">INDIRECT("Investition_gewählt!"&amp;$I$6&amp;AA46)</f>
        <v>0</v>
      </c>
      <c r="I46" s="25" cm="1">
        <f t="array" aca="1" ref="I46" ca="1">IF($C$5=0,0,INDEX(Faktoren!E32:GQ32,1,VLOOKUP($F$6,$L$2:$O$14,4,FALSE)+$C$9*5+VLOOKUP(D46,Auswahllisten!$E$25:$F$29,2,FALSE)))</f>
        <v>0</v>
      </c>
      <c r="J46" s="16">
        <f t="shared" ca="1" si="57"/>
        <v>0</v>
      </c>
      <c r="K46" s="16">
        <f t="shared" ca="1" si="10"/>
        <v>0</v>
      </c>
      <c r="L46" s="16" t="b">
        <f t="shared" ca="1" si="55"/>
        <v>0</v>
      </c>
      <c r="M46" s="26">
        <f t="shared" ca="1" si="11"/>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IF($U$5=0,0,INDEX(Faktoren!E32:GQ32,1,VLOOKUP($X$5,$L$2:$O$14,4,FALSE)+$U$9*5+VLOOKUP(O46,Auswahllisten!$E$25:$F$29,2,FALSE)))</f>
        <v>0</v>
      </c>
      <c r="R46" s="26">
        <f t="shared" ca="1" si="12"/>
        <v>0</v>
      </c>
      <c r="S46" s="26" cm="1">
        <f t="array" aca="1" ref="S46" ca="1">INDIRECT("Investition_gewählt!"&amp;$AA$6&amp;AA46)</f>
        <v>0</v>
      </c>
      <c r="T46" s="16" cm="1">
        <f t="array" aca="1" ref="T46" ca="1">IF($U$5=0,0,INDEX(Faktoren!E32:QG32,1,VLOOKUP($X$6,$L$3:$O$14,4,FALSE)+$U$9*5+VLOOKUP(O46,Auswahllisten!$E$25:$F$29,2,FALSE)))</f>
        <v>0</v>
      </c>
      <c r="U46" s="26">
        <f t="shared" ca="1" si="13"/>
        <v>0</v>
      </c>
      <c r="V46" s="26">
        <f t="shared" ca="1" si="14"/>
        <v>0</v>
      </c>
      <c r="W46" s="25" t="b">
        <f t="shared" ca="1" si="58"/>
        <v>0</v>
      </c>
      <c r="X46" s="26">
        <f t="shared" ca="1" si="16"/>
        <v>0</v>
      </c>
      <c r="Z46" s="1">
        <v>41</v>
      </c>
      <c r="AA46" s="1">
        <v>32</v>
      </c>
      <c r="AB46" s="1">
        <v>-2</v>
      </c>
      <c r="AF46" s="69">
        <f ca="1">AH44+AK44</f>
        <v>0</v>
      </c>
      <c r="AG46" s="69"/>
      <c r="AN46" s="1">
        <v>21</v>
      </c>
      <c r="AO46" s="1">
        <f t="shared" si="19"/>
        <v>0</v>
      </c>
      <c r="AP46" s="69">
        <f t="shared" ref="AP46:AV55" ca="1" si="59">IFERROR($AO46*IF(MOD($AN46,AP$20)=0,AP$25,0)*(1+$AS$10)^$AN46*IF($AS$3=$AN46,0,1),0)</f>
        <v>0</v>
      </c>
      <c r="AQ46" s="69">
        <f t="shared" ca="1" si="59"/>
        <v>0</v>
      </c>
      <c r="AR46" s="69">
        <f t="shared" si="59"/>
        <v>0</v>
      </c>
      <c r="AS46" s="69">
        <f t="shared" ca="1" si="59"/>
        <v>0</v>
      </c>
      <c r="AT46" s="69">
        <f t="shared" ca="1" si="59"/>
        <v>0</v>
      </c>
      <c r="AU46" s="69">
        <f t="shared" ca="1" si="59"/>
        <v>0</v>
      </c>
      <c r="AV46" s="69">
        <f t="shared" si="59"/>
        <v>0</v>
      </c>
      <c r="AW46" s="69">
        <f t="shared" ca="1" si="29"/>
        <v>0</v>
      </c>
      <c r="AX46" s="69">
        <f t="shared" ca="1" si="30"/>
        <v>0</v>
      </c>
      <c r="AY46" s="69">
        <f t="shared" ca="1" si="31"/>
        <v>0</v>
      </c>
      <c r="AZ46" s="69">
        <f ca="1">$AO46*IF(Auswahllisten!$G$150,AZ$25+AZ$25*AZ$13*$AN46,AZ$25*(1+AZ$13)^$AN46)</f>
        <v>0</v>
      </c>
      <c r="BA46" s="69">
        <f ca="1">$AO46*IF(Auswahllisten!$G$150,BA$25+BA$25*BA$13*$AN46,BA$25*(1+BA$13)^$AN46)</f>
        <v>0</v>
      </c>
      <c r="BB46" s="69">
        <f ca="1">$AO46*IF(Auswahllisten!$G$150,BB$25+BB$25*BB$13*$AN46,BB$25*(1+BB$13)^$AN46)</f>
        <v>0</v>
      </c>
      <c r="BC46" s="69">
        <f ca="1">$AO46*IF(Auswahllisten!$G$150,BC$25+BC$25*BC$13*$AN46,BC$25*(1+BC$13)^$AN46)</f>
        <v>0</v>
      </c>
      <c r="BD46" s="69">
        <f t="shared" ca="1" si="32"/>
        <v>0</v>
      </c>
      <c r="BE46" s="69">
        <f t="shared" ca="1" si="33"/>
        <v>0</v>
      </c>
      <c r="BF46" s="69">
        <f t="shared" ca="1" si="34"/>
        <v>0</v>
      </c>
      <c r="BG46" s="69">
        <f t="shared" ca="1" si="35"/>
        <v>0</v>
      </c>
      <c r="BI46" s="69">
        <f t="shared" ca="1" si="36"/>
        <v>0</v>
      </c>
      <c r="BJ46" s="69">
        <f t="shared" ca="1" si="37"/>
        <v>0</v>
      </c>
      <c r="BK46" s="69">
        <f t="shared" si="37"/>
        <v>0</v>
      </c>
      <c r="BL46" s="69">
        <f t="shared" ca="1" si="37"/>
        <v>0</v>
      </c>
      <c r="BM46" s="69">
        <f t="shared" ca="1" si="37"/>
        <v>0</v>
      </c>
      <c r="BN46" s="69">
        <f t="shared" ca="1" si="37"/>
        <v>0</v>
      </c>
      <c r="BO46" s="69">
        <f t="shared" si="37"/>
        <v>0</v>
      </c>
      <c r="BP46" s="69">
        <f t="shared" ca="1" si="22"/>
        <v>0</v>
      </c>
      <c r="BQ46" s="69">
        <f t="shared" ca="1" si="38"/>
        <v>0</v>
      </c>
      <c r="BR46" s="69">
        <f t="shared" ca="1" si="23"/>
        <v>0</v>
      </c>
      <c r="BS46" s="69">
        <f ca="1">$AO46*IF(Auswahllisten!$G$150,BS$25+BS$25*BS$13*$AN46,BS$25*(1+BS$13)^$AN46)</f>
        <v>0</v>
      </c>
      <c r="BT46" s="69">
        <f ca="1">$AO46*IF(Auswahllisten!$G$150,BT$25+BT$25*BT$13*$AN46,BT$25*(1+BT$13)^$AN46)</f>
        <v>0</v>
      </c>
      <c r="BU46" s="69">
        <f ca="1">$AO46*IF(Auswahllisten!$G$150,BU$25+BU$25*BU$13*$AN46,BU$25*(1+BU$13)^$AN46)</f>
        <v>0</v>
      </c>
      <c r="BV46" s="69">
        <f ca="1">$AO46*IF(Auswahllisten!$G$150,BV$25+BV$25*BV$13*$AN46,BV$25*(1+BV$13)^$AN46)</f>
        <v>0</v>
      </c>
      <c r="BW46" s="69">
        <f t="shared" ca="1" si="39"/>
        <v>0</v>
      </c>
      <c r="BX46" s="69">
        <f t="shared" ca="1" si="40"/>
        <v>0</v>
      </c>
      <c r="BY46" s="69">
        <f t="shared" ca="1" si="24"/>
        <v>0</v>
      </c>
      <c r="BZ46" s="69">
        <f t="shared" ca="1" si="25"/>
        <v>0</v>
      </c>
    </row>
    <row r="47" spans="1:78">
      <c r="A47" s="305" t="s">
        <v>1215</v>
      </c>
      <c r="B47" s="126" t="s">
        <v>303</v>
      </c>
      <c r="C47" s="126" t="s">
        <v>966</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IF($C$5=0,0,INDEX(Faktoren!E33:GQ33,1,VLOOKUP($F$5,$L$2:$O$14,4,FALSE)+$C$9*5+VLOOKUP(D47,Auswahllisten!$E$25:$F$29,2,FALSE)))</f>
        <v>0</v>
      </c>
      <c r="G47" s="26">
        <f t="shared" ca="1" si="56"/>
        <v>0</v>
      </c>
      <c r="H47" s="26" cm="1">
        <f t="array" aca="1" ref="H47" ca="1">INDIRECT("Investition_gewählt!"&amp;$I$6&amp;AA47)</f>
        <v>0</v>
      </c>
      <c r="I47" s="25" cm="1">
        <f t="array" aca="1" ref="I47" ca="1">IF($C$5=0,0,INDEX(Faktoren!E33:GQ33,1,VLOOKUP($F$6,$L$2:$O$14,4,FALSE)+$C$9*5+VLOOKUP(D47,Auswahllisten!$E$25:$F$29,2,FALSE)))</f>
        <v>0</v>
      </c>
      <c r="J47" s="16">
        <f t="shared" ca="1" si="57"/>
        <v>0</v>
      </c>
      <c r="K47" s="16">
        <f t="shared" ca="1" si="10"/>
        <v>0</v>
      </c>
      <c r="L47" s="16" t="b">
        <f t="shared" ca="1" si="55"/>
        <v>0</v>
      </c>
      <c r="M47" s="26">
        <f t="shared" ca="1" si="11"/>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IF($U$5=0,0,INDEX(Faktoren!E33:GQ33,1,VLOOKUP($X$5,$L$2:$O$14,4,FALSE)+$U$9*5+VLOOKUP(O47,Auswahllisten!$E$25:$F$29,2,FALSE)))</f>
        <v>0</v>
      </c>
      <c r="R47" s="26">
        <f t="shared" ca="1" si="12"/>
        <v>0</v>
      </c>
      <c r="S47" s="26" cm="1">
        <f t="array" aca="1" ref="S47" ca="1">INDIRECT("Investition_gewählt!"&amp;$AA$6&amp;AA47)</f>
        <v>0</v>
      </c>
      <c r="T47" s="16" cm="1">
        <f t="array" aca="1" ref="T47" ca="1">IF($U$5=0,0,INDEX(Faktoren!E33:QG33,1,VLOOKUP($X$6,$L$3:$O$14,4,FALSE)+$U$9*5+VLOOKUP(O47,Auswahllisten!$E$25:$F$29,2,FALSE)))</f>
        <v>0</v>
      </c>
      <c r="U47" s="26">
        <f t="shared" ca="1" si="13"/>
        <v>0</v>
      </c>
      <c r="V47" s="26">
        <f t="shared" ca="1" si="14"/>
        <v>0</v>
      </c>
      <c r="W47" s="25" t="b">
        <f t="shared" ca="1" si="58"/>
        <v>0</v>
      </c>
      <c r="X47" s="26">
        <f t="shared" ca="1" si="16"/>
        <v>0</v>
      </c>
      <c r="Z47" s="1">
        <v>47</v>
      </c>
      <c r="AA47" s="1">
        <v>33</v>
      </c>
      <c r="AB47" s="1">
        <v>-2</v>
      </c>
      <c r="AF47" s="69">
        <f ca="1">AF45+AF46</f>
        <v>0</v>
      </c>
      <c r="AG47" s="69"/>
      <c r="AN47" s="1">
        <v>22</v>
      </c>
      <c r="AO47" s="1">
        <f t="shared" si="19"/>
        <v>0</v>
      </c>
      <c r="AP47" s="69">
        <f t="shared" ca="1" si="59"/>
        <v>0</v>
      </c>
      <c r="AQ47" s="69">
        <f t="shared" ca="1" si="59"/>
        <v>0</v>
      </c>
      <c r="AR47" s="69">
        <f t="shared" si="59"/>
        <v>0</v>
      </c>
      <c r="AS47" s="69">
        <f t="shared" ca="1" si="59"/>
        <v>0</v>
      </c>
      <c r="AT47" s="69">
        <f t="shared" ca="1" si="59"/>
        <v>0</v>
      </c>
      <c r="AU47" s="69">
        <f t="shared" ca="1" si="59"/>
        <v>0</v>
      </c>
      <c r="AV47" s="69">
        <f t="shared" si="59"/>
        <v>0</v>
      </c>
      <c r="AW47" s="69">
        <f t="shared" ca="1" si="29"/>
        <v>0</v>
      </c>
      <c r="AX47" s="69">
        <f t="shared" ca="1" si="30"/>
        <v>0</v>
      </c>
      <c r="AY47" s="69">
        <f t="shared" ca="1" si="31"/>
        <v>0</v>
      </c>
      <c r="AZ47" s="69">
        <f ca="1">$AO47*IF(Auswahllisten!$G$150,AZ$25+AZ$25*AZ$13*$AN47,AZ$25*(1+AZ$13)^$AN47)</f>
        <v>0</v>
      </c>
      <c r="BA47" s="69">
        <f ca="1">$AO47*IF(Auswahllisten!$G$150,BA$25+BA$25*BA$13*$AN47,BA$25*(1+BA$13)^$AN47)</f>
        <v>0</v>
      </c>
      <c r="BB47" s="69">
        <f ca="1">$AO47*IF(Auswahllisten!$G$150,BB$25+BB$25*BB$13*$AN47,BB$25*(1+BB$13)^$AN47)</f>
        <v>0</v>
      </c>
      <c r="BC47" s="69">
        <f ca="1">$AO47*IF(Auswahllisten!$G$150,BC$25+BC$25*BC$13*$AN47,BC$25*(1+BC$13)^$AN47)</f>
        <v>0</v>
      </c>
      <c r="BD47" s="69">
        <f t="shared" ca="1" si="32"/>
        <v>0</v>
      </c>
      <c r="BE47" s="69">
        <f t="shared" ca="1" si="33"/>
        <v>0</v>
      </c>
      <c r="BF47" s="69">
        <f t="shared" ca="1" si="34"/>
        <v>0</v>
      </c>
      <c r="BG47" s="69">
        <f t="shared" ca="1" si="35"/>
        <v>0</v>
      </c>
      <c r="BI47" s="69">
        <f t="shared" ca="1" si="36"/>
        <v>0</v>
      </c>
      <c r="BJ47" s="69">
        <f t="shared" ca="1" si="37"/>
        <v>0</v>
      </c>
      <c r="BK47" s="69">
        <f t="shared" si="37"/>
        <v>0</v>
      </c>
      <c r="BL47" s="69">
        <f t="shared" ca="1" si="37"/>
        <v>0</v>
      </c>
      <c r="BM47" s="69">
        <f t="shared" ca="1" si="37"/>
        <v>0</v>
      </c>
      <c r="BN47" s="69">
        <f t="shared" ca="1" si="37"/>
        <v>0</v>
      </c>
      <c r="BO47" s="69">
        <f t="shared" si="37"/>
        <v>0</v>
      </c>
      <c r="BP47" s="69">
        <f t="shared" ca="1" si="22"/>
        <v>0</v>
      </c>
      <c r="BQ47" s="69">
        <f t="shared" ca="1" si="38"/>
        <v>0</v>
      </c>
      <c r="BR47" s="69">
        <f t="shared" ca="1" si="23"/>
        <v>0</v>
      </c>
      <c r="BS47" s="69">
        <f ca="1">$AO47*IF(Auswahllisten!$G$150,BS$25+BS$25*BS$13*$AN47,BS$25*(1+BS$13)^$AN47)</f>
        <v>0</v>
      </c>
      <c r="BT47" s="69">
        <f ca="1">$AO47*IF(Auswahllisten!$G$150,BT$25+BT$25*BT$13*$AN47,BT$25*(1+BT$13)^$AN47)</f>
        <v>0</v>
      </c>
      <c r="BU47" s="69">
        <f ca="1">$AO47*IF(Auswahllisten!$G$150,BU$25+BU$25*BU$13*$AN47,BU$25*(1+BU$13)^$AN47)</f>
        <v>0</v>
      </c>
      <c r="BV47" s="69">
        <f ca="1">$AO47*IF(Auswahllisten!$G$150,BV$25+BV$25*BV$13*$AN47,BV$25*(1+BV$13)^$AN47)</f>
        <v>0</v>
      </c>
      <c r="BW47" s="69">
        <f t="shared" ca="1" si="39"/>
        <v>0</v>
      </c>
      <c r="BX47" s="69">
        <f t="shared" ca="1" si="40"/>
        <v>0</v>
      </c>
      <c r="BY47" s="69">
        <f t="shared" ca="1" si="24"/>
        <v>0</v>
      </c>
      <c r="BZ47" s="69">
        <f t="shared" ca="1" si="25"/>
        <v>0</v>
      </c>
    </row>
    <row r="48" spans="1:78">
      <c r="A48" s="306" t="s">
        <v>1256</v>
      </c>
      <c r="B48" s="297" t="s">
        <v>303</v>
      </c>
      <c r="C48" s="134" t="s">
        <v>186</v>
      </c>
      <c r="D48" s="163" t="str" cm="1">
        <f t="array" aca="1" ref="D48" ca="1">INDIRECT("Vergleich!"&amp;$G$2&amp;Z48)</f>
        <v>mittel</v>
      </c>
      <c r="E48" s="163" cm="1">
        <f t="array" aca="1" ref="E48" ca="1">INDIRECT("Investition_gewählt!"&amp;$I$5&amp;AA48)</f>
        <v>0</v>
      </c>
      <c r="F48" s="61" cm="1">
        <f t="array" aca="1" ref="F48" ca="1">IF($C$5=0,0,INDEX(Faktoren!E34:GQ34,1,VLOOKUP($F$5,$L$2:$O$14,4,FALSE)+$C$9*5+VLOOKUP(D48,Auswahllisten!$E$25:$F$29,2,FALSE)))</f>
        <v>0</v>
      </c>
      <c r="G48" s="296">
        <f t="shared" ca="1" si="56"/>
        <v>0</v>
      </c>
      <c r="H48" s="296" cm="1">
        <f t="array" aca="1" ref="H48" ca="1">INDIRECT("Investition_gewählt!"&amp;$I$6&amp;AA48)</f>
        <v>0</v>
      </c>
      <c r="I48" s="61" cm="1">
        <f t="array" aca="1" ref="I48" ca="1">IF($C$5=0,0,INDEX(Faktoren!E34:GQ34,1,VLOOKUP($F$6,$L$2:$O$14,4,FALSE)+$C$9*5+VLOOKUP(D48,Auswahllisten!$E$25:$F$29,2,FALSE)))</f>
        <v>0</v>
      </c>
      <c r="J48" s="93">
        <f t="shared" ca="1" si="57"/>
        <v>0</v>
      </c>
      <c r="K48" s="93">
        <f t="shared" ca="1" si="10"/>
        <v>0</v>
      </c>
      <c r="L48" s="93" t="b">
        <f t="shared" ca="1" si="55"/>
        <v>0</v>
      </c>
      <c r="M48" s="163">
        <f t="shared" ca="1" si="11"/>
        <v>0</v>
      </c>
      <c r="O48" s="93" t="str" cm="1">
        <f t="array" aca="1" ref="O48" ca="1">INDIRECT("Vergleich!"&amp;$Y$2&amp;Z48)</f>
        <v>gering</v>
      </c>
      <c r="P48" s="163" cm="1">
        <f t="array" aca="1" ref="P48" ca="1">INDIRECT("Investition_gewählt!"&amp;$AA$5&amp;AA48)</f>
        <v>0</v>
      </c>
      <c r="Q48" s="93" cm="1">
        <f t="array" aca="1" ref="Q48" ca="1">IF($U$5=0,0,INDEX(Faktoren!E34:GQ34,1,VLOOKUP($X$5,$L$2:$O$14,4,FALSE)+$U$9*5+VLOOKUP(O48,Auswahllisten!$E$25:$F$29,2,FALSE)))</f>
        <v>0</v>
      </c>
      <c r="R48" s="163">
        <f t="shared" ca="1" si="12"/>
        <v>0</v>
      </c>
      <c r="S48" s="163" cm="1">
        <f t="array" aca="1" ref="S48" ca="1">INDIRECT("Investition_gewählt!"&amp;$AA$6&amp;AA48)</f>
        <v>0</v>
      </c>
      <c r="T48" s="93" cm="1">
        <f t="array" aca="1" ref="T48" ca="1">IF($U$5=0,0,INDEX(Faktoren!E34:QG34,1,VLOOKUP($X$6,$L$3:$O$14,4,FALSE)+$U$9*5+VLOOKUP(O48,Auswahllisten!$E$25:$F$29,2,FALSE)))</f>
        <v>0</v>
      </c>
      <c r="U48" s="163">
        <f t="shared" ca="1" si="13"/>
        <v>0</v>
      </c>
      <c r="V48" s="163">
        <f t="shared" ca="1" si="14"/>
        <v>0</v>
      </c>
      <c r="W48" s="61" t="b">
        <f t="shared" ca="1" si="58"/>
        <v>0</v>
      </c>
      <c r="X48" s="163">
        <f t="shared" ca="1" si="16"/>
        <v>0</v>
      </c>
      <c r="Z48" s="1">
        <v>48</v>
      </c>
      <c r="AA48" s="1">
        <v>34</v>
      </c>
      <c r="AB48" s="1">
        <v>-2</v>
      </c>
      <c r="AF48" s="69"/>
      <c r="AN48" s="1">
        <v>23</v>
      </c>
      <c r="AO48" s="1">
        <f t="shared" si="19"/>
        <v>0</v>
      </c>
      <c r="AP48" s="69">
        <f t="shared" ca="1" si="59"/>
        <v>0</v>
      </c>
      <c r="AQ48" s="69">
        <f t="shared" ca="1" si="59"/>
        <v>0</v>
      </c>
      <c r="AR48" s="69">
        <f t="shared" si="59"/>
        <v>0</v>
      </c>
      <c r="AS48" s="69">
        <f t="shared" ca="1" si="59"/>
        <v>0</v>
      </c>
      <c r="AT48" s="69">
        <f t="shared" ca="1" si="59"/>
        <v>0</v>
      </c>
      <c r="AU48" s="69">
        <f t="shared" ca="1" si="59"/>
        <v>0</v>
      </c>
      <c r="AV48" s="69">
        <f t="shared" si="59"/>
        <v>0</v>
      </c>
      <c r="AW48" s="69">
        <f t="shared" ca="1" si="29"/>
        <v>0</v>
      </c>
      <c r="AX48" s="69">
        <f t="shared" ca="1" si="30"/>
        <v>0</v>
      </c>
      <c r="AY48" s="69">
        <f t="shared" ca="1" si="31"/>
        <v>0</v>
      </c>
      <c r="AZ48" s="69">
        <f ca="1">$AO48*IF(Auswahllisten!$G$150,AZ$25+AZ$25*AZ$13*$AN48,AZ$25*(1+AZ$13)^$AN48)</f>
        <v>0</v>
      </c>
      <c r="BA48" s="69">
        <f ca="1">$AO48*IF(Auswahllisten!$G$150,BA$25+BA$25*BA$13*$AN48,BA$25*(1+BA$13)^$AN48)</f>
        <v>0</v>
      </c>
      <c r="BB48" s="69">
        <f ca="1">$AO48*IF(Auswahllisten!$G$150,BB$25+BB$25*BB$13*$AN48,BB$25*(1+BB$13)^$AN48)</f>
        <v>0</v>
      </c>
      <c r="BC48" s="69">
        <f ca="1">$AO48*IF(Auswahllisten!$G$150,BC$25+BC$25*BC$13*$AN48,BC$25*(1+BC$13)^$AN48)</f>
        <v>0</v>
      </c>
      <c r="BD48" s="69">
        <f t="shared" ca="1" si="32"/>
        <v>0</v>
      </c>
      <c r="BE48" s="69">
        <f t="shared" ca="1" si="33"/>
        <v>0</v>
      </c>
      <c r="BF48" s="69">
        <f t="shared" ca="1" si="34"/>
        <v>0</v>
      </c>
      <c r="BG48" s="69">
        <f t="shared" ca="1" si="35"/>
        <v>0</v>
      </c>
      <c r="BI48" s="69">
        <f t="shared" ca="1" si="36"/>
        <v>0</v>
      </c>
      <c r="BJ48" s="69">
        <f t="shared" ca="1" si="37"/>
        <v>0</v>
      </c>
      <c r="BK48" s="69">
        <f t="shared" si="37"/>
        <v>0</v>
      </c>
      <c r="BL48" s="69">
        <f t="shared" ca="1" si="37"/>
        <v>0</v>
      </c>
      <c r="BM48" s="69">
        <f t="shared" ca="1" si="37"/>
        <v>0</v>
      </c>
      <c r="BN48" s="69">
        <f t="shared" ca="1" si="37"/>
        <v>0</v>
      </c>
      <c r="BO48" s="69">
        <f t="shared" si="37"/>
        <v>0</v>
      </c>
      <c r="BP48" s="69">
        <f t="shared" ca="1" si="22"/>
        <v>0</v>
      </c>
      <c r="BQ48" s="69">
        <f t="shared" ca="1" si="38"/>
        <v>0</v>
      </c>
      <c r="BR48" s="69">
        <f t="shared" ca="1" si="23"/>
        <v>0</v>
      </c>
      <c r="BS48" s="69">
        <f ca="1">$AO48*IF(Auswahllisten!$G$150,BS$25+BS$25*BS$13*$AN48,BS$25*(1+BS$13)^$AN48)</f>
        <v>0</v>
      </c>
      <c r="BT48" s="69">
        <f ca="1">$AO48*IF(Auswahllisten!$G$150,BT$25+BT$25*BT$13*$AN48,BT$25*(1+BT$13)^$AN48)</f>
        <v>0</v>
      </c>
      <c r="BU48" s="69">
        <f ca="1">$AO48*IF(Auswahllisten!$G$150,BU$25+BU$25*BU$13*$AN48,BU$25*(1+BU$13)^$AN48)</f>
        <v>0</v>
      </c>
      <c r="BV48" s="69">
        <f ca="1">$AO48*IF(Auswahllisten!$G$150,BV$25+BV$25*BV$13*$AN48,BV$25*(1+BV$13)^$AN48)</f>
        <v>0</v>
      </c>
      <c r="BW48" s="69">
        <f t="shared" ca="1" si="39"/>
        <v>0</v>
      </c>
      <c r="BX48" s="69">
        <f t="shared" ca="1" si="40"/>
        <v>0</v>
      </c>
      <c r="BY48" s="69">
        <f t="shared" ca="1" si="24"/>
        <v>0</v>
      </c>
      <c r="BZ48" s="69">
        <f t="shared" ca="1" si="25"/>
        <v>0</v>
      </c>
    </row>
    <row r="49" spans="1:78">
      <c r="A49" s="125"/>
      <c r="B49" s="64"/>
      <c r="C49" s="64"/>
      <c r="D49" s="69"/>
      <c r="M49" s="69"/>
      <c r="X49" s="69"/>
      <c r="AA49" s="1">
        <v>35</v>
      </c>
      <c r="AB49" s="1">
        <v>-2</v>
      </c>
      <c r="AF49" s="69"/>
      <c r="AN49" s="1">
        <v>24</v>
      </c>
      <c r="AO49" s="1">
        <f t="shared" si="19"/>
        <v>0</v>
      </c>
      <c r="AP49" s="69">
        <f t="shared" ca="1" si="59"/>
        <v>0</v>
      </c>
      <c r="AQ49" s="69">
        <f t="shared" ca="1" si="59"/>
        <v>0</v>
      </c>
      <c r="AR49" s="69">
        <f t="shared" si="59"/>
        <v>0</v>
      </c>
      <c r="AS49" s="69">
        <f t="shared" ca="1" si="59"/>
        <v>0</v>
      </c>
      <c r="AT49" s="69">
        <f t="shared" ca="1" si="59"/>
        <v>0</v>
      </c>
      <c r="AU49" s="69">
        <f t="shared" ca="1" si="59"/>
        <v>0</v>
      </c>
      <c r="AV49" s="69">
        <f t="shared" si="59"/>
        <v>0</v>
      </c>
      <c r="AW49" s="69">
        <f t="shared" ca="1" si="29"/>
        <v>0</v>
      </c>
      <c r="AX49" s="69">
        <f t="shared" ca="1" si="30"/>
        <v>0</v>
      </c>
      <c r="AY49" s="69">
        <f t="shared" ca="1" si="31"/>
        <v>0</v>
      </c>
      <c r="AZ49" s="69">
        <f ca="1">$AO49*IF(Auswahllisten!$G$150,AZ$25+AZ$25*AZ$13*$AN49,AZ$25*(1+AZ$13)^$AN49)</f>
        <v>0</v>
      </c>
      <c r="BA49" s="69">
        <f ca="1">$AO49*IF(Auswahllisten!$G$150,BA$25+BA$25*BA$13*$AN49,BA$25*(1+BA$13)^$AN49)</f>
        <v>0</v>
      </c>
      <c r="BB49" s="69">
        <f ca="1">$AO49*IF(Auswahllisten!$G$150,BB$25+BB$25*BB$13*$AN49,BB$25*(1+BB$13)^$AN49)</f>
        <v>0</v>
      </c>
      <c r="BC49" s="69">
        <f ca="1">$AO49*IF(Auswahllisten!$G$150,BC$25+BC$25*BC$13*$AN49,BC$25*(1+BC$13)^$AN49)</f>
        <v>0</v>
      </c>
      <c r="BD49" s="69">
        <f t="shared" ca="1" si="32"/>
        <v>0</v>
      </c>
      <c r="BE49" s="69">
        <f t="shared" ca="1" si="33"/>
        <v>0</v>
      </c>
      <c r="BF49" s="69">
        <f t="shared" ca="1" si="34"/>
        <v>0</v>
      </c>
      <c r="BG49" s="69">
        <f t="shared" ca="1" si="35"/>
        <v>0</v>
      </c>
      <c r="BI49" s="69">
        <f t="shared" ca="1" si="36"/>
        <v>0</v>
      </c>
      <c r="BJ49" s="69">
        <f t="shared" ca="1" si="37"/>
        <v>0</v>
      </c>
      <c r="BK49" s="69">
        <f t="shared" si="37"/>
        <v>0</v>
      </c>
      <c r="BL49" s="69">
        <f t="shared" ca="1" si="37"/>
        <v>0</v>
      </c>
      <c r="BM49" s="69">
        <f t="shared" ca="1" si="37"/>
        <v>0</v>
      </c>
      <c r="BN49" s="69">
        <f t="shared" ca="1" si="37"/>
        <v>0</v>
      </c>
      <c r="BO49" s="69">
        <f t="shared" si="37"/>
        <v>0</v>
      </c>
      <c r="BP49" s="69">
        <f t="shared" ca="1" si="22"/>
        <v>0</v>
      </c>
      <c r="BQ49" s="69">
        <f t="shared" ca="1" si="38"/>
        <v>0</v>
      </c>
      <c r="BR49" s="69">
        <f t="shared" ca="1" si="23"/>
        <v>0</v>
      </c>
      <c r="BS49" s="69">
        <f ca="1">$AO49*IF(Auswahllisten!$G$150,BS$25+BS$25*BS$13*$AN49,BS$25*(1+BS$13)^$AN49)</f>
        <v>0</v>
      </c>
      <c r="BT49" s="69">
        <f ca="1">$AO49*IF(Auswahllisten!$G$150,BT$25+BT$25*BT$13*$AN49,BT$25*(1+BT$13)^$AN49)</f>
        <v>0</v>
      </c>
      <c r="BU49" s="69">
        <f ca="1">$AO49*IF(Auswahllisten!$G$150,BU$25+BU$25*BU$13*$AN49,BU$25*(1+BU$13)^$AN49)</f>
        <v>0</v>
      </c>
      <c r="BV49" s="69">
        <f ca="1">$AO49*IF(Auswahllisten!$G$150,BV$25+BV$25*BV$13*$AN49,BV$25*(1+BV$13)^$AN49)</f>
        <v>0</v>
      </c>
      <c r="BW49" s="69">
        <f t="shared" ca="1" si="39"/>
        <v>0</v>
      </c>
      <c r="BX49" s="69">
        <f t="shared" ca="1" si="40"/>
        <v>0</v>
      </c>
      <c r="BY49" s="69">
        <f t="shared" ca="1" si="24"/>
        <v>0</v>
      </c>
      <c r="BZ49" s="69">
        <f t="shared" ca="1" si="25"/>
        <v>0</v>
      </c>
    </row>
    <row r="50" spans="1:78">
      <c r="A50" s="125" t="s">
        <v>996</v>
      </c>
      <c r="B50" s="125" t="s">
        <v>141</v>
      </c>
      <c r="C50" s="125"/>
      <c r="D50" s="69"/>
      <c r="L50" s="155">
        <v>5</v>
      </c>
      <c r="M50" s="69"/>
      <c r="X50" s="69"/>
      <c r="AA50" s="1">
        <v>36</v>
      </c>
      <c r="AB50" s="1">
        <v>-2</v>
      </c>
      <c r="AN50" s="1">
        <v>25</v>
      </c>
      <c r="AO50" s="1">
        <f t="shared" si="19"/>
        <v>0</v>
      </c>
      <c r="AP50" s="69">
        <f t="shared" ca="1" si="59"/>
        <v>0</v>
      </c>
      <c r="AQ50" s="69">
        <f t="shared" ca="1" si="59"/>
        <v>0</v>
      </c>
      <c r="AR50" s="69">
        <f t="shared" si="59"/>
        <v>0</v>
      </c>
      <c r="AS50" s="69">
        <f t="shared" ca="1" si="59"/>
        <v>0</v>
      </c>
      <c r="AT50" s="69">
        <f t="shared" ca="1" si="59"/>
        <v>0</v>
      </c>
      <c r="AU50" s="69">
        <f t="shared" ca="1" si="59"/>
        <v>0</v>
      </c>
      <c r="AV50" s="69">
        <f t="shared" si="59"/>
        <v>0</v>
      </c>
      <c r="AW50" s="69">
        <f t="shared" ca="1" si="29"/>
        <v>0</v>
      </c>
      <c r="AX50" s="69">
        <f t="shared" ca="1" si="30"/>
        <v>0</v>
      </c>
      <c r="AY50" s="69">
        <f t="shared" ca="1" si="31"/>
        <v>0</v>
      </c>
      <c r="AZ50" s="69">
        <f ca="1">$AO50*IF(Auswahllisten!$G$150,AZ$25+AZ$25*AZ$13*$AN50,AZ$25*(1+AZ$13)^$AN50)</f>
        <v>0</v>
      </c>
      <c r="BA50" s="69">
        <f ca="1">$AO50*IF(Auswahllisten!$G$150,BA$25+BA$25*BA$13*$AN50,BA$25*(1+BA$13)^$AN50)</f>
        <v>0</v>
      </c>
      <c r="BB50" s="69">
        <f ca="1">$AO50*IF(Auswahllisten!$G$150,BB$25+BB$25*BB$13*$AN50,BB$25*(1+BB$13)^$AN50)</f>
        <v>0</v>
      </c>
      <c r="BC50" s="69">
        <f ca="1">$AO50*IF(Auswahllisten!$G$150,BC$25+BC$25*BC$13*$AN50,BC$25*(1+BC$13)^$AN50)</f>
        <v>0</v>
      </c>
      <c r="BD50" s="69">
        <f t="shared" ca="1" si="32"/>
        <v>0</v>
      </c>
      <c r="BE50" s="69">
        <f t="shared" ca="1" si="33"/>
        <v>0</v>
      </c>
      <c r="BF50" s="69">
        <f t="shared" ca="1" si="34"/>
        <v>0</v>
      </c>
      <c r="BG50" s="69">
        <f t="shared" ca="1" si="35"/>
        <v>0</v>
      </c>
      <c r="BI50" s="69">
        <f t="shared" ca="1" si="36"/>
        <v>0</v>
      </c>
      <c r="BJ50" s="69">
        <f t="shared" ca="1" si="37"/>
        <v>0</v>
      </c>
      <c r="BK50" s="69">
        <f t="shared" si="37"/>
        <v>0</v>
      </c>
      <c r="BL50" s="69">
        <f t="shared" ca="1" si="37"/>
        <v>0</v>
      </c>
      <c r="BM50" s="69">
        <f t="shared" ca="1" si="37"/>
        <v>0</v>
      </c>
      <c r="BN50" s="69">
        <f t="shared" ca="1" si="37"/>
        <v>0</v>
      </c>
      <c r="BO50" s="69">
        <f t="shared" si="37"/>
        <v>0</v>
      </c>
      <c r="BP50" s="69">
        <f t="shared" ca="1" si="22"/>
        <v>0</v>
      </c>
      <c r="BQ50" s="69">
        <f t="shared" ca="1" si="38"/>
        <v>0</v>
      </c>
      <c r="BR50" s="69">
        <f t="shared" ca="1" si="23"/>
        <v>0</v>
      </c>
      <c r="BS50" s="69">
        <f ca="1">$AO50*IF(Auswahllisten!$G$150,BS$25+BS$25*BS$13*$AN50,BS$25*(1+BS$13)^$AN50)</f>
        <v>0</v>
      </c>
      <c r="BT50" s="69">
        <f ca="1">$AO50*IF(Auswahllisten!$G$150,BT$25+BT$25*BT$13*$AN50,BT$25*(1+BT$13)^$AN50)</f>
        <v>0</v>
      </c>
      <c r="BU50" s="69">
        <f ca="1">$AO50*IF(Auswahllisten!$G$150,BU$25+BU$25*BU$13*$AN50,BU$25*(1+BU$13)^$AN50)</f>
        <v>0</v>
      </c>
      <c r="BV50" s="69">
        <f ca="1">$AO50*IF(Auswahllisten!$G$150,BV$25+BV$25*BV$13*$AN50,BV$25*(1+BV$13)^$AN50)</f>
        <v>0</v>
      </c>
      <c r="BW50" s="69">
        <f t="shared" ca="1" si="39"/>
        <v>0</v>
      </c>
      <c r="BX50" s="69">
        <f t="shared" ca="1" si="40"/>
        <v>0</v>
      </c>
      <c r="BY50" s="69">
        <f t="shared" ca="1" si="24"/>
        <v>0</v>
      </c>
      <c r="BZ50" s="69">
        <f t="shared" ca="1" si="25"/>
        <v>0</v>
      </c>
    </row>
    <row r="51" spans="1:78">
      <c r="A51" s="304" t="s">
        <v>1217</v>
      </c>
      <c r="B51" s="131" t="s">
        <v>1242</v>
      </c>
      <c r="C51" s="131" t="s">
        <v>964</v>
      </c>
      <c r="D51" s="162" t="str" cm="1">
        <f t="array" aca="1" ref="D51" ca="1">INDIRECT("Vergleich!"&amp;$G$2&amp;Z51)</f>
        <v>mittel</v>
      </c>
      <c r="E51" s="162" cm="1">
        <f t="array" aca="1" ref="E51" ca="1">INDIRECT("Investition_gewählt!"&amp;$I$5&amp;AA51)</f>
        <v>3000</v>
      </c>
      <c r="F51" s="25" cm="1">
        <f t="array" aca="1" ref="F51" ca="1">IF($C$5=0,0,INDEX(Faktoren!E37:GQ37,1,VLOOKUP($F$5,$L$2:$O$14,4,FALSE)+$C$9*5+VLOOKUP(D51,Auswahllisten!$E$25:$F$29,2,FALSE)))</f>
        <v>0</v>
      </c>
      <c r="G51" s="162">
        <f ca="1">E51*F51</f>
        <v>0</v>
      </c>
      <c r="H51" s="162" cm="1">
        <f t="array" aca="1" ref="H51" ca="1">INDIRECT("Investition_gewählt!"&amp;$I$6&amp;AA51)</f>
        <v>3000</v>
      </c>
      <c r="I51" s="25" cm="1">
        <f t="array" aca="1" ref="I51" ca="1">IF($C$5=0,0,INDEX(Faktoren!E37:GQ37,1,VLOOKUP($F$6,$L$2:$O$14,4,FALSE)+$C$9*5+VLOOKUP(D51,Auswahllisten!$E$25:$F$29,2,FALSE)))</f>
        <v>0</v>
      </c>
      <c r="J51" s="162">
        <f ca="1">H51*I51</f>
        <v>0</v>
      </c>
      <c r="K51" s="162">
        <f t="shared" ca="1" si="10"/>
        <v>0</v>
      </c>
      <c r="L51" s="25" t="b">
        <f t="shared" ref="L51:L58" ca="1" si="60">($C$5=$L$50)</f>
        <v>0</v>
      </c>
      <c r="M51" s="162">
        <f t="shared" ca="1" si="11"/>
        <v>0</v>
      </c>
      <c r="O51" s="25" t="str" cm="1">
        <f t="array" aca="1" ref="O51" ca="1">INDIRECT("Vergleich!"&amp;$Y$2&amp;Z51)</f>
        <v>gering</v>
      </c>
      <c r="P51" s="162" cm="1">
        <f t="array" aca="1" ref="P51" ca="1">INDIRECT("Investition_gewählt!"&amp;$AA$5&amp;AA51)</f>
        <v>3000</v>
      </c>
      <c r="Q51" s="25" cm="1">
        <f t="array" aca="1" ref="Q51" ca="1">IF($U$5=0,0,INDEX(Faktoren!E37:GQ37,1,VLOOKUP($X$5,$L$2:$O$14,4,FALSE)+$U$9*5+VLOOKUP(O51,Auswahllisten!$E$25:$F$29,2,FALSE)))</f>
        <v>0</v>
      </c>
      <c r="R51" s="162">
        <f t="shared" ca="1" si="12"/>
        <v>0</v>
      </c>
      <c r="S51" s="162" cm="1">
        <f t="array" aca="1" ref="S51" ca="1">INDIRECT("Investition_gewählt!"&amp;$AA$6&amp;AA51)</f>
        <v>3000</v>
      </c>
      <c r="T51" s="25" cm="1">
        <f t="array" aca="1" ref="T51" ca="1">IF($U$5=0,0,INDEX(Faktoren!E37:QG37,1,VLOOKUP($X$6,$L$3:$O$14,4,FALSE)+$U$9*5+VLOOKUP(O51,Auswahllisten!$E$25:$F$29,2,FALSE)))</f>
        <v>0</v>
      </c>
      <c r="U51" s="25">
        <f t="shared" ca="1" si="13"/>
        <v>0</v>
      </c>
      <c r="V51" s="25">
        <f t="shared" ca="1" si="14"/>
        <v>0</v>
      </c>
      <c r="W51" s="25" t="b">
        <f ca="1">($U$5=$L$50)</f>
        <v>0</v>
      </c>
      <c r="X51" s="162">
        <f t="shared" ca="1" si="16"/>
        <v>0</v>
      </c>
      <c r="Z51" s="1">
        <v>33</v>
      </c>
      <c r="AA51" s="1">
        <v>37</v>
      </c>
      <c r="AB51" s="1">
        <v>-2</v>
      </c>
      <c r="AN51" s="1">
        <v>26</v>
      </c>
      <c r="AO51" s="1">
        <f t="shared" si="19"/>
        <v>0</v>
      </c>
      <c r="AP51" s="69">
        <f t="shared" ca="1" si="59"/>
        <v>0</v>
      </c>
      <c r="AQ51" s="69">
        <f t="shared" ca="1" si="59"/>
        <v>0</v>
      </c>
      <c r="AR51" s="69">
        <f t="shared" si="59"/>
        <v>0</v>
      </c>
      <c r="AS51" s="69">
        <f t="shared" ca="1" si="59"/>
        <v>0</v>
      </c>
      <c r="AT51" s="69">
        <f t="shared" ca="1" si="59"/>
        <v>0</v>
      </c>
      <c r="AU51" s="69">
        <f t="shared" ca="1" si="59"/>
        <v>0</v>
      </c>
      <c r="AV51" s="69">
        <f t="shared" si="59"/>
        <v>0</v>
      </c>
      <c r="AW51" s="69">
        <f t="shared" ca="1" si="29"/>
        <v>0</v>
      </c>
      <c r="AX51" s="69">
        <f t="shared" ca="1" si="30"/>
        <v>0</v>
      </c>
      <c r="AY51" s="69">
        <f t="shared" ca="1" si="31"/>
        <v>0</v>
      </c>
      <c r="AZ51" s="69">
        <f ca="1">$AO51*IF(Auswahllisten!$G$150,AZ$25+AZ$25*AZ$13*$AN51,AZ$25*(1+AZ$13)^$AN51)</f>
        <v>0</v>
      </c>
      <c r="BA51" s="69">
        <f ca="1">$AO51*IF(Auswahllisten!$G$150,BA$25+BA$25*BA$13*$AN51,BA$25*(1+BA$13)^$AN51)</f>
        <v>0</v>
      </c>
      <c r="BB51" s="69">
        <f ca="1">$AO51*IF(Auswahllisten!$G$150,BB$25+BB$25*BB$13*$AN51,BB$25*(1+BB$13)^$AN51)</f>
        <v>0</v>
      </c>
      <c r="BC51" s="69">
        <f ca="1">$AO51*IF(Auswahllisten!$G$150,BC$25+BC$25*BC$13*$AN51,BC$25*(1+BC$13)^$AN51)</f>
        <v>0</v>
      </c>
      <c r="BD51" s="69">
        <f t="shared" ca="1" si="32"/>
        <v>0</v>
      </c>
      <c r="BE51" s="69">
        <f t="shared" ca="1" si="33"/>
        <v>0</v>
      </c>
      <c r="BF51" s="69">
        <f t="shared" ca="1" si="34"/>
        <v>0</v>
      </c>
      <c r="BG51" s="69">
        <f t="shared" ca="1" si="35"/>
        <v>0</v>
      </c>
      <c r="BI51" s="69">
        <f t="shared" ca="1" si="36"/>
        <v>0</v>
      </c>
      <c r="BJ51" s="69">
        <f t="shared" ca="1" si="37"/>
        <v>0</v>
      </c>
      <c r="BK51" s="69">
        <f t="shared" si="37"/>
        <v>0</v>
      </c>
      <c r="BL51" s="69">
        <f t="shared" ca="1" si="37"/>
        <v>0</v>
      </c>
      <c r="BM51" s="69">
        <f t="shared" ca="1" si="37"/>
        <v>0</v>
      </c>
      <c r="BN51" s="69">
        <f t="shared" ca="1" si="37"/>
        <v>0</v>
      </c>
      <c r="BO51" s="69">
        <f t="shared" si="37"/>
        <v>0</v>
      </c>
      <c r="BP51" s="69">
        <f t="shared" ca="1" si="22"/>
        <v>0</v>
      </c>
      <c r="BQ51" s="69">
        <f t="shared" ca="1" si="38"/>
        <v>0</v>
      </c>
      <c r="BR51" s="69">
        <f t="shared" ca="1" si="23"/>
        <v>0</v>
      </c>
      <c r="BS51" s="69">
        <f ca="1">$AO51*IF(Auswahllisten!$G$150,BS$25+BS$25*BS$13*$AN51,BS$25*(1+BS$13)^$AN51)</f>
        <v>0</v>
      </c>
      <c r="BT51" s="69">
        <f ca="1">$AO51*IF(Auswahllisten!$G$150,BT$25+BT$25*BT$13*$AN51,BT$25*(1+BT$13)^$AN51)</f>
        <v>0</v>
      </c>
      <c r="BU51" s="69">
        <f ca="1">$AO51*IF(Auswahllisten!$G$150,BU$25+BU$25*BU$13*$AN51,BU$25*(1+BU$13)^$AN51)</f>
        <v>0</v>
      </c>
      <c r="BV51" s="69">
        <f ca="1">$AO51*IF(Auswahllisten!$G$150,BV$25+BV$25*BV$13*$AN51,BV$25*(1+BV$13)^$AN51)</f>
        <v>0</v>
      </c>
      <c r="BW51" s="69">
        <f t="shared" ca="1" si="39"/>
        <v>0</v>
      </c>
      <c r="BX51" s="69">
        <f t="shared" ca="1" si="40"/>
        <v>0</v>
      </c>
      <c r="BY51" s="69">
        <f t="shared" ca="1" si="24"/>
        <v>0</v>
      </c>
      <c r="BZ51" s="69">
        <f t="shared" ca="1" si="25"/>
        <v>0</v>
      </c>
    </row>
    <row r="52" spans="1:78">
      <c r="A52" s="305" t="s">
        <v>1215</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IF($C$5=0,0,INDEX(Faktoren!E38:GQ38,1,VLOOKUP($F$5,$L$2:$O$14,4,FALSE)+$C$9*5+VLOOKUP(D52,Auswahllisten!$E$25:$F$29,2,FALSE)))</f>
        <v>0</v>
      </c>
      <c r="G52" s="26">
        <f t="shared" ref="G52:G58" ca="1" si="61">E52*F52</f>
        <v>0</v>
      </c>
      <c r="H52" s="26" cm="1">
        <f t="array" aca="1" ref="H52" ca="1">INDIRECT("Investition_gewählt!"&amp;$I$6&amp;AA52)</f>
        <v>15800</v>
      </c>
      <c r="I52" s="25" cm="1">
        <f t="array" aca="1" ref="I52" ca="1">IF($C$5=0,0,INDEX(Faktoren!E38:GQ38,1,VLOOKUP($F$6,$L$2:$O$14,4,FALSE)+$C$9*5+VLOOKUP(D52,Auswahllisten!$E$25:$F$29,2,FALSE)))</f>
        <v>0</v>
      </c>
      <c r="J52" s="26">
        <f t="shared" ref="J52:J58" ca="1" si="62">H52*I52</f>
        <v>0</v>
      </c>
      <c r="K52" s="26">
        <f t="shared" ca="1" si="10"/>
        <v>0</v>
      </c>
      <c r="L52" s="16" t="b">
        <f t="shared" ca="1" si="60"/>
        <v>0</v>
      </c>
      <c r="M52" s="26">
        <f t="shared" ca="1" si="11"/>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IF($U$5=0,0,INDEX(Faktoren!E38:GQ38,1,VLOOKUP($X$5,$L$2:$O$14,4,FALSE)+$U$9*5+VLOOKUP(O52,Auswahllisten!$E$25:$F$29,2,FALSE)))</f>
        <v>0</v>
      </c>
      <c r="R52" s="26">
        <f t="shared" ca="1" si="12"/>
        <v>0</v>
      </c>
      <c r="S52" s="26" cm="1">
        <f t="array" aca="1" ref="S52" ca="1">INDIRECT("Investition_gewählt!"&amp;$AA$6&amp;AA52)</f>
        <v>15800</v>
      </c>
      <c r="T52" s="16" cm="1">
        <f t="array" aca="1" ref="T52" ca="1">IF($U$5=0,0,INDEX(Faktoren!E38:QG38,1,VLOOKUP($X$6,$L$3:$O$14,4,FALSE)+$U$9*5+VLOOKUP(O52,Auswahllisten!$E$25:$F$29,2,FALSE)))</f>
        <v>0</v>
      </c>
      <c r="U52" s="26">
        <f t="shared" ca="1" si="13"/>
        <v>0</v>
      </c>
      <c r="V52" s="26">
        <f t="shared" ca="1" si="14"/>
        <v>0</v>
      </c>
      <c r="W52" s="16" t="b">
        <f t="shared" ref="W52:W58" ca="1" si="63">($U$5=$L$50)</f>
        <v>0</v>
      </c>
      <c r="X52" s="26">
        <f t="shared" ca="1" si="16"/>
        <v>0</v>
      </c>
      <c r="Z52" s="1">
        <v>40</v>
      </c>
      <c r="AA52" s="1">
        <v>38</v>
      </c>
      <c r="AB52" s="1">
        <v>-2</v>
      </c>
      <c r="AN52" s="1">
        <v>27</v>
      </c>
      <c r="AO52" s="1">
        <f t="shared" si="19"/>
        <v>0</v>
      </c>
      <c r="AP52" s="69">
        <f t="shared" ca="1" si="59"/>
        <v>0</v>
      </c>
      <c r="AQ52" s="69">
        <f t="shared" ca="1" si="59"/>
        <v>0</v>
      </c>
      <c r="AR52" s="69">
        <f t="shared" si="59"/>
        <v>0</v>
      </c>
      <c r="AS52" s="69">
        <f t="shared" ca="1" si="59"/>
        <v>0</v>
      </c>
      <c r="AT52" s="69">
        <f t="shared" ca="1" si="59"/>
        <v>0</v>
      </c>
      <c r="AU52" s="69">
        <f t="shared" ca="1" si="59"/>
        <v>0</v>
      </c>
      <c r="AV52" s="69">
        <f t="shared" si="59"/>
        <v>0</v>
      </c>
      <c r="AW52" s="69">
        <f t="shared" ca="1" si="29"/>
        <v>0</v>
      </c>
      <c r="AX52" s="69">
        <f t="shared" ca="1" si="30"/>
        <v>0</v>
      </c>
      <c r="AY52" s="69">
        <f t="shared" ca="1" si="31"/>
        <v>0</v>
      </c>
      <c r="AZ52" s="69">
        <f ca="1">$AO52*IF(Auswahllisten!$G$150,AZ$25+AZ$25*AZ$13*$AN52,AZ$25*(1+AZ$13)^$AN52)</f>
        <v>0</v>
      </c>
      <c r="BA52" s="69">
        <f ca="1">$AO52*IF(Auswahllisten!$G$150,BA$25+BA$25*BA$13*$AN52,BA$25*(1+BA$13)^$AN52)</f>
        <v>0</v>
      </c>
      <c r="BB52" s="69">
        <f ca="1">$AO52*IF(Auswahllisten!$G$150,BB$25+BB$25*BB$13*$AN52,BB$25*(1+BB$13)^$AN52)</f>
        <v>0</v>
      </c>
      <c r="BC52" s="69">
        <f ca="1">$AO52*IF(Auswahllisten!$G$150,BC$25+BC$25*BC$13*$AN52,BC$25*(1+BC$13)^$AN52)</f>
        <v>0</v>
      </c>
      <c r="BD52" s="69">
        <f t="shared" ca="1" si="32"/>
        <v>0</v>
      </c>
      <c r="BE52" s="69">
        <f t="shared" ca="1" si="33"/>
        <v>0</v>
      </c>
      <c r="BF52" s="69">
        <f t="shared" ca="1" si="34"/>
        <v>0</v>
      </c>
      <c r="BG52" s="69">
        <f t="shared" ca="1" si="35"/>
        <v>0</v>
      </c>
      <c r="BI52" s="69">
        <f t="shared" ca="1" si="36"/>
        <v>0</v>
      </c>
      <c r="BJ52" s="69">
        <f t="shared" ca="1" si="37"/>
        <v>0</v>
      </c>
      <c r="BK52" s="69">
        <f t="shared" si="37"/>
        <v>0</v>
      </c>
      <c r="BL52" s="69">
        <f t="shared" ca="1" si="37"/>
        <v>0</v>
      </c>
      <c r="BM52" s="69">
        <f t="shared" ca="1" si="37"/>
        <v>0</v>
      </c>
      <c r="BN52" s="69">
        <f t="shared" ca="1" si="37"/>
        <v>0</v>
      </c>
      <c r="BO52" s="69">
        <f t="shared" si="37"/>
        <v>0</v>
      </c>
      <c r="BP52" s="69">
        <f t="shared" ca="1" si="22"/>
        <v>0</v>
      </c>
      <c r="BQ52" s="69">
        <f t="shared" ca="1" si="38"/>
        <v>0</v>
      </c>
      <c r="BR52" s="69">
        <f t="shared" ca="1" si="23"/>
        <v>0</v>
      </c>
      <c r="BS52" s="69">
        <f ca="1">$AO52*IF(Auswahllisten!$G$150,BS$25+BS$25*BS$13*$AN52,BS$25*(1+BS$13)^$AN52)</f>
        <v>0</v>
      </c>
      <c r="BT52" s="69">
        <f ca="1">$AO52*IF(Auswahllisten!$G$150,BT$25+BT$25*BT$13*$AN52,BT$25*(1+BT$13)^$AN52)</f>
        <v>0</v>
      </c>
      <c r="BU52" s="69">
        <f ca="1">$AO52*IF(Auswahllisten!$G$150,BU$25+BU$25*BU$13*$AN52,BU$25*(1+BU$13)^$AN52)</f>
        <v>0</v>
      </c>
      <c r="BV52" s="69">
        <f ca="1">$AO52*IF(Auswahllisten!$G$150,BV$25+BV$25*BV$13*$AN52,BV$25*(1+BV$13)^$AN52)</f>
        <v>0</v>
      </c>
      <c r="BW52" s="69">
        <f t="shared" ca="1" si="39"/>
        <v>0</v>
      </c>
      <c r="BX52" s="69">
        <f t="shared" ca="1" si="40"/>
        <v>0</v>
      </c>
      <c r="BY52" s="69">
        <f t="shared" ca="1" si="24"/>
        <v>0</v>
      </c>
      <c r="BZ52" s="69">
        <f t="shared" ca="1" si="25"/>
        <v>0</v>
      </c>
    </row>
    <row r="53" spans="1:78">
      <c r="A53" s="305" t="s">
        <v>1215</v>
      </c>
      <c r="B53" s="126" t="s">
        <v>303</v>
      </c>
      <c r="C53" s="126" t="s">
        <v>965</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IF($C$5=0,0,INDEX(Faktoren!E39:GQ39,1,VLOOKUP($F$5,$L$2:$O$14,4,FALSE)+$C$9*5+VLOOKUP(D53,Auswahllisten!$E$25:$F$29,2,FALSE)))</f>
        <v>0</v>
      </c>
      <c r="G53" s="26">
        <f t="shared" ca="1" si="61"/>
        <v>0</v>
      </c>
      <c r="H53" s="26" cm="1">
        <f t="array" aca="1" ref="H53" ca="1">INDIRECT("Investition_gewählt!"&amp;$I$6&amp;AA53)</f>
        <v>3800</v>
      </c>
      <c r="I53" s="25" cm="1">
        <f t="array" aca="1" ref="I53" ca="1">IF($C$5=0,0,INDEX(Faktoren!E39:GQ39,1,VLOOKUP($F$6,$L$2:$O$14,4,FALSE)+$C$9*5+VLOOKUP(D53,Auswahllisten!$E$25:$F$29,2,FALSE)))</f>
        <v>0</v>
      </c>
      <c r="J53" s="26">
        <f t="shared" ca="1" si="62"/>
        <v>0</v>
      </c>
      <c r="K53" s="26">
        <f t="shared" ca="1" si="10"/>
        <v>0</v>
      </c>
      <c r="L53" s="16" t="b">
        <f t="shared" ca="1" si="60"/>
        <v>0</v>
      </c>
      <c r="M53" s="26">
        <f t="shared" ca="1" si="11"/>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IF($U$5=0,0,INDEX(Faktoren!E39:GQ39,1,VLOOKUP($X$5,$L$2:$O$14,4,FALSE)+$U$9*5+VLOOKUP(O53,Auswahllisten!$E$25:$F$29,2,FALSE)))</f>
        <v>0</v>
      </c>
      <c r="R53" s="26">
        <f t="shared" ca="1" si="12"/>
        <v>0</v>
      </c>
      <c r="S53" s="26" cm="1">
        <f t="array" aca="1" ref="S53" ca="1">INDIRECT("Investition_gewählt!"&amp;$AA$6&amp;AA53)</f>
        <v>3800</v>
      </c>
      <c r="T53" s="16" cm="1">
        <f t="array" aca="1" ref="T53" ca="1">IF($U$5=0,0,INDEX(Faktoren!E39:QG39,1,VLOOKUP($X$6,$L$3:$O$14,4,FALSE)+$U$9*5+VLOOKUP(O53,Auswahllisten!$E$25:$F$29,2,FALSE)))</f>
        <v>0</v>
      </c>
      <c r="U53" s="26">
        <f t="shared" ca="1" si="13"/>
        <v>0</v>
      </c>
      <c r="V53" s="26">
        <f t="shared" ca="1" si="14"/>
        <v>0</v>
      </c>
      <c r="W53" s="16" t="b">
        <f t="shared" ca="1" si="63"/>
        <v>0</v>
      </c>
      <c r="X53" s="26">
        <f t="shared" ca="1" si="16"/>
        <v>0</v>
      </c>
      <c r="Z53" s="1">
        <v>42</v>
      </c>
      <c r="AA53" s="1">
        <v>39</v>
      </c>
      <c r="AB53" s="1">
        <v>-2</v>
      </c>
      <c r="AN53" s="1">
        <v>28</v>
      </c>
      <c r="AO53" s="1">
        <f t="shared" si="19"/>
        <v>0</v>
      </c>
      <c r="AP53" s="69">
        <f t="shared" ca="1" si="59"/>
        <v>0</v>
      </c>
      <c r="AQ53" s="69">
        <f t="shared" ca="1" si="59"/>
        <v>0</v>
      </c>
      <c r="AR53" s="69">
        <f t="shared" si="59"/>
        <v>0</v>
      </c>
      <c r="AS53" s="69">
        <f t="shared" ca="1" si="59"/>
        <v>0</v>
      </c>
      <c r="AT53" s="69">
        <f t="shared" ca="1" si="59"/>
        <v>0</v>
      </c>
      <c r="AU53" s="69">
        <f t="shared" ca="1" si="59"/>
        <v>0</v>
      </c>
      <c r="AV53" s="69">
        <f t="shared" si="59"/>
        <v>0</v>
      </c>
      <c r="AW53" s="69">
        <f t="shared" ca="1" si="29"/>
        <v>0</v>
      </c>
      <c r="AX53" s="69">
        <f t="shared" ca="1" si="30"/>
        <v>0</v>
      </c>
      <c r="AY53" s="69">
        <f t="shared" ca="1" si="31"/>
        <v>0</v>
      </c>
      <c r="AZ53" s="69">
        <f ca="1">$AO53*IF(Auswahllisten!$G$150,AZ$25+AZ$25*AZ$13*$AN53,AZ$25*(1+AZ$13)^$AN53)</f>
        <v>0</v>
      </c>
      <c r="BA53" s="69">
        <f ca="1">$AO53*IF(Auswahllisten!$G$150,BA$25+BA$25*BA$13*$AN53,BA$25*(1+BA$13)^$AN53)</f>
        <v>0</v>
      </c>
      <c r="BB53" s="69">
        <f ca="1">$AO53*IF(Auswahllisten!$G$150,BB$25+BB$25*BB$13*$AN53,BB$25*(1+BB$13)^$AN53)</f>
        <v>0</v>
      </c>
      <c r="BC53" s="69">
        <f ca="1">$AO53*IF(Auswahllisten!$G$150,BC$25+BC$25*BC$13*$AN53,BC$25*(1+BC$13)^$AN53)</f>
        <v>0</v>
      </c>
      <c r="BD53" s="69">
        <f t="shared" ca="1" si="32"/>
        <v>0</v>
      </c>
      <c r="BE53" s="69">
        <f t="shared" ca="1" si="33"/>
        <v>0</v>
      </c>
      <c r="BF53" s="69">
        <f t="shared" ca="1" si="34"/>
        <v>0</v>
      </c>
      <c r="BG53" s="69">
        <f t="shared" ca="1" si="35"/>
        <v>0</v>
      </c>
      <c r="BI53" s="69">
        <f t="shared" ca="1" si="36"/>
        <v>0</v>
      </c>
      <c r="BJ53" s="69">
        <f t="shared" ca="1" si="37"/>
        <v>0</v>
      </c>
      <c r="BK53" s="69">
        <f t="shared" si="37"/>
        <v>0</v>
      </c>
      <c r="BL53" s="69">
        <f t="shared" ca="1" si="37"/>
        <v>0</v>
      </c>
      <c r="BM53" s="69">
        <f t="shared" ca="1" si="37"/>
        <v>0</v>
      </c>
      <c r="BN53" s="69">
        <f t="shared" ca="1" si="37"/>
        <v>0</v>
      </c>
      <c r="BO53" s="69">
        <f t="shared" si="37"/>
        <v>0</v>
      </c>
      <c r="BP53" s="69">
        <f t="shared" ca="1" si="22"/>
        <v>0</v>
      </c>
      <c r="BQ53" s="69">
        <f t="shared" ca="1" si="38"/>
        <v>0</v>
      </c>
      <c r="BR53" s="69">
        <f t="shared" ca="1" si="23"/>
        <v>0</v>
      </c>
      <c r="BS53" s="69">
        <f ca="1">$AO53*IF(Auswahllisten!$G$150,BS$25+BS$25*BS$13*$AN53,BS$25*(1+BS$13)^$AN53)</f>
        <v>0</v>
      </c>
      <c r="BT53" s="69">
        <f ca="1">$AO53*IF(Auswahllisten!$G$150,BT$25+BT$25*BT$13*$AN53,BT$25*(1+BT$13)^$AN53)</f>
        <v>0</v>
      </c>
      <c r="BU53" s="69">
        <f ca="1">$AO53*IF(Auswahllisten!$G$150,BU$25+BU$25*BU$13*$AN53,BU$25*(1+BU$13)^$AN53)</f>
        <v>0</v>
      </c>
      <c r="BV53" s="69">
        <f ca="1">$AO53*IF(Auswahllisten!$G$150,BV$25+BV$25*BV$13*$AN53,BV$25*(1+BV$13)^$AN53)</f>
        <v>0</v>
      </c>
      <c r="BW53" s="69">
        <f t="shared" ca="1" si="39"/>
        <v>0</v>
      </c>
      <c r="BX53" s="69">
        <f t="shared" ca="1" si="40"/>
        <v>0</v>
      </c>
      <c r="BY53" s="69">
        <f t="shared" ca="1" si="24"/>
        <v>0</v>
      </c>
      <c r="BZ53" s="69">
        <f t="shared" ca="1" si="25"/>
        <v>0</v>
      </c>
    </row>
    <row r="54" spans="1:78">
      <c r="A54" s="305" t="s">
        <v>1218</v>
      </c>
      <c r="B54" s="126" t="s">
        <v>1243</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IF($C$5=0,0,INDEX(Faktoren!E40:GQ40,1,VLOOKUP($F$5,$L$2:$O$14,4,FALSE)+$C$9*5+VLOOKUP(D54,Auswahllisten!$E$25:$F$29,2,FALSE)))</f>
        <v>0</v>
      </c>
      <c r="G54" s="26">
        <f t="shared" ca="1" si="61"/>
        <v>0</v>
      </c>
      <c r="H54" s="26" cm="1">
        <f t="array" aca="1" ref="H54" ca="1">INDIRECT("Investition_gewählt!"&amp;$I$6&amp;AA54)</f>
        <v>1500</v>
      </c>
      <c r="I54" s="25" cm="1">
        <f t="array" aca="1" ref="I54" ca="1">IF($C$5=0,0,INDEX(Faktoren!E40:GQ40,1,VLOOKUP($F$6,$L$2:$O$14,4,FALSE)+$C$9*5+VLOOKUP(D54,Auswahllisten!$E$25:$F$29,2,FALSE)))</f>
        <v>0</v>
      </c>
      <c r="J54" s="26">
        <f t="shared" ca="1" si="62"/>
        <v>0</v>
      </c>
      <c r="K54" s="26">
        <f t="shared" ca="1" si="10"/>
        <v>0</v>
      </c>
      <c r="L54" s="16" t="b">
        <f t="shared" ca="1" si="60"/>
        <v>0</v>
      </c>
      <c r="M54" s="26">
        <f t="shared" ca="1" si="11"/>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IF($U$5=0,0,INDEX(Faktoren!E40:GQ40,1,VLOOKUP($X$5,$L$2:$O$14,4,FALSE)+$U$9*5+VLOOKUP(O54,Auswahllisten!$E$25:$F$29,2,FALSE)))</f>
        <v>0</v>
      </c>
      <c r="R54" s="26">
        <f t="shared" ca="1" si="12"/>
        <v>0</v>
      </c>
      <c r="S54" s="26" cm="1">
        <f t="array" aca="1" ref="S54" ca="1">INDIRECT("Investition_gewählt!"&amp;$AA$6&amp;AA54)</f>
        <v>1500</v>
      </c>
      <c r="T54" s="16" cm="1">
        <f t="array" aca="1" ref="T54" ca="1">IF($U$5=0,0,INDEX(Faktoren!E40:QG40,1,VLOOKUP($X$6,$L$3:$O$14,4,FALSE)+$U$9*5+VLOOKUP(O54,Auswahllisten!$E$25:$F$29,2,FALSE)))</f>
        <v>0</v>
      </c>
      <c r="U54" s="26">
        <f t="shared" ca="1" si="13"/>
        <v>0</v>
      </c>
      <c r="V54" s="26">
        <f t="shared" ca="1" si="14"/>
        <v>0</v>
      </c>
      <c r="W54" s="16" t="b">
        <f t="shared" ca="1" si="63"/>
        <v>0</v>
      </c>
      <c r="X54" s="26">
        <f t="shared" ca="1" si="16"/>
        <v>0</v>
      </c>
      <c r="Z54" s="1">
        <v>41</v>
      </c>
      <c r="AA54" s="1">
        <v>40</v>
      </c>
      <c r="AB54" s="1">
        <v>-2</v>
      </c>
      <c r="AN54" s="1">
        <v>29</v>
      </c>
      <c r="AO54" s="1">
        <f t="shared" si="19"/>
        <v>0</v>
      </c>
      <c r="AP54" s="69">
        <f t="shared" ca="1" si="59"/>
        <v>0</v>
      </c>
      <c r="AQ54" s="69">
        <f t="shared" ca="1" si="59"/>
        <v>0</v>
      </c>
      <c r="AR54" s="69">
        <f t="shared" si="59"/>
        <v>0</v>
      </c>
      <c r="AS54" s="69">
        <f t="shared" ca="1" si="59"/>
        <v>0</v>
      </c>
      <c r="AT54" s="69">
        <f t="shared" ca="1" si="59"/>
        <v>0</v>
      </c>
      <c r="AU54" s="69">
        <f t="shared" ca="1" si="59"/>
        <v>0</v>
      </c>
      <c r="AV54" s="69">
        <f t="shared" si="59"/>
        <v>0</v>
      </c>
      <c r="AW54" s="69">
        <f t="shared" ca="1" si="29"/>
        <v>0</v>
      </c>
      <c r="AX54" s="69">
        <f t="shared" ca="1" si="30"/>
        <v>0</v>
      </c>
      <c r="AY54" s="69">
        <f t="shared" ca="1" si="31"/>
        <v>0</v>
      </c>
      <c r="AZ54" s="69">
        <f ca="1">$AO54*IF(Auswahllisten!$G$150,AZ$25+AZ$25*AZ$13*$AN54,AZ$25*(1+AZ$13)^$AN54)</f>
        <v>0</v>
      </c>
      <c r="BA54" s="69">
        <f ca="1">$AO54*IF(Auswahllisten!$G$150,BA$25+BA$25*BA$13*$AN54,BA$25*(1+BA$13)^$AN54)</f>
        <v>0</v>
      </c>
      <c r="BB54" s="69">
        <f ca="1">$AO54*IF(Auswahllisten!$G$150,BB$25+BB$25*BB$13*$AN54,BB$25*(1+BB$13)^$AN54)</f>
        <v>0</v>
      </c>
      <c r="BC54" s="69">
        <f ca="1">$AO54*IF(Auswahllisten!$G$150,BC$25+BC$25*BC$13*$AN54,BC$25*(1+BC$13)^$AN54)</f>
        <v>0</v>
      </c>
      <c r="BD54" s="69">
        <f t="shared" ca="1" si="32"/>
        <v>0</v>
      </c>
      <c r="BE54" s="69">
        <f t="shared" ca="1" si="33"/>
        <v>0</v>
      </c>
      <c r="BF54" s="69">
        <f t="shared" ca="1" si="34"/>
        <v>0</v>
      </c>
      <c r="BG54" s="69">
        <f t="shared" ca="1" si="35"/>
        <v>0</v>
      </c>
      <c r="BI54" s="69">
        <f t="shared" ca="1" si="36"/>
        <v>0</v>
      </c>
      <c r="BJ54" s="69">
        <f t="shared" ca="1" si="37"/>
        <v>0</v>
      </c>
      <c r="BK54" s="69">
        <f t="shared" si="37"/>
        <v>0</v>
      </c>
      <c r="BL54" s="69">
        <f t="shared" ca="1" si="37"/>
        <v>0</v>
      </c>
      <c r="BM54" s="69">
        <f t="shared" ca="1" si="37"/>
        <v>0</v>
      </c>
      <c r="BN54" s="69">
        <f t="shared" ca="1" si="37"/>
        <v>0</v>
      </c>
      <c r="BO54" s="69">
        <f t="shared" si="37"/>
        <v>0</v>
      </c>
      <c r="BP54" s="69">
        <f t="shared" ca="1" si="22"/>
        <v>0</v>
      </c>
      <c r="BQ54" s="69">
        <f t="shared" ca="1" si="38"/>
        <v>0</v>
      </c>
      <c r="BR54" s="69">
        <f t="shared" ca="1" si="23"/>
        <v>0</v>
      </c>
      <c r="BS54" s="69">
        <f ca="1">$AO54*IF(Auswahllisten!$G$150,BS$25+BS$25*BS$13*$AN54,BS$25*(1+BS$13)^$AN54)</f>
        <v>0</v>
      </c>
      <c r="BT54" s="69">
        <f ca="1">$AO54*IF(Auswahllisten!$G$150,BT$25+BT$25*BT$13*$AN54,BT$25*(1+BT$13)^$AN54)</f>
        <v>0</v>
      </c>
      <c r="BU54" s="69">
        <f ca="1">$AO54*IF(Auswahllisten!$G$150,BU$25+BU$25*BU$13*$AN54,BU$25*(1+BU$13)^$AN54)</f>
        <v>0</v>
      </c>
      <c r="BV54" s="69">
        <f ca="1">$AO54*IF(Auswahllisten!$G$150,BV$25+BV$25*BV$13*$AN54,BV$25*(1+BV$13)^$AN54)</f>
        <v>0</v>
      </c>
      <c r="BW54" s="69">
        <f t="shared" ca="1" si="39"/>
        <v>0</v>
      </c>
      <c r="BX54" s="69">
        <f t="shared" ca="1" si="40"/>
        <v>0</v>
      </c>
      <c r="BY54" s="69">
        <f t="shared" ca="1" si="24"/>
        <v>0</v>
      </c>
      <c r="BZ54" s="69">
        <f t="shared" ca="1" si="25"/>
        <v>0</v>
      </c>
    </row>
    <row r="55" spans="1:78">
      <c r="A55" s="305" t="s">
        <v>1215</v>
      </c>
      <c r="B55" s="126" t="s">
        <v>303</v>
      </c>
      <c r="C55" s="126" t="s">
        <v>966</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IF($C$5=0,0,INDEX(Faktoren!E41:GQ41,1,VLOOKUP($F$5,$L$2:$O$14,4,FALSE)+$C$9*5+VLOOKUP(D55,Auswahllisten!$E$25:$F$29,2,FALSE)))</f>
        <v>0</v>
      </c>
      <c r="G55" s="26">
        <f t="shared" ca="1" si="61"/>
        <v>0</v>
      </c>
      <c r="H55" s="26" cm="1">
        <f t="array" aca="1" ref="H55" ca="1">INDIRECT("Investition_gewählt!"&amp;$I$6&amp;AA55)</f>
        <v>6000</v>
      </c>
      <c r="I55" s="25" cm="1">
        <f t="array" aca="1" ref="I55" ca="1">IF($C$5=0,0,INDEX(Faktoren!E41:GQ41,1,VLOOKUP($F$6,$L$2:$O$14,4,FALSE)+$C$9*5+VLOOKUP(D55,Auswahllisten!$E$25:$F$29,2,FALSE)))</f>
        <v>0</v>
      </c>
      <c r="J55" s="26">
        <f t="shared" ca="1" si="62"/>
        <v>0</v>
      </c>
      <c r="K55" s="26">
        <f t="shared" ca="1" si="10"/>
        <v>0</v>
      </c>
      <c r="L55" s="16" t="b">
        <f t="shared" ca="1" si="60"/>
        <v>0</v>
      </c>
      <c r="M55" s="26">
        <f t="shared" ca="1" si="11"/>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IF($U$5=0,0,INDEX(Faktoren!E41:GQ41,1,VLOOKUP($X$5,$L$2:$O$14,4,FALSE)+$U$9*5+VLOOKUP(O55,Auswahllisten!$E$25:$F$29,2,FALSE)))</f>
        <v>0</v>
      </c>
      <c r="R55" s="26">
        <f t="shared" ca="1" si="12"/>
        <v>0</v>
      </c>
      <c r="S55" s="26" cm="1">
        <f t="array" aca="1" ref="S55" ca="1">INDIRECT("Investition_gewählt!"&amp;$AA$6&amp;AA55)</f>
        <v>6000</v>
      </c>
      <c r="T55" s="16" cm="1">
        <f t="array" aca="1" ref="T55" ca="1">IF($U$5=0,0,INDEX(Faktoren!E41:QG41,1,VLOOKUP($X$6,$L$3:$O$14,4,FALSE)+$U$9*5+VLOOKUP(O55,Auswahllisten!$E$25:$F$29,2,FALSE)))</f>
        <v>0</v>
      </c>
      <c r="U55" s="26">
        <f t="shared" ca="1" si="13"/>
        <v>0</v>
      </c>
      <c r="V55" s="26">
        <f t="shared" ca="1" si="14"/>
        <v>0</v>
      </c>
      <c r="W55" s="16" t="b">
        <f t="shared" ca="1" si="63"/>
        <v>0</v>
      </c>
      <c r="X55" s="26">
        <f t="shared" ca="1" si="16"/>
        <v>0</v>
      </c>
      <c r="Z55" s="1">
        <v>47</v>
      </c>
      <c r="AA55" s="1">
        <v>41</v>
      </c>
      <c r="AB55" s="1">
        <v>-2</v>
      </c>
      <c r="AN55" s="1">
        <v>30</v>
      </c>
      <c r="AO55" s="1">
        <f t="shared" si="19"/>
        <v>0</v>
      </c>
      <c r="AP55" s="69">
        <f t="shared" ca="1" si="59"/>
        <v>0</v>
      </c>
      <c r="AQ55" s="69">
        <f t="shared" ca="1" si="59"/>
        <v>0</v>
      </c>
      <c r="AR55" s="69">
        <f t="shared" si="59"/>
        <v>0</v>
      </c>
      <c r="AS55" s="69">
        <f t="shared" ca="1" si="59"/>
        <v>0</v>
      </c>
      <c r="AT55" s="69">
        <f t="shared" ca="1" si="59"/>
        <v>0</v>
      </c>
      <c r="AU55" s="69">
        <f t="shared" ca="1" si="59"/>
        <v>0</v>
      </c>
      <c r="AV55" s="69">
        <f t="shared" si="59"/>
        <v>0</v>
      </c>
      <c r="AW55" s="69">
        <f t="shared" ca="1" si="29"/>
        <v>0</v>
      </c>
      <c r="AX55" s="69">
        <f t="shared" ca="1" si="30"/>
        <v>0</v>
      </c>
      <c r="AY55" s="69">
        <f t="shared" ca="1" si="31"/>
        <v>0</v>
      </c>
      <c r="AZ55" s="69">
        <f ca="1">$AO55*IF(Auswahllisten!$G$150,AZ$25+AZ$25*AZ$13*$AN55,AZ$25*(1+AZ$13)^$AN55)</f>
        <v>0</v>
      </c>
      <c r="BA55" s="69">
        <f ca="1">$AO55*IF(Auswahllisten!$G$150,BA$25+BA$25*BA$13*$AN55,BA$25*(1+BA$13)^$AN55)</f>
        <v>0</v>
      </c>
      <c r="BB55" s="69">
        <f ca="1">$AO55*IF(Auswahllisten!$G$150,BB$25+BB$25*BB$13*$AN55,BB$25*(1+BB$13)^$AN55)</f>
        <v>0</v>
      </c>
      <c r="BC55" s="69">
        <f ca="1">$AO55*IF(Auswahllisten!$G$150,BC$25+BC$25*BC$13*$AN55,BC$25*(1+BC$13)^$AN55)</f>
        <v>0</v>
      </c>
      <c r="BD55" s="69">
        <f t="shared" ca="1" si="32"/>
        <v>0</v>
      </c>
      <c r="BE55" s="69">
        <f t="shared" ca="1" si="33"/>
        <v>0</v>
      </c>
      <c r="BF55" s="69">
        <f t="shared" ca="1" si="34"/>
        <v>0</v>
      </c>
      <c r="BG55" s="69">
        <f t="shared" ca="1" si="35"/>
        <v>0</v>
      </c>
      <c r="BI55" s="69">
        <f t="shared" ca="1" si="36"/>
        <v>0</v>
      </c>
      <c r="BJ55" s="69">
        <f t="shared" ca="1" si="37"/>
        <v>0</v>
      </c>
      <c r="BK55" s="69">
        <f t="shared" si="37"/>
        <v>0</v>
      </c>
      <c r="BL55" s="69">
        <f t="shared" ca="1" si="37"/>
        <v>0</v>
      </c>
      <c r="BM55" s="69">
        <f t="shared" ref="BM55:BO86" ca="1" si="64">IFERROR($AO55*IF(MOD($AN55,BM$20)=0,BM$25,0)*(1+$AS$10)^$AN55*IF($AS$3=$AN55,0,1),0)</f>
        <v>0</v>
      </c>
      <c r="BN55" s="69">
        <f t="shared" ca="1" si="64"/>
        <v>0</v>
      </c>
      <c r="BO55" s="69">
        <f t="shared" si="64"/>
        <v>0</v>
      </c>
      <c r="BP55" s="69">
        <f t="shared" ca="1" si="22"/>
        <v>0</v>
      </c>
      <c r="BQ55" s="69">
        <f t="shared" ca="1" si="38"/>
        <v>0</v>
      </c>
      <c r="BR55" s="69">
        <f t="shared" ca="1" si="23"/>
        <v>0</v>
      </c>
      <c r="BS55" s="69">
        <f ca="1">$AO55*IF(Auswahllisten!$G$150,BS$25+BS$25*BS$13*$AN55,BS$25*(1+BS$13)^$AN55)</f>
        <v>0</v>
      </c>
      <c r="BT55" s="69">
        <f ca="1">$AO55*IF(Auswahllisten!$G$150,BT$25+BT$25*BT$13*$AN55,BT$25*(1+BT$13)^$AN55)</f>
        <v>0</v>
      </c>
      <c r="BU55" s="69">
        <f ca="1">$AO55*IF(Auswahllisten!$G$150,BU$25+BU$25*BU$13*$AN55,BU$25*(1+BU$13)^$AN55)</f>
        <v>0</v>
      </c>
      <c r="BV55" s="69">
        <f ca="1">$AO55*IF(Auswahllisten!$G$150,BV$25+BV$25*BV$13*$AN55,BV$25*(1+BV$13)^$AN55)</f>
        <v>0</v>
      </c>
      <c r="BW55" s="69">
        <f t="shared" ca="1" si="39"/>
        <v>0</v>
      </c>
      <c r="BX55" s="69">
        <f t="shared" ca="1" si="40"/>
        <v>0</v>
      </c>
      <c r="BY55" s="69">
        <f t="shared" ca="1" si="24"/>
        <v>0</v>
      </c>
      <c r="BZ55" s="69">
        <f t="shared" ca="1" si="25"/>
        <v>0</v>
      </c>
    </row>
    <row r="56" spans="1:78">
      <c r="A56" s="305" t="s">
        <v>1244</v>
      </c>
      <c r="B56" s="126" t="s">
        <v>1245</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IF($C$5=0,0,INDEX(Faktoren!E42:GQ42,1,VLOOKUP($F$5,$L$2:$O$14,4,FALSE)+$C$9*5+VLOOKUP(D56,Auswahllisten!$E$25:$F$29,2,FALSE)))</f>
        <v>0</v>
      </c>
      <c r="G56" s="26">
        <f t="shared" ca="1" si="61"/>
        <v>0</v>
      </c>
      <c r="H56" s="26" cm="1">
        <f t="array" aca="1" ref="H56" ca="1">INDIRECT("Investition_gewählt!"&amp;$I$6&amp;AA56)</f>
        <v>0</v>
      </c>
      <c r="I56" s="25" cm="1">
        <f t="array" aca="1" ref="I56" ca="1">IF($C$5=0,0,INDEX(Faktoren!E42:GQ42,1,VLOOKUP($F$6,$L$2:$O$14,4,FALSE)+$C$9*5+VLOOKUP(D56,Auswahllisten!$E$25:$F$29,2,FALSE)))</f>
        <v>0</v>
      </c>
      <c r="J56" s="26">
        <f t="shared" ca="1" si="62"/>
        <v>0</v>
      </c>
      <c r="K56" s="26">
        <f t="shared" ca="1" si="10"/>
        <v>0</v>
      </c>
      <c r="L56" s="16" t="b">
        <f t="shared" ca="1" si="60"/>
        <v>0</v>
      </c>
      <c r="M56" s="26">
        <f t="shared" ca="1" si="11"/>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IF($U$5=0,0,INDEX(Faktoren!E42:GQ42,1,VLOOKUP($X$5,$L$2:$O$14,4,FALSE)+$U$9*5+VLOOKUP(O56,Auswahllisten!$E$25:$F$29,2,FALSE)))</f>
        <v>0</v>
      </c>
      <c r="R56" s="26">
        <f t="shared" ca="1" si="12"/>
        <v>0</v>
      </c>
      <c r="S56" s="26" cm="1">
        <f t="array" aca="1" ref="S56" ca="1">INDIRECT("Investition_gewählt!"&amp;$AA$6&amp;AA56)</f>
        <v>0</v>
      </c>
      <c r="T56" s="16" cm="1">
        <f t="array" aca="1" ref="T56" ca="1">IF($U$5=0,0,INDEX(Faktoren!E42:QG42,1,VLOOKUP($X$6,$L$3:$O$14,4,FALSE)+$U$9*5+VLOOKUP(O56,Auswahllisten!$E$25:$F$29,2,FALSE)))</f>
        <v>0</v>
      </c>
      <c r="U56" s="26">
        <f t="shared" ca="1" si="13"/>
        <v>0</v>
      </c>
      <c r="V56" s="26">
        <f t="shared" ca="1" si="14"/>
        <v>0</v>
      </c>
      <c r="W56" s="16" t="b">
        <f t="shared" ca="1" si="63"/>
        <v>0</v>
      </c>
      <c r="X56" s="26">
        <f t="shared" ca="1" si="16"/>
        <v>0</v>
      </c>
      <c r="Z56" s="1">
        <v>51</v>
      </c>
      <c r="AA56" s="1">
        <v>42</v>
      </c>
      <c r="AB56" s="1">
        <v>-2</v>
      </c>
      <c r="AN56" s="1">
        <v>31</v>
      </c>
      <c r="AO56" s="1">
        <f t="shared" si="19"/>
        <v>0</v>
      </c>
      <c r="AP56" s="69">
        <f t="shared" ref="AP56:AV65" ca="1" si="65">IFERROR($AO56*IF(MOD($AN56,AP$20)=0,AP$25,0)*(1+$AS$10)^$AN56*IF($AS$3=$AN56,0,1),0)</f>
        <v>0</v>
      </c>
      <c r="AQ56" s="69">
        <f t="shared" ca="1" si="65"/>
        <v>0</v>
      </c>
      <c r="AR56" s="69">
        <f t="shared" si="65"/>
        <v>0</v>
      </c>
      <c r="AS56" s="69">
        <f t="shared" ca="1" si="65"/>
        <v>0</v>
      </c>
      <c r="AT56" s="69">
        <f t="shared" ca="1" si="65"/>
        <v>0</v>
      </c>
      <c r="AU56" s="69">
        <f t="shared" ca="1" si="65"/>
        <v>0</v>
      </c>
      <c r="AV56" s="69">
        <f t="shared" si="65"/>
        <v>0</v>
      </c>
      <c r="AW56" s="69">
        <f t="shared" ca="1" si="29"/>
        <v>0</v>
      </c>
      <c r="AX56" s="69">
        <f t="shared" ca="1" si="30"/>
        <v>0</v>
      </c>
      <c r="AY56" s="69">
        <f t="shared" ca="1" si="31"/>
        <v>0</v>
      </c>
      <c r="AZ56" s="69">
        <f ca="1">$AO56*IF(Auswahllisten!$G$150,AZ$25+AZ$25*AZ$13*$AN56,AZ$25*(1+AZ$13)^$AN56)</f>
        <v>0</v>
      </c>
      <c r="BA56" s="69">
        <f ca="1">$AO56*IF(Auswahllisten!$G$150,BA$25+BA$25*BA$13*$AN56,BA$25*(1+BA$13)^$AN56)</f>
        <v>0</v>
      </c>
      <c r="BB56" s="69">
        <f ca="1">$AO56*IF(Auswahllisten!$G$150,BB$25+BB$25*BB$13*$AN56,BB$25*(1+BB$13)^$AN56)</f>
        <v>0</v>
      </c>
      <c r="BC56" s="69">
        <f ca="1">$AO56*IF(Auswahllisten!$G$150,BC$25+BC$25*BC$13*$AN56,BC$25*(1+BC$13)^$AN56)</f>
        <v>0</v>
      </c>
      <c r="BD56" s="69">
        <f t="shared" ca="1" si="32"/>
        <v>0</v>
      </c>
      <c r="BE56" s="69">
        <f t="shared" ca="1" si="33"/>
        <v>0</v>
      </c>
      <c r="BF56" s="69">
        <f t="shared" ca="1" si="34"/>
        <v>0</v>
      </c>
      <c r="BG56" s="69">
        <f t="shared" ca="1" si="35"/>
        <v>0</v>
      </c>
      <c r="BI56" s="69">
        <f t="shared" ca="1" si="36"/>
        <v>0</v>
      </c>
      <c r="BJ56" s="69">
        <f t="shared" ref="BJ56:BO87" ca="1" si="66">IFERROR($AO56*IF(MOD($AN56,BJ$20)=0,BJ$25,0)*(1+$AS$10)^$AN56*IF($AS$3=$AN56,0,1),0)</f>
        <v>0</v>
      </c>
      <c r="BK56" s="69">
        <f t="shared" si="66"/>
        <v>0</v>
      </c>
      <c r="BL56" s="69">
        <f t="shared" ca="1" si="66"/>
        <v>0</v>
      </c>
      <c r="BM56" s="69">
        <f t="shared" ca="1" si="64"/>
        <v>0</v>
      </c>
      <c r="BN56" s="69">
        <f t="shared" ca="1" si="64"/>
        <v>0</v>
      </c>
      <c r="BO56" s="69">
        <f t="shared" si="64"/>
        <v>0</v>
      </c>
      <c r="BP56" s="69">
        <f t="shared" ca="1" si="22"/>
        <v>0</v>
      </c>
      <c r="BQ56" s="69">
        <f t="shared" ca="1" si="38"/>
        <v>0</v>
      </c>
      <c r="BR56" s="69">
        <f t="shared" ca="1" si="23"/>
        <v>0</v>
      </c>
      <c r="BS56" s="69">
        <f ca="1">$AO56*IF(Auswahllisten!$G$150,BS$25+BS$25*BS$13*$AN56,BS$25*(1+BS$13)^$AN56)</f>
        <v>0</v>
      </c>
      <c r="BT56" s="69">
        <f ca="1">$AO56*IF(Auswahllisten!$G$150,BT$25+BT$25*BT$13*$AN56,BT$25*(1+BT$13)^$AN56)</f>
        <v>0</v>
      </c>
      <c r="BU56" s="69">
        <f ca="1">$AO56*IF(Auswahllisten!$G$150,BU$25+BU$25*BU$13*$AN56,BU$25*(1+BU$13)^$AN56)</f>
        <v>0</v>
      </c>
      <c r="BV56" s="69">
        <f ca="1">$AO56*IF(Auswahllisten!$G$150,BV$25+BV$25*BV$13*$AN56,BV$25*(1+BV$13)^$AN56)</f>
        <v>0</v>
      </c>
      <c r="BW56" s="69">
        <f t="shared" ca="1" si="39"/>
        <v>0</v>
      </c>
      <c r="BX56" s="69">
        <f t="shared" ca="1" si="40"/>
        <v>0</v>
      </c>
      <c r="BY56" s="69">
        <f t="shared" ca="1" si="24"/>
        <v>0</v>
      </c>
      <c r="BZ56" s="69">
        <f t="shared" ca="1" si="25"/>
        <v>0</v>
      </c>
    </row>
    <row r="57" spans="1:78">
      <c r="A57" s="305" t="s">
        <v>1244</v>
      </c>
      <c r="B57" s="126" t="s">
        <v>1245</v>
      </c>
      <c r="C57" s="126" t="s">
        <v>967</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IF($C$5=0,0,INDEX(Faktoren!E43:GQ43,1,VLOOKUP($F$5,$L$2:$O$14,4,FALSE)+$C$9*5+VLOOKUP(D57,Auswahllisten!$E$25:$F$29,2,FALSE)))</f>
        <v>0</v>
      </c>
      <c r="G57" s="26">
        <f t="shared" ca="1" si="61"/>
        <v>0</v>
      </c>
      <c r="H57" s="26" cm="1">
        <f t="array" aca="1" ref="H57" ca="1">INDIRECT("Investition_gewählt!"&amp;$I$6&amp;AA57)</f>
        <v>0</v>
      </c>
      <c r="I57" s="25" cm="1">
        <f t="array" aca="1" ref="I57" ca="1">IF($C$5=0,0,INDEX(Faktoren!E43:GQ43,1,VLOOKUP($F$6,$L$2:$O$14,4,FALSE)+$C$9*5+VLOOKUP(D57,Auswahllisten!$E$25:$F$29,2,FALSE)))</f>
        <v>0</v>
      </c>
      <c r="J57" s="26">
        <f t="shared" ca="1" si="62"/>
        <v>0</v>
      </c>
      <c r="K57" s="26">
        <f t="shared" ca="1" si="10"/>
        <v>0</v>
      </c>
      <c r="L57" s="16" t="b">
        <f t="shared" ca="1" si="60"/>
        <v>0</v>
      </c>
      <c r="M57" s="26">
        <f t="shared" ca="1" si="11"/>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IF($U$5=0,0,INDEX(Faktoren!E43:GQ43,1,VLOOKUP($X$5,$L$2:$O$14,4,FALSE)+$U$9*5+VLOOKUP(O57,Auswahllisten!$E$25:$F$29,2,FALSE)))</f>
        <v>0</v>
      </c>
      <c r="R57" s="26">
        <f t="shared" ca="1" si="12"/>
        <v>0</v>
      </c>
      <c r="S57" s="26" cm="1">
        <f t="array" aca="1" ref="S57" ca="1">INDIRECT("Investition_gewählt!"&amp;$AA$6&amp;AA57)</f>
        <v>0</v>
      </c>
      <c r="T57" s="16" cm="1">
        <f t="array" aca="1" ref="T57" ca="1">IF($U$5=0,0,INDEX(Faktoren!E43:QG43,1,VLOOKUP($X$6,$L$3:$O$14,4,FALSE)+$U$9*5+VLOOKUP(O57,Auswahllisten!$E$25:$F$29,2,FALSE)))</f>
        <v>0</v>
      </c>
      <c r="U57" s="26">
        <f t="shared" ca="1" si="13"/>
        <v>0</v>
      </c>
      <c r="V57" s="26">
        <f t="shared" ca="1" si="14"/>
        <v>0</v>
      </c>
      <c r="W57" s="16" t="b">
        <f t="shared" ca="1" si="63"/>
        <v>0</v>
      </c>
      <c r="X57" s="26">
        <f t="shared" ca="1" si="16"/>
        <v>0</v>
      </c>
      <c r="Z57" s="1">
        <v>49</v>
      </c>
      <c r="AA57" s="1">
        <v>43</v>
      </c>
      <c r="AB57" s="1">
        <v>-2</v>
      </c>
      <c r="AN57" s="1">
        <v>32</v>
      </c>
      <c r="AO57" s="1">
        <f t="shared" si="19"/>
        <v>0</v>
      </c>
      <c r="AP57" s="69">
        <f t="shared" ca="1" si="65"/>
        <v>0</v>
      </c>
      <c r="AQ57" s="69">
        <f t="shared" ca="1" si="65"/>
        <v>0</v>
      </c>
      <c r="AR57" s="69">
        <f t="shared" si="65"/>
        <v>0</v>
      </c>
      <c r="AS57" s="69">
        <f t="shared" ca="1" si="65"/>
        <v>0</v>
      </c>
      <c r="AT57" s="69">
        <f t="shared" ca="1" si="65"/>
        <v>0</v>
      </c>
      <c r="AU57" s="69">
        <f t="shared" ca="1" si="65"/>
        <v>0</v>
      </c>
      <c r="AV57" s="69">
        <f t="shared" si="65"/>
        <v>0</v>
      </c>
      <c r="AW57" s="69">
        <f t="shared" ca="1" si="29"/>
        <v>0</v>
      </c>
      <c r="AX57" s="69">
        <f t="shared" ca="1" si="30"/>
        <v>0</v>
      </c>
      <c r="AY57" s="69">
        <f t="shared" ca="1" si="31"/>
        <v>0</v>
      </c>
      <c r="AZ57" s="69">
        <f ca="1">$AO57*IF(Auswahllisten!$G$150,AZ$25+AZ$25*AZ$13*$AN57,AZ$25*(1+AZ$13)^$AN57)</f>
        <v>0</v>
      </c>
      <c r="BA57" s="69">
        <f ca="1">$AO57*IF(Auswahllisten!$G$150,BA$25+BA$25*BA$13*$AN57,BA$25*(1+BA$13)^$AN57)</f>
        <v>0</v>
      </c>
      <c r="BB57" s="69">
        <f ca="1">$AO57*IF(Auswahllisten!$G$150,BB$25+BB$25*BB$13*$AN57,BB$25*(1+BB$13)^$AN57)</f>
        <v>0</v>
      </c>
      <c r="BC57" s="69">
        <f ca="1">$AO57*IF(Auswahllisten!$G$150,BC$25+BC$25*BC$13*$AN57,BC$25*(1+BC$13)^$AN57)</f>
        <v>0</v>
      </c>
      <c r="BD57" s="69">
        <f t="shared" ca="1" si="32"/>
        <v>0</v>
      </c>
      <c r="BE57" s="69">
        <f t="shared" ca="1" si="33"/>
        <v>0</v>
      </c>
      <c r="BF57" s="69">
        <f t="shared" ca="1" si="34"/>
        <v>0</v>
      </c>
      <c r="BG57" s="69">
        <f t="shared" ca="1" si="35"/>
        <v>0</v>
      </c>
      <c r="BI57" s="69">
        <f t="shared" ca="1" si="36"/>
        <v>0</v>
      </c>
      <c r="BJ57" s="69">
        <f t="shared" ca="1" si="66"/>
        <v>0</v>
      </c>
      <c r="BK57" s="69">
        <f t="shared" si="66"/>
        <v>0</v>
      </c>
      <c r="BL57" s="69">
        <f t="shared" ca="1" si="66"/>
        <v>0</v>
      </c>
      <c r="BM57" s="69">
        <f t="shared" ca="1" si="64"/>
        <v>0</v>
      </c>
      <c r="BN57" s="69">
        <f t="shared" ca="1" si="64"/>
        <v>0</v>
      </c>
      <c r="BO57" s="69">
        <f t="shared" si="64"/>
        <v>0</v>
      </c>
      <c r="BP57" s="69">
        <f t="shared" ca="1" si="22"/>
        <v>0</v>
      </c>
      <c r="BQ57" s="69">
        <f t="shared" ca="1" si="38"/>
        <v>0</v>
      </c>
      <c r="BR57" s="69">
        <f t="shared" ca="1" si="23"/>
        <v>0</v>
      </c>
      <c r="BS57" s="69">
        <f ca="1">$AO57*IF(Auswahllisten!$G$150,BS$25+BS$25*BS$13*$AN57,BS$25*(1+BS$13)^$AN57)</f>
        <v>0</v>
      </c>
      <c r="BT57" s="69">
        <f ca="1">$AO57*IF(Auswahllisten!$G$150,BT$25+BT$25*BT$13*$AN57,BT$25*(1+BT$13)^$AN57)</f>
        <v>0</v>
      </c>
      <c r="BU57" s="69">
        <f ca="1">$AO57*IF(Auswahllisten!$G$150,BU$25+BU$25*BU$13*$AN57,BU$25*(1+BU$13)^$AN57)</f>
        <v>0</v>
      </c>
      <c r="BV57" s="69">
        <f ca="1">$AO57*IF(Auswahllisten!$G$150,BV$25+BV$25*BV$13*$AN57,BV$25*(1+BV$13)^$AN57)</f>
        <v>0</v>
      </c>
      <c r="BW57" s="69">
        <f t="shared" ca="1" si="39"/>
        <v>0</v>
      </c>
      <c r="BX57" s="69">
        <f t="shared" ca="1" si="40"/>
        <v>0</v>
      </c>
      <c r="BY57" s="69">
        <f t="shared" ca="1" si="24"/>
        <v>0</v>
      </c>
      <c r="BZ57" s="69">
        <f t="shared" ca="1" si="25"/>
        <v>0</v>
      </c>
    </row>
    <row r="58" spans="1:78">
      <c r="A58" s="307" t="s">
        <v>1244</v>
      </c>
      <c r="B58" s="297" t="s">
        <v>1245</v>
      </c>
      <c r="C58" s="134" t="s">
        <v>359</v>
      </c>
      <c r="D58" s="163" t="str" cm="1">
        <f t="array" aca="1" ref="D58" ca="1">INDIRECT("Vergleich!"&amp;$G$2&amp;Z58)</f>
        <v>mittel</v>
      </c>
      <c r="E58" s="163" cm="1">
        <f t="array" aca="1" ref="E58" ca="1">INDIRECT("Investition_gewählt!"&amp;$I$5&amp;AA58)</f>
        <v>4500</v>
      </c>
      <c r="F58" s="61" cm="1">
        <f t="array" aca="1" ref="F58" ca="1">IF($C$5=0,0,INDEX(Faktoren!E44:GQ44,1,VLOOKUP($F$5,$L$2:$O$14,4,FALSE)+$C$9*5+VLOOKUP(D58,Auswahllisten!$E$25:$F$29,2,FALSE)))</f>
        <v>0</v>
      </c>
      <c r="G58" s="296">
        <f t="shared" ca="1" si="61"/>
        <v>0</v>
      </c>
      <c r="H58" s="296" cm="1">
        <f t="array" aca="1" ref="H58" ca="1">INDIRECT("Investition_gewählt!"&amp;$I$6&amp;AA58)</f>
        <v>4500</v>
      </c>
      <c r="I58" s="61" cm="1">
        <f t="array" aca="1" ref="I58" ca="1">IF($C$5=0,0,INDEX(Faktoren!E44:GQ44,1,VLOOKUP($F$6,$L$2:$O$14,4,FALSE)+$C$9*5+VLOOKUP(D58,Auswahllisten!$E$25:$F$29,2,FALSE)))</f>
        <v>0</v>
      </c>
      <c r="J58" s="163">
        <f t="shared" ca="1" si="62"/>
        <v>0</v>
      </c>
      <c r="K58" s="163">
        <f t="shared" ca="1" si="10"/>
        <v>0</v>
      </c>
      <c r="L58" s="93" t="b">
        <f t="shared" ca="1" si="60"/>
        <v>0</v>
      </c>
      <c r="M58" s="163">
        <f t="shared" ca="1" si="11"/>
        <v>0</v>
      </c>
      <c r="O58" s="93" t="str" cm="1">
        <f t="array" aca="1" ref="O58" ca="1">INDIRECT("Vergleich!"&amp;$Y$2&amp;Z58)</f>
        <v>gering</v>
      </c>
      <c r="P58" s="163" cm="1">
        <f t="array" aca="1" ref="P58" ca="1">INDIRECT("Investition_gewählt!"&amp;$AA$5&amp;AA58)</f>
        <v>4500</v>
      </c>
      <c r="Q58" s="93" cm="1">
        <f t="array" aca="1" ref="Q58" ca="1">IF($U$5=0,0,INDEX(Faktoren!E44:GQ44,1,VLOOKUP($X$5,$L$2:$O$14,4,FALSE)+$U$9*5+VLOOKUP(O58,Auswahllisten!$E$25:$F$29,2,FALSE)))</f>
        <v>0</v>
      </c>
      <c r="R58" s="163">
        <f t="shared" ca="1" si="12"/>
        <v>0</v>
      </c>
      <c r="S58" s="163" cm="1">
        <f t="array" aca="1" ref="S58" ca="1">INDIRECT("Investition_gewählt!"&amp;$AA$6&amp;AA58)</f>
        <v>4500</v>
      </c>
      <c r="T58" s="93" cm="1">
        <f t="array" aca="1" ref="T58" ca="1">IF($U$5=0,0,INDEX(Faktoren!E44:QG44,1,VLOOKUP($X$6,$L$3:$O$14,4,FALSE)+$U$9*5+VLOOKUP(O58,Auswahllisten!$E$25:$F$29,2,FALSE)))</f>
        <v>0</v>
      </c>
      <c r="U58" s="163">
        <f t="shared" ca="1" si="13"/>
        <v>0</v>
      </c>
      <c r="V58" s="163">
        <f t="shared" ca="1" si="14"/>
        <v>0</v>
      </c>
      <c r="W58" s="93" t="b">
        <f t="shared" ca="1" si="63"/>
        <v>0</v>
      </c>
      <c r="X58" s="163">
        <f t="shared" ca="1" si="16"/>
        <v>0</v>
      </c>
      <c r="Z58" s="1">
        <v>50</v>
      </c>
      <c r="AA58" s="1">
        <v>44</v>
      </c>
      <c r="AB58" s="1">
        <v>-2</v>
      </c>
      <c r="AN58" s="1">
        <v>33</v>
      </c>
      <c r="AO58" s="1">
        <f t="shared" ref="AO58:AO89" si="67">IF($AS$3&lt;AN58,0,1)</f>
        <v>0</v>
      </c>
      <c r="AP58" s="69">
        <f t="shared" ca="1" si="65"/>
        <v>0</v>
      </c>
      <c r="AQ58" s="69">
        <f t="shared" ca="1" si="65"/>
        <v>0</v>
      </c>
      <c r="AR58" s="69">
        <f t="shared" si="65"/>
        <v>0</v>
      </c>
      <c r="AS58" s="69">
        <f t="shared" ca="1" si="65"/>
        <v>0</v>
      </c>
      <c r="AT58" s="69">
        <f t="shared" ca="1" si="65"/>
        <v>0</v>
      </c>
      <c r="AU58" s="69">
        <f t="shared" ca="1" si="65"/>
        <v>0</v>
      </c>
      <c r="AV58" s="69">
        <f t="shared" si="65"/>
        <v>0</v>
      </c>
      <c r="AW58" s="69">
        <f t="shared" ca="1" si="29"/>
        <v>0</v>
      </c>
      <c r="AX58" s="69">
        <f t="shared" ca="1" si="30"/>
        <v>0</v>
      </c>
      <c r="AY58" s="69">
        <f t="shared" ca="1" si="31"/>
        <v>0</v>
      </c>
      <c r="AZ58" s="69">
        <f ca="1">$AO58*IF(Auswahllisten!$G$150,AZ$25+AZ$25*AZ$13*$AN58,AZ$25*(1+AZ$13)^$AN58)</f>
        <v>0</v>
      </c>
      <c r="BA58" s="69">
        <f ca="1">$AO58*IF(Auswahllisten!$G$150,BA$25+BA$25*BA$13*$AN58,BA$25*(1+BA$13)^$AN58)</f>
        <v>0</v>
      </c>
      <c r="BB58" s="69">
        <f ca="1">$AO58*IF(Auswahllisten!$G$150,BB$25+BB$25*BB$13*$AN58,BB$25*(1+BB$13)^$AN58)</f>
        <v>0</v>
      </c>
      <c r="BC58" s="69">
        <f ca="1">$AO58*IF(Auswahllisten!$G$150,BC$25+BC$25*BC$13*$AN58,BC$25*(1+BC$13)^$AN58)</f>
        <v>0</v>
      </c>
      <c r="BD58" s="69">
        <f t="shared" ca="1" si="32"/>
        <v>0</v>
      </c>
      <c r="BE58" s="69">
        <f t="shared" ca="1" si="33"/>
        <v>0</v>
      </c>
      <c r="BF58" s="69">
        <f t="shared" ca="1" si="34"/>
        <v>0</v>
      </c>
      <c r="BG58" s="69">
        <f t="shared" ca="1" si="35"/>
        <v>0</v>
      </c>
      <c r="BI58" s="69">
        <f t="shared" ca="1" si="36"/>
        <v>0</v>
      </c>
      <c r="BJ58" s="69">
        <f t="shared" ca="1" si="66"/>
        <v>0</v>
      </c>
      <c r="BK58" s="69">
        <f t="shared" si="66"/>
        <v>0</v>
      </c>
      <c r="BL58" s="69">
        <f t="shared" ca="1" si="66"/>
        <v>0</v>
      </c>
      <c r="BM58" s="69">
        <f t="shared" ca="1" si="64"/>
        <v>0</v>
      </c>
      <c r="BN58" s="69">
        <f t="shared" ca="1" si="64"/>
        <v>0</v>
      </c>
      <c r="BO58" s="69">
        <f t="shared" si="64"/>
        <v>0</v>
      </c>
      <c r="BP58" s="69">
        <f t="shared" ref="BP58:BP89" ca="1" si="68">SUM(BI58:BO58)/(1+$AS$11)^AN58</f>
        <v>0</v>
      </c>
      <c r="BQ58" s="69">
        <f t="shared" ca="1" si="38"/>
        <v>0</v>
      </c>
      <c r="BR58" s="69">
        <f t="shared" ref="BR58:BR89" ca="1" si="69">SUM(BQ58)/(1+$AS$11)^AN58</f>
        <v>0</v>
      </c>
      <c r="BS58" s="69">
        <f ca="1">$AO58*IF(Auswahllisten!$G$150,BS$25+BS$25*BS$13*$AN58,BS$25*(1+BS$13)^$AN58)</f>
        <v>0</v>
      </c>
      <c r="BT58" s="69">
        <f ca="1">$AO58*IF(Auswahllisten!$G$150,BT$25+BT$25*BT$13*$AN58,BT$25*(1+BT$13)^$AN58)</f>
        <v>0</v>
      </c>
      <c r="BU58" s="69">
        <f ca="1">$AO58*IF(Auswahllisten!$G$150,BU$25+BU$25*BU$13*$AN58,BU$25*(1+BU$13)^$AN58)</f>
        <v>0</v>
      </c>
      <c r="BV58" s="69">
        <f ca="1">$AO58*IF(Auswahllisten!$G$150,BV$25+BV$25*BV$13*$AN58,BV$25*(1+BV$13)^$AN58)</f>
        <v>0</v>
      </c>
      <c r="BW58" s="69">
        <f t="shared" ca="1" si="39"/>
        <v>0</v>
      </c>
      <c r="BX58" s="69">
        <f t="shared" ca="1" si="40"/>
        <v>0</v>
      </c>
      <c r="BY58" s="69">
        <f t="shared" ref="BY58:BY89" ca="1" si="70">BX58/(1+$AS$11)^AN58</f>
        <v>0</v>
      </c>
      <c r="BZ58" s="69">
        <f t="shared" ref="BZ58:BZ89" ca="1" si="71">BZ57+BP58+BR58+BW58+BY58+IF(AN58=$AS$3,$BY$22,0)</f>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67"/>
        <v>0</v>
      </c>
      <c r="AP59" s="69">
        <f t="shared" ca="1" si="65"/>
        <v>0</v>
      </c>
      <c r="AQ59" s="69">
        <f t="shared" ca="1" si="65"/>
        <v>0</v>
      </c>
      <c r="AR59" s="69">
        <f t="shared" si="65"/>
        <v>0</v>
      </c>
      <c r="AS59" s="69">
        <f t="shared" ca="1" si="65"/>
        <v>0</v>
      </c>
      <c r="AT59" s="69">
        <f t="shared" ca="1" si="65"/>
        <v>0</v>
      </c>
      <c r="AU59" s="69">
        <f t="shared" ca="1" si="65"/>
        <v>0</v>
      </c>
      <c r="AV59" s="69">
        <f t="shared" si="65"/>
        <v>0</v>
      </c>
      <c r="AW59" s="69">
        <f t="shared" ca="1" si="29"/>
        <v>0</v>
      </c>
      <c r="AX59" s="69">
        <f t="shared" ca="1" si="30"/>
        <v>0</v>
      </c>
      <c r="AY59" s="69">
        <f t="shared" ca="1" si="31"/>
        <v>0</v>
      </c>
      <c r="AZ59" s="69">
        <f ca="1">$AO59*IF(Auswahllisten!$G$150,AZ$25+AZ$25*AZ$13*$AN59,AZ$25*(1+AZ$13)^$AN59)</f>
        <v>0</v>
      </c>
      <c r="BA59" s="69">
        <f ca="1">$AO59*IF(Auswahllisten!$G$150,BA$25+BA$25*BA$13*$AN59,BA$25*(1+BA$13)^$AN59)</f>
        <v>0</v>
      </c>
      <c r="BB59" s="69">
        <f ca="1">$AO59*IF(Auswahllisten!$G$150,BB$25+BB$25*BB$13*$AN59,BB$25*(1+BB$13)^$AN59)</f>
        <v>0</v>
      </c>
      <c r="BC59" s="69">
        <f ca="1">$AO59*IF(Auswahllisten!$G$150,BC$25+BC$25*BC$13*$AN59,BC$25*(1+BC$13)^$AN59)</f>
        <v>0</v>
      </c>
      <c r="BD59" s="69">
        <f t="shared" ca="1" si="32"/>
        <v>0</v>
      </c>
      <c r="BE59" s="69">
        <f t="shared" ca="1" si="33"/>
        <v>0</v>
      </c>
      <c r="BF59" s="69">
        <f t="shared" ca="1" si="34"/>
        <v>0</v>
      </c>
      <c r="BG59" s="69">
        <f t="shared" ca="1" si="35"/>
        <v>0</v>
      </c>
      <c r="BI59" s="69">
        <f t="shared" ca="1" si="36"/>
        <v>0</v>
      </c>
      <c r="BJ59" s="69">
        <f t="shared" ca="1" si="66"/>
        <v>0</v>
      </c>
      <c r="BK59" s="69">
        <f t="shared" si="66"/>
        <v>0</v>
      </c>
      <c r="BL59" s="69">
        <f t="shared" ca="1" si="66"/>
        <v>0</v>
      </c>
      <c r="BM59" s="69">
        <f t="shared" ca="1" si="64"/>
        <v>0</v>
      </c>
      <c r="BN59" s="69">
        <f t="shared" ca="1" si="64"/>
        <v>0</v>
      </c>
      <c r="BO59" s="69">
        <f t="shared" si="64"/>
        <v>0</v>
      </c>
      <c r="BP59" s="69">
        <f t="shared" ca="1" si="68"/>
        <v>0</v>
      </c>
      <c r="BQ59" s="69">
        <f t="shared" ca="1" si="38"/>
        <v>0</v>
      </c>
      <c r="BR59" s="69">
        <f t="shared" ca="1" si="69"/>
        <v>0</v>
      </c>
      <c r="BS59" s="69">
        <f ca="1">$AO59*IF(Auswahllisten!$G$150,BS$25+BS$25*BS$13*$AN59,BS$25*(1+BS$13)^$AN59)</f>
        <v>0</v>
      </c>
      <c r="BT59" s="69">
        <f ca="1">$AO59*IF(Auswahllisten!$G$150,BT$25+BT$25*BT$13*$AN59,BT$25*(1+BT$13)^$AN59)</f>
        <v>0</v>
      </c>
      <c r="BU59" s="69">
        <f ca="1">$AO59*IF(Auswahllisten!$G$150,BU$25+BU$25*BU$13*$AN59,BU$25*(1+BU$13)^$AN59)</f>
        <v>0</v>
      </c>
      <c r="BV59" s="69">
        <f ca="1">$AO59*IF(Auswahllisten!$G$150,BV$25+BV$25*BV$13*$AN59,BV$25*(1+BV$13)^$AN59)</f>
        <v>0</v>
      </c>
      <c r="BW59" s="69">
        <f t="shared" ca="1" si="39"/>
        <v>0</v>
      </c>
      <c r="BX59" s="69">
        <f t="shared" ca="1" si="40"/>
        <v>0</v>
      </c>
      <c r="BY59" s="69">
        <f t="shared" ca="1" si="70"/>
        <v>0</v>
      </c>
      <c r="BZ59" s="69">
        <f t="shared" ca="1" si="71"/>
        <v>0</v>
      </c>
    </row>
    <row r="60" spans="1:78">
      <c r="A60" s="125" t="s">
        <v>998</v>
      </c>
      <c r="B60" s="125" t="s">
        <v>999</v>
      </c>
      <c r="C60" s="125"/>
      <c r="D60" s="69"/>
      <c r="E60" s="69"/>
      <c r="G60" s="69"/>
      <c r="H60" s="69"/>
      <c r="J60" s="69"/>
      <c r="K60" s="69"/>
      <c r="L60" s="155">
        <v>6</v>
      </c>
      <c r="M60" s="69"/>
      <c r="P60" s="69"/>
      <c r="R60" s="69"/>
      <c r="S60" s="69"/>
      <c r="U60" s="69"/>
      <c r="V60" s="69"/>
      <c r="X60" s="69"/>
      <c r="AA60" s="1">
        <v>46</v>
      </c>
      <c r="AB60" s="1">
        <v>-2</v>
      </c>
      <c r="AN60" s="1">
        <v>35</v>
      </c>
      <c r="AO60" s="1">
        <f t="shared" si="67"/>
        <v>0</v>
      </c>
      <c r="AP60" s="69">
        <f t="shared" ca="1" si="65"/>
        <v>0</v>
      </c>
      <c r="AQ60" s="69">
        <f t="shared" ca="1" si="65"/>
        <v>0</v>
      </c>
      <c r="AR60" s="69">
        <f t="shared" si="65"/>
        <v>0</v>
      </c>
      <c r="AS60" s="69">
        <f t="shared" ca="1" si="65"/>
        <v>0</v>
      </c>
      <c r="AT60" s="69">
        <f t="shared" ca="1" si="65"/>
        <v>0</v>
      </c>
      <c r="AU60" s="69">
        <f t="shared" ca="1" si="65"/>
        <v>0</v>
      </c>
      <c r="AV60" s="69">
        <f t="shared" si="65"/>
        <v>0</v>
      </c>
      <c r="AW60" s="69">
        <f t="shared" ca="1" si="29"/>
        <v>0</v>
      </c>
      <c r="AX60" s="69">
        <f t="shared" ca="1" si="30"/>
        <v>0</v>
      </c>
      <c r="AY60" s="69">
        <f t="shared" ca="1" si="31"/>
        <v>0</v>
      </c>
      <c r="AZ60" s="69">
        <f ca="1">$AO60*IF(Auswahllisten!$G$150,AZ$25+AZ$25*AZ$13*$AN60,AZ$25*(1+AZ$13)^$AN60)</f>
        <v>0</v>
      </c>
      <c r="BA60" s="69">
        <f ca="1">$AO60*IF(Auswahllisten!$G$150,BA$25+BA$25*BA$13*$AN60,BA$25*(1+BA$13)^$AN60)</f>
        <v>0</v>
      </c>
      <c r="BB60" s="69">
        <f ca="1">$AO60*IF(Auswahllisten!$G$150,BB$25+BB$25*BB$13*$AN60,BB$25*(1+BB$13)^$AN60)</f>
        <v>0</v>
      </c>
      <c r="BC60" s="69">
        <f ca="1">$AO60*IF(Auswahllisten!$G$150,BC$25+BC$25*BC$13*$AN60,BC$25*(1+BC$13)^$AN60)</f>
        <v>0</v>
      </c>
      <c r="BD60" s="69">
        <f t="shared" ca="1" si="32"/>
        <v>0</v>
      </c>
      <c r="BE60" s="69">
        <f t="shared" ca="1" si="33"/>
        <v>0</v>
      </c>
      <c r="BF60" s="69">
        <f t="shared" ca="1" si="34"/>
        <v>0</v>
      </c>
      <c r="BG60" s="69">
        <f t="shared" ca="1" si="35"/>
        <v>0</v>
      </c>
      <c r="BI60" s="69">
        <f t="shared" ca="1" si="36"/>
        <v>0</v>
      </c>
      <c r="BJ60" s="69">
        <f t="shared" ca="1" si="66"/>
        <v>0</v>
      </c>
      <c r="BK60" s="69">
        <f t="shared" si="66"/>
        <v>0</v>
      </c>
      <c r="BL60" s="69">
        <f t="shared" ca="1" si="66"/>
        <v>0</v>
      </c>
      <c r="BM60" s="69">
        <f t="shared" ca="1" si="64"/>
        <v>0</v>
      </c>
      <c r="BN60" s="69">
        <f t="shared" ca="1" si="64"/>
        <v>0</v>
      </c>
      <c r="BO60" s="69">
        <f t="shared" si="64"/>
        <v>0</v>
      </c>
      <c r="BP60" s="69">
        <f t="shared" ca="1" si="68"/>
        <v>0</v>
      </c>
      <c r="BQ60" s="69">
        <f t="shared" ca="1" si="38"/>
        <v>0</v>
      </c>
      <c r="BR60" s="69">
        <f t="shared" ca="1" si="69"/>
        <v>0</v>
      </c>
      <c r="BS60" s="69">
        <f ca="1">$AO60*IF(Auswahllisten!$G$150,BS$25+BS$25*BS$13*$AN60,BS$25*(1+BS$13)^$AN60)</f>
        <v>0</v>
      </c>
      <c r="BT60" s="69">
        <f ca="1">$AO60*IF(Auswahllisten!$G$150,BT$25+BT$25*BT$13*$AN60,BT$25*(1+BT$13)^$AN60)</f>
        <v>0</v>
      </c>
      <c r="BU60" s="69">
        <f ca="1">$AO60*IF(Auswahllisten!$G$150,BU$25+BU$25*BU$13*$AN60,BU$25*(1+BU$13)^$AN60)</f>
        <v>0</v>
      </c>
      <c r="BV60" s="69">
        <f ca="1">$AO60*IF(Auswahllisten!$G$150,BV$25+BV$25*BV$13*$AN60,BV$25*(1+BV$13)^$AN60)</f>
        <v>0</v>
      </c>
      <c r="BW60" s="69">
        <f t="shared" ca="1" si="39"/>
        <v>0</v>
      </c>
      <c r="BX60" s="69">
        <f t="shared" ca="1" si="40"/>
        <v>0</v>
      </c>
      <c r="BY60" s="69">
        <f t="shared" ca="1" si="70"/>
        <v>0</v>
      </c>
      <c r="BZ60" s="69">
        <f t="shared" ca="1" si="71"/>
        <v>0</v>
      </c>
    </row>
    <row r="61" spans="1:78">
      <c r="A61" s="304" t="s">
        <v>1217</v>
      </c>
      <c r="B61" s="131" t="s">
        <v>1242</v>
      </c>
      <c r="C61" s="131" t="s">
        <v>245</v>
      </c>
      <c r="D61" s="162" t="str" cm="1">
        <f t="array" aca="1" ref="D61" ca="1">INDIRECT("Vergleich!"&amp;$G$2&amp;Z61)</f>
        <v>mittel</v>
      </c>
      <c r="E61" s="162" cm="1">
        <f t="array" aca="1" ref="E61" ca="1">INDIRECT("Investition_gewählt!"&amp;$I$5&amp;AA61)</f>
        <v>23500</v>
      </c>
      <c r="F61" s="25" cm="1">
        <f t="array" aca="1" ref="F61" ca="1">IF($C$5=0,0,INDEX(Faktoren!E47:GQ47,1,VLOOKUP($F$5,$L$2:$O$14,4,FALSE)+$C$9*5+VLOOKUP(D61,Auswahllisten!$E$25:$F$29,2,FALSE)))</f>
        <v>0</v>
      </c>
      <c r="G61" s="162">
        <f ca="1">E61*F61</f>
        <v>0</v>
      </c>
      <c r="H61" s="162" cm="1">
        <f t="array" aca="1" ref="H61" ca="1">INDIRECT("Investition_gewählt!"&amp;$I$6&amp;AA61)</f>
        <v>23500</v>
      </c>
      <c r="I61" s="25" cm="1">
        <f t="array" aca="1" ref="I61" ca="1">IF($C$5=0,0,INDEX(Faktoren!E47:GQ47,1,VLOOKUP($F$6,$L$2:$O$14,4,FALSE)+$C$9*5+VLOOKUP(D61,Auswahllisten!$E$25:$F$29,2,FALSE)))</f>
        <v>0</v>
      </c>
      <c r="J61" s="162">
        <f ca="1">H61*I61</f>
        <v>0</v>
      </c>
      <c r="K61" s="162">
        <f t="shared" ca="1" si="10"/>
        <v>0</v>
      </c>
      <c r="L61" s="25" t="b">
        <f t="shared" ref="L61:L69" ca="1" si="72">($C$5=$L$60)</f>
        <v>0</v>
      </c>
      <c r="M61" s="162">
        <f t="shared" ca="1" si="11"/>
        <v>0</v>
      </c>
      <c r="O61" s="25" t="str" cm="1">
        <f t="array" aca="1" ref="O61" ca="1">INDIRECT("Vergleich!"&amp;$Y$2&amp;Z61)</f>
        <v>gering</v>
      </c>
      <c r="P61" s="162" cm="1">
        <f t="array" aca="1" ref="P61" ca="1">INDIRECT("Investition_gewählt!"&amp;$AA$5&amp;AA61)</f>
        <v>23500</v>
      </c>
      <c r="Q61" s="25" cm="1">
        <f t="array" aca="1" ref="Q61" ca="1">IF($U$5=0,0,INDEX(Faktoren!E47:GQ47,1,VLOOKUP($X$5,$L$2:$O$14,4,FALSE)+$U$9*5+VLOOKUP(O61,Auswahllisten!$E$25:$F$29,2,FALSE)))</f>
        <v>0</v>
      </c>
      <c r="R61" s="162">
        <f t="shared" ca="1" si="12"/>
        <v>0</v>
      </c>
      <c r="S61" s="162" cm="1">
        <f t="array" aca="1" ref="S61" ca="1">INDIRECT("Investition_gewählt!"&amp;$AA$6&amp;AA61)</f>
        <v>23500</v>
      </c>
      <c r="T61" s="25" cm="1">
        <f t="array" aca="1" ref="T61" ca="1">IF($U$5=0,0,INDEX(Faktoren!E47:QG47,1,VLOOKUP($X$6,$L$3:$O$14,4,FALSE)+$U$9*5+VLOOKUP(O61,Auswahllisten!$E$25:$F$29,2,FALSE)))</f>
        <v>0</v>
      </c>
      <c r="U61" s="162">
        <f t="shared" ca="1" si="13"/>
        <v>0</v>
      </c>
      <c r="V61" s="162">
        <f t="shared" ca="1" si="14"/>
        <v>0</v>
      </c>
      <c r="W61" s="25" t="b">
        <f ca="1">($U$5=$L$60)</f>
        <v>0</v>
      </c>
      <c r="X61" s="162">
        <f t="shared" ca="1" si="16"/>
        <v>0</v>
      </c>
      <c r="Z61" s="1">
        <v>32</v>
      </c>
      <c r="AA61" s="1">
        <v>47</v>
      </c>
      <c r="AB61" s="1">
        <v>-2</v>
      </c>
      <c r="AN61" s="1">
        <v>36</v>
      </c>
      <c r="AO61" s="1">
        <f t="shared" si="67"/>
        <v>0</v>
      </c>
      <c r="AP61" s="69">
        <f t="shared" ca="1" si="65"/>
        <v>0</v>
      </c>
      <c r="AQ61" s="69">
        <f t="shared" ca="1" si="65"/>
        <v>0</v>
      </c>
      <c r="AR61" s="69">
        <f t="shared" si="65"/>
        <v>0</v>
      </c>
      <c r="AS61" s="69">
        <f t="shared" ca="1" si="65"/>
        <v>0</v>
      </c>
      <c r="AT61" s="69">
        <f t="shared" ca="1" si="65"/>
        <v>0</v>
      </c>
      <c r="AU61" s="69">
        <f t="shared" ca="1" si="65"/>
        <v>0</v>
      </c>
      <c r="AV61" s="69">
        <f t="shared" si="65"/>
        <v>0</v>
      </c>
      <c r="AW61" s="69">
        <f t="shared" ca="1" si="29"/>
        <v>0</v>
      </c>
      <c r="AX61" s="69">
        <f t="shared" ca="1" si="30"/>
        <v>0</v>
      </c>
      <c r="AY61" s="69">
        <f t="shared" ca="1" si="31"/>
        <v>0</v>
      </c>
      <c r="AZ61" s="69">
        <f ca="1">$AO61*IF(Auswahllisten!$G$150,AZ$25+AZ$25*AZ$13*$AN61,AZ$25*(1+AZ$13)^$AN61)</f>
        <v>0</v>
      </c>
      <c r="BA61" s="69">
        <f ca="1">$AO61*IF(Auswahllisten!$G$150,BA$25+BA$25*BA$13*$AN61,BA$25*(1+BA$13)^$AN61)</f>
        <v>0</v>
      </c>
      <c r="BB61" s="69">
        <f ca="1">$AO61*IF(Auswahllisten!$G$150,BB$25+BB$25*BB$13*$AN61,BB$25*(1+BB$13)^$AN61)</f>
        <v>0</v>
      </c>
      <c r="BC61" s="69">
        <f ca="1">$AO61*IF(Auswahllisten!$G$150,BC$25+BC$25*BC$13*$AN61,BC$25*(1+BC$13)^$AN61)</f>
        <v>0</v>
      </c>
      <c r="BD61" s="69">
        <f t="shared" ca="1" si="32"/>
        <v>0</v>
      </c>
      <c r="BE61" s="69">
        <f t="shared" ca="1" si="33"/>
        <v>0</v>
      </c>
      <c r="BF61" s="69">
        <f t="shared" ca="1" si="34"/>
        <v>0</v>
      </c>
      <c r="BG61" s="69">
        <f t="shared" ca="1" si="35"/>
        <v>0</v>
      </c>
      <c r="BI61" s="69">
        <f t="shared" ca="1" si="36"/>
        <v>0</v>
      </c>
      <c r="BJ61" s="69">
        <f t="shared" ca="1" si="66"/>
        <v>0</v>
      </c>
      <c r="BK61" s="69">
        <f t="shared" si="66"/>
        <v>0</v>
      </c>
      <c r="BL61" s="69">
        <f t="shared" ca="1" si="66"/>
        <v>0</v>
      </c>
      <c r="BM61" s="69">
        <f t="shared" ca="1" si="64"/>
        <v>0</v>
      </c>
      <c r="BN61" s="69">
        <f t="shared" ca="1" si="64"/>
        <v>0</v>
      </c>
      <c r="BO61" s="69">
        <f t="shared" si="64"/>
        <v>0</v>
      </c>
      <c r="BP61" s="69">
        <f t="shared" ca="1" si="68"/>
        <v>0</v>
      </c>
      <c r="BQ61" s="69">
        <f t="shared" ca="1" si="38"/>
        <v>0</v>
      </c>
      <c r="BR61" s="69">
        <f t="shared" ca="1" si="69"/>
        <v>0</v>
      </c>
      <c r="BS61" s="69">
        <f ca="1">$AO61*IF(Auswahllisten!$G$150,BS$25+BS$25*BS$13*$AN61,BS$25*(1+BS$13)^$AN61)</f>
        <v>0</v>
      </c>
      <c r="BT61" s="69">
        <f ca="1">$AO61*IF(Auswahllisten!$G$150,BT$25+BT$25*BT$13*$AN61,BT$25*(1+BT$13)^$AN61)</f>
        <v>0</v>
      </c>
      <c r="BU61" s="69">
        <f ca="1">$AO61*IF(Auswahllisten!$G$150,BU$25+BU$25*BU$13*$AN61,BU$25*(1+BU$13)^$AN61)</f>
        <v>0</v>
      </c>
      <c r="BV61" s="69">
        <f ca="1">$AO61*IF(Auswahllisten!$G$150,BV$25+BV$25*BV$13*$AN61,BV$25*(1+BV$13)^$AN61)</f>
        <v>0</v>
      </c>
      <c r="BW61" s="69">
        <f t="shared" ca="1" si="39"/>
        <v>0</v>
      </c>
      <c r="BX61" s="69">
        <f t="shared" ca="1" si="40"/>
        <v>0</v>
      </c>
      <c r="BY61" s="69">
        <f t="shared" ca="1" si="70"/>
        <v>0</v>
      </c>
      <c r="BZ61" s="69">
        <f t="shared" ca="1" si="71"/>
        <v>0</v>
      </c>
    </row>
    <row r="62" spans="1:78">
      <c r="A62" s="305" t="s">
        <v>1215</v>
      </c>
      <c r="B62" s="126" t="s">
        <v>303</v>
      </c>
      <c r="C62" s="126" t="s">
        <v>1000</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IF($C$5=0,0,INDEX(Faktoren!E48:GQ48,1,VLOOKUP($F$5,$L$2:$O$14,4,FALSE)+$C$9*5+VLOOKUP(D62,Auswahllisten!$E$25:$F$29,2,FALSE)))</f>
        <v>0</v>
      </c>
      <c r="G62" s="26">
        <f t="shared" ref="G62:G69" ca="1" si="73">E62*F62</f>
        <v>0</v>
      </c>
      <c r="H62" s="26" cm="1">
        <f t="array" aca="1" ref="H62" ca="1">INDIRECT("Investition_gewählt!"&amp;$I$6&amp;AA62)</f>
        <v>8800</v>
      </c>
      <c r="I62" s="25" cm="1">
        <f t="array" aca="1" ref="I62" ca="1">IF($C$5=0,0,INDEX(Faktoren!E48:GQ48,1,VLOOKUP($F$6,$L$2:$O$14,4,FALSE)+$C$9*5+VLOOKUP(D62,Auswahllisten!$E$25:$F$29,2,FALSE)))</f>
        <v>0</v>
      </c>
      <c r="J62" s="26">
        <f t="shared" ref="J62:J69" ca="1" si="74">H62*I62</f>
        <v>0</v>
      </c>
      <c r="K62" s="26">
        <f t="shared" ca="1" si="10"/>
        <v>0</v>
      </c>
      <c r="L62" s="16" t="b">
        <f t="shared" ca="1" si="72"/>
        <v>0</v>
      </c>
      <c r="M62" s="26">
        <f t="shared" ca="1" si="11"/>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IF($U$5=0,0,INDEX(Faktoren!E48:GQ48,1,VLOOKUP($X$5,$L$2:$O$14,4,FALSE)+$U$9*5+VLOOKUP(O62,Auswahllisten!$E$25:$F$29,2,FALSE)))</f>
        <v>0</v>
      </c>
      <c r="R62" s="26">
        <f t="shared" ca="1" si="12"/>
        <v>0</v>
      </c>
      <c r="S62" s="26" cm="1">
        <f t="array" aca="1" ref="S62" ca="1">INDIRECT("Investition_gewählt!"&amp;$AA$6&amp;AA62)</f>
        <v>8800</v>
      </c>
      <c r="T62" s="16" cm="1">
        <f t="array" aca="1" ref="T62" ca="1">IF($U$5=0,0,INDEX(Faktoren!E48:QG48,1,VLOOKUP($X$6,$L$3:$O$14,4,FALSE)+$U$9*5+VLOOKUP(O62,Auswahllisten!$E$25:$F$29,2,FALSE)))</f>
        <v>0</v>
      </c>
      <c r="U62" s="26">
        <f t="shared" ca="1" si="13"/>
        <v>0</v>
      </c>
      <c r="V62" s="26">
        <f t="shared" ca="1" si="14"/>
        <v>0</v>
      </c>
      <c r="W62" s="16" t="b">
        <f t="shared" ref="W62:W69" ca="1" si="75">($U$5=$L$60)</f>
        <v>0</v>
      </c>
      <c r="X62" s="26">
        <f t="shared" ca="1" si="16"/>
        <v>0</v>
      </c>
      <c r="Z62" s="1">
        <v>40</v>
      </c>
      <c r="AA62" s="1">
        <v>48</v>
      </c>
      <c r="AB62" s="1">
        <v>-2</v>
      </c>
      <c r="AN62" s="1">
        <v>37</v>
      </c>
      <c r="AO62" s="1">
        <f t="shared" si="67"/>
        <v>0</v>
      </c>
      <c r="AP62" s="69">
        <f t="shared" ca="1" si="65"/>
        <v>0</v>
      </c>
      <c r="AQ62" s="69">
        <f t="shared" ca="1" si="65"/>
        <v>0</v>
      </c>
      <c r="AR62" s="69">
        <f t="shared" si="65"/>
        <v>0</v>
      </c>
      <c r="AS62" s="69">
        <f t="shared" ca="1" si="65"/>
        <v>0</v>
      </c>
      <c r="AT62" s="69">
        <f t="shared" ca="1" si="65"/>
        <v>0</v>
      </c>
      <c r="AU62" s="69">
        <f t="shared" ca="1" si="65"/>
        <v>0</v>
      </c>
      <c r="AV62" s="69">
        <f t="shared" si="65"/>
        <v>0</v>
      </c>
      <c r="AW62" s="69">
        <f t="shared" ca="1" si="29"/>
        <v>0</v>
      </c>
      <c r="AX62" s="69">
        <f t="shared" ca="1" si="30"/>
        <v>0</v>
      </c>
      <c r="AY62" s="69">
        <f t="shared" ca="1" si="31"/>
        <v>0</v>
      </c>
      <c r="AZ62" s="69">
        <f ca="1">$AO62*IF(Auswahllisten!$G$150,AZ$25+AZ$25*AZ$13*$AN62,AZ$25*(1+AZ$13)^$AN62)</f>
        <v>0</v>
      </c>
      <c r="BA62" s="69">
        <f ca="1">$AO62*IF(Auswahllisten!$G$150,BA$25+BA$25*BA$13*$AN62,BA$25*(1+BA$13)^$AN62)</f>
        <v>0</v>
      </c>
      <c r="BB62" s="69">
        <f ca="1">$AO62*IF(Auswahllisten!$G$150,BB$25+BB$25*BB$13*$AN62,BB$25*(1+BB$13)^$AN62)</f>
        <v>0</v>
      </c>
      <c r="BC62" s="69">
        <f ca="1">$AO62*IF(Auswahllisten!$G$150,BC$25+BC$25*BC$13*$AN62,BC$25*(1+BC$13)^$AN62)</f>
        <v>0</v>
      </c>
      <c r="BD62" s="69">
        <f t="shared" ca="1" si="32"/>
        <v>0</v>
      </c>
      <c r="BE62" s="69">
        <f t="shared" ca="1" si="33"/>
        <v>0</v>
      </c>
      <c r="BF62" s="69">
        <f t="shared" ca="1" si="34"/>
        <v>0</v>
      </c>
      <c r="BG62" s="69">
        <f t="shared" ca="1" si="35"/>
        <v>0</v>
      </c>
      <c r="BI62" s="69">
        <f t="shared" ca="1" si="36"/>
        <v>0</v>
      </c>
      <c r="BJ62" s="69">
        <f t="shared" ca="1" si="66"/>
        <v>0</v>
      </c>
      <c r="BK62" s="69">
        <f t="shared" si="66"/>
        <v>0</v>
      </c>
      <c r="BL62" s="69">
        <f t="shared" ca="1" si="66"/>
        <v>0</v>
      </c>
      <c r="BM62" s="69">
        <f t="shared" ca="1" si="64"/>
        <v>0</v>
      </c>
      <c r="BN62" s="69">
        <f t="shared" ca="1" si="64"/>
        <v>0</v>
      </c>
      <c r="BO62" s="69">
        <f t="shared" si="64"/>
        <v>0</v>
      </c>
      <c r="BP62" s="69">
        <f t="shared" ca="1" si="68"/>
        <v>0</v>
      </c>
      <c r="BQ62" s="69">
        <f t="shared" ca="1" si="38"/>
        <v>0</v>
      </c>
      <c r="BR62" s="69">
        <f t="shared" ca="1" si="69"/>
        <v>0</v>
      </c>
      <c r="BS62" s="69">
        <f ca="1">$AO62*IF(Auswahllisten!$G$150,BS$25+BS$25*BS$13*$AN62,BS$25*(1+BS$13)^$AN62)</f>
        <v>0</v>
      </c>
      <c r="BT62" s="69">
        <f ca="1">$AO62*IF(Auswahllisten!$G$150,BT$25+BT$25*BT$13*$AN62,BT$25*(1+BT$13)^$AN62)</f>
        <v>0</v>
      </c>
      <c r="BU62" s="69">
        <f ca="1">$AO62*IF(Auswahllisten!$G$150,BU$25+BU$25*BU$13*$AN62,BU$25*(1+BU$13)^$AN62)</f>
        <v>0</v>
      </c>
      <c r="BV62" s="69">
        <f ca="1">$AO62*IF(Auswahllisten!$G$150,BV$25+BV$25*BV$13*$AN62,BV$25*(1+BV$13)^$AN62)</f>
        <v>0</v>
      </c>
      <c r="BW62" s="69">
        <f t="shared" ca="1" si="39"/>
        <v>0</v>
      </c>
      <c r="BX62" s="69">
        <f t="shared" ca="1" si="40"/>
        <v>0</v>
      </c>
      <c r="BY62" s="69">
        <f t="shared" ca="1" si="70"/>
        <v>0</v>
      </c>
      <c r="BZ62" s="69">
        <f t="shared" ca="1" si="71"/>
        <v>0</v>
      </c>
    </row>
    <row r="63" spans="1:78">
      <c r="A63" s="305" t="s">
        <v>1215</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IF($C$5=0,0,INDEX(Faktoren!E49:GQ49,1,VLOOKUP($F$5,$L$2:$O$14,4,FALSE)+$C$9*5+VLOOKUP(D63,Auswahllisten!$E$25:$F$29,2,FALSE)))</f>
        <v>0</v>
      </c>
      <c r="G63" s="26">
        <f t="shared" ca="1" si="73"/>
        <v>0</v>
      </c>
      <c r="H63" s="26" cm="1">
        <f t="array" aca="1" ref="H63" ca="1">INDIRECT("Investition_gewählt!"&amp;$I$6&amp;AA63)</f>
        <v>3600</v>
      </c>
      <c r="I63" s="25" cm="1">
        <f t="array" aca="1" ref="I63" ca="1">IF($C$5=0,0,INDEX(Faktoren!E49:GQ49,1,VLOOKUP($F$6,$L$2:$O$14,4,FALSE)+$C$9*5+VLOOKUP(D63,Auswahllisten!$E$25:$F$29,2,FALSE)))</f>
        <v>0</v>
      </c>
      <c r="J63" s="26">
        <f t="shared" ca="1" si="74"/>
        <v>0</v>
      </c>
      <c r="K63" s="26">
        <f t="shared" ca="1" si="10"/>
        <v>0</v>
      </c>
      <c r="L63" s="16" t="b">
        <f t="shared" ca="1" si="72"/>
        <v>0</v>
      </c>
      <c r="M63" s="26">
        <f t="shared" ca="1" si="11"/>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IF($U$5=0,0,INDEX(Faktoren!E49:GQ49,1,VLOOKUP($X$5,$L$2:$O$14,4,FALSE)+$U$9*5+VLOOKUP(O63,Auswahllisten!$E$25:$F$29,2,FALSE)))</f>
        <v>0</v>
      </c>
      <c r="R63" s="26">
        <f t="shared" ca="1" si="12"/>
        <v>0</v>
      </c>
      <c r="S63" s="26" cm="1">
        <f t="array" aca="1" ref="S63" ca="1">INDIRECT("Investition_gewählt!"&amp;$AA$6&amp;AA63)</f>
        <v>3600</v>
      </c>
      <c r="T63" s="16" cm="1">
        <f t="array" aca="1" ref="T63" ca="1">IF($U$5=0,0,INDEX(Faktoren!E49:QG49,1,VLOOKUP($X$6,$L$3:$O$14,4,FALSE)+$U$9*5+VLOOKUP(O63,Auswahllisten!$E$25:$F$29,2,FALSE)))</f>
        <v>0</v>
      </c>
      <c r="U63" s="26">
        <f t="shared" ca="1" si="13"/>
        <v>0</v>
      </c>
      <c r="V63" s="26">
        <f t="shared" ca="1" si="14"/>
        <v>0</v>
      </c>
      <c r="W63" s="16" t="b">
        <f t="shared" ca="1" si="75"/>
        <v>0</v>
      </c>
      <c r="X63" s="26">
        <f t="shared" ca="1" si="16"/>
        <v>0</v>
      </c>
      <c r="Z63" s="1">
        <v>42</v>
      </c>
      <c r="AA63" s="1">
        <v>49</v>
      </c>
      <c r="AB63" s="1">
        <v>-2</v>
      </c>
      <c r="AN63" s="1">
        <v>38</v>
      </c>
      <c r="AO63" s="1">
        <f t="shared" si="67"/>
        <v>0</v>
      </c>
      <c r="AP63" s="69">
        <f t="shared" ca="1" si="65"/>
        <v>0</v>
      </c>
      <c r="AQ63" s="69">
        <f t="shared" ca="1" si="65"/>
        <v>0</v>
      </c>
      <c r="AR63" s="69">
        <f t="shared" si="65"/>
        <v>0</v>
      </c>
      <c r="AS63" s="69">
        <f t="shared" ca="1" si="65"/>
        <v>0</v>
      </c>
      <c r="AT63" s="69">
        <f t="shared" ca="1" si="65"/>
        <v>0</v>
      </c>
      <c r="AU63" s="69">
        <f t="shared" ca="1" si="65"/>
        <v>0</v>
      </c>
      <c r="AV63" s="69">
        <f t="shared" si="65"/>
        <v>0</v>
      </c>
      <c r="AW63" s="69">
        <f t="shared" ca="1" si="29"/>
        <v>0</v>
      </c>
      <c r="AX63" s="69">
        <f t="shared" ca="1" si="30"/>
        <v>0</v>
      </c>
      <c r="AY63" s="69">
        <f t="shared" ca="1" si="31"/>
        <v>0</v>
      </c>
      <c r="AZ63" s="69">
        <f ca="1">$AO63*IF(Auswahllisten!$G$150,AZ$25+AZ$25*AZ$13*$AN63,AZ$25*(1+AZ$13)^$AN63)</f>
        <v>0</v>
      </c>
      <c r="BA63" s="69">
        <f ca="1">$AO63*IF(Auswahllisten!$G$150,BA$25+BA$25*BA$13*$AN63,BA$25*(1+BA$13)^$AN63)</f>
        <v>0</v>
      </c>
      <c r="BB63" s="69">
        <f ca="1">$AO63*IF(Auswahllisten!$G$150,BB$25+BB$25*BB$13*$AN63,BB$25*(1+BB$13)^$AN63)</f>
        <v>0</v>
      </c>
      <c r="BC63" s="69">
        <f ca="1">$AO63*IF(Auswahllisten!$G$150,BC$25+BC$25*BC$13*$AN63,BC$25*(1+BC$13)^$AN63)</f>
        <v>0</v>
      </c>
      <c r="BD63" s="69">
        <f t="shared" ca="1" si="32"/>
        <v>0</v>
      </c>
      <c r="BE63" s="69">
        <f t="shared" ca="1" si="33"/>
        <v>0</v>
      </c>
      <c r="BF63" s="69">
        <f t="shared" ca="1" si="34"/>
        <v>0</v>
      </c>
      <c r="BG63" s="69">
        <f t="shared" ca="1" si="35"/>
        <v>0</v>
      </c>
      <c r="BI63" s="69">
        <f t="shared" ca="1" si="36"/>
        <v>0</v>
      </c>
      <c r="BJ63" s="69">
        <f t="shared" ca="1" si="66"/>
        <v>0</v>
      </c>
      <c r="BK63" s="69">
        <f t="shared" si="66"/>
        <v>0</v>
      </c>
      <c r="BL63" s="69">
        <f t="shared" ca="1" si="66"/>
        <v>0</v>
      </c>
      <c r="BM63" s="69">
        <f t="shared" ca="1" si="64"/>
        <v>0</v>
      </c>
      <c r="BN63" s="69">
        <f t="shared" ca="1" si="64"/>
        <v>0</v>
      </c>
      <c r="BO63" s="69">
        <f t="shared" si="64"/>
        <v>0</v>
      </c>
      <c r="BP63" s="69">
        <f t="shared" ca="1" si="68"/>
        <v>0</v>
      </c>
      <c r="BQ63" s="69">
        <f t="shared" ca="1" si="38"/>
        <v>0</v>
      </c>
      <c r="BR63" s="69">
        <f t="shared" ca="1" si="69"/>
        <v>0</v>
      </c>
      <c r="BS63" s="69">
        <f ca="1">$AO63*IF(Auswahllisten!$G$150,BS$25+BS$25*BS$13*$AN63,BS$25*(1+BS$13)^$AN63)</f>
        <v>0</v>
      </c>
      <c r="BT63" s="69">
        <f ca="1">$AO63*IF(Auswahllisten!$G$150,BT$25+BT$25*BT$13*$AN63,BT$25*(1+BT$13)^$AN63)</f>
        <v>0</v>
      </c>
      <c r="BU63" s="69">
        <f ca="1">$AO63*IF(Auswahllisten!$G$150,BU$25+BU$25*BU$13*$AN63,BU$25*(1+BU$13)^$AN63)</f>
        <v>0</v>
      </c>
      <c r="BV63" s="69">
        <f ca="1">$AO63*IF(Auswahllisten!$G$150,BV$25+BV$25*BV$13*$AN63,BV$25*(1+BV$13)^$AN63)</f>
        <v>0</v>
      </c>
      <c r="BW63" s="69">
        <f t="shared" ca="1" si="39"/>
        <v>0</v>
      </c>
      <c r="BX63" s="69">
        <f t="shared" ca="1" si="40"/>
        <v>0</v>
      </c>
      <c r="BY63" s="69">
        <f t="shared" ca="1" si="70"/>
        <v>0</v>
      </c>
      <c r="BZ63" s="69">
        <f t="shared" ca="1" si="71"/>
        <v>0</v>
      </c>
    </row>
    <row r="64" spans="1:78">
      <c r="A64" s="305" t="s">
        <v>1218</v>
      </c>
      <c r="B64" s="126" t="s">
        <v>1243</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IF($C$5=0,0,INDEX(Faktoren!E50:GQ50,1,VLOOKUP($F$5,$L$2:$O$14,4,FALSE)+$C$9*5+VLOOKUP(D64,Auswahllisten!$E$25:$F$29,2,FALSE)))</f>
        <v>0</v>
      </c>
      <c r="G64" s="26">
        <f t="shared" ca="1" si="73"/>
        <v>0</v>
      </c>
      <c r="H64" s="26" cm="1">
        <f t="array" aca="1" ref="H64" ca="1">INDIRECT("Investition_gewählt!"&amp;$I$6&amp;AA64)</f>
        <v>1500</v>
      </c>
      <c r="I64" s="25" cm="1">
        <f t="array" aca="1" ref="I64" ca="1">IF($C$5=0,0,INDEX(Faktoren!E50:GQ50,1,VLOOKUP($F$6,$L$2:$O$14,4,FALSE)+$C$9*5+VLOOKUP(D64,Auswahllisten!$E$25:$F$29,2,FALSE)))</f>
        <v>0</v>
      </c>
      <c r="J64" s="26">
        <f t="shared" ca="1" si="74"/>
        <v>0</v>
      </c>
      <c r="K64" s="26">
        <f t="shared" ca="1" si="10"/>
        <v>0</v>
      </c>
      <c r="L64" s="16" t="b">
        <f t="shared" ca="1" si="72"/>
        <v>0</v>
      </c>
      <c r="M64" s="26">
        <f t="shared" ca="1" si="11"/>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IF($U$5=0,0,INDEX(Faktoren!E50:GQ50,1,VLOOKUP($X$5,$L$2:$O$14,4,FALSE)+$U$9*5+VLOOKUP(O64,Auswahllisten!$E$25:$F$29,2,FALSE)))</f>
        <v>0</v>
      </c>
      <c r="R64" s="26">
        <f t="shared" ca="1" si="12"/>
        <v>0</v>
      </c>
      <c r="S64" s="26" cm="1">
        <f t="array" aca="1" ref="S64" ca="1">INDIRECT("Investition_gewählt!"&amp;$AA$6&amp;AA64)</f>
        <v>1500</v>
      </c>
      <c r="T64" s="16" cm="1">
        <f t="array" aca="1" ref="T64" ca="1">IF($U$5=0,0,INDEX(Faktoren!E50:QG50,1,VLOOKUP($X$6,$L$3:$O$14,4,FALSE)+$U$9*5+VLOOKUP(O64,Auswahllisten!$E$25:$F$29,2,FALSE)))</f>
        <v>0</v>
      </c>
      <c r="U64" s="26">
        <f t="shared" ca="1" si="13"/>
        <v>0</v>
      </c>
      <c r="V64" s="26">
        <f t="shared" ca="1" si="14"/>
        <v>0</v>
      </c>
      <c r="W64" s="16" t="b">
        <f t="shared" ca="1" si="75"/>
        <v>0</v>
      </c>
      <c r="X64" s="26">
        <f t="shared" ca="1" si="16"/>
        <v>0</v>
      </c>
      <c r="Z64" s="1">
        <v>41</v>
      </c>
      <c r="AA64" s="1">
        <v>50</v>
      </c>
      <c r="AB64" s="1">
        <v>-2</v>
      </c>
      <c r="AN64" s="1">
        <v>39</v>
      </c>
      <c r="AO64" s="1">
        <f t="shared" si="67"/>
        <v>0</v>
      </c>
      <c r="AP64" s="69">
        <f t="shared" ca="1" si="65"/>
        <v>0</v>
      </c>
      <c r="AQ64" s="69">
        <f t="shared" ca="1" si="65"/>
        <v>0</v>
      </c>
      <c r="AR64" s="69">
        <f t="shared" si="65"/>
        <v>0</v>
      </c>
      <c r="AS64" s="69">
        <f t="shared" ca="1" si="65"/>
        <v>0</v>
      </c>
      <c r="AT64" s="69">
        <f t="shared" ca="1" si="65"/>
        <v>0</v>
      </c>
      <c r="AU64" s="69">
        <f t="shared" ca="1" si="65"/>
        <v>0</v>
      </c>
      <c r="AV64" s="69">
        <f t="shared" si="65"/>
        <v>0</v>
      </c>
      <c r="AW64" s="69">
        <f t="shared" ca="1" si="29"/>
        <v>0</v>
      </c>
      <c r="AX64" s="69">
        <f t="shared" ca="1" si="30"/>
        <v>0</v>
      </c>
      <c r="AY64" s="69">
        <f t="shared" ca="1" si="31"/>
        <v>0</v>
      </c>
      <c r="AZ64" s="69">
        <f ca="1">$AO64*IF(Auswahllisten!$G$150,AZ$25+AZ$25*AZ$13*$AN64,AZ$25*(1+AZ$13)^$AN64)</f>
        <v>0</v>
      </c>
      <c r="BA64" s="69">
        <f ca="1">$AO64*IF(Auswahllisten!$G$150,BA$25+BA$25*BA$13*$AN64,BA$25*(1+BA$13)^$AN64)</f>
        <v>0</v>
      </c>
      <c r="BB64" s="69">
        <f ca="1">$AO64*IF(Auswahllisten!$G$150,BB$25+BB$25*BB$13*$AN64,BB$25*(1+BB$13)^$AN64)</f>
        <v>0</v>
      </c>
      <c r="BC64" s="69">
        <f ca="1">$AO64*IF(Auswahllisten!$G$150,BC$25+BC$25*BC$13*$AN64,BC$25*(1+BC$13)^$AN64)</f>
        <v>0</v>
      </c>
      <c r="BD64" s="69">
        <f t="shared" ca="1" si="32"/>
        <v>0</v>
      </c>
      <c r="BE64" s="69">
        <f t="shared" ca="1" si="33"/>
        <v>0</v>
      </c>
      <c r="BF64" s="69">
        <f t="shared" ca="1" si="34"/>
        <v>0</v>
      </c>
      <c r="BG64" s="69">
        <f t="shared" ca="1" si="35"/>
        <v>0</v>
      </c>
      <c r="BI64" s="69">
        <f t="shared" ca="1" si="36"/>
        <v>0</v>
      </c>
      <c r="BJ64" s="69">
        <f t="shared" ca="1" si="66"/>
        <v>0</v>
      </c>
      <c r="BK64" s="69">
        <f t="shared" si="66"/>
        <v>0</v>
      </c>
      <c r="BL64" s="69">
        <f t="shared" ca="1" si="66"/>
        <v>0</v>
      </c>
      <c r="BM64" s="69">
        <f t="shared" ca="1" si="64"/>
        <v>0</v>
      </c>
      <c r="BN64" s="69">
        <f t="shared" ca="1" si="64"/>
        <v>0</v>
      </c>
      <c r="BO64" s="69">
        <f t="shared" si="64"/>
        <v>0</v>
      </c>
      <c r="BP64" s="69">
        <f t="shared" ca="1" si="68"/>
        <v>0</v>
      </c>
      <c r="BQ64" s="69">
        <f t="shared" ca="1" si="38"/>
        <v>0</v>
      </c>
      <c r="BR64" s="69">
        <f t="shared" ca="1" si="69"/>
        <v>0</v>
      </c>
      <c r="BS64" s="69">
        <f ca="1">$AO64*IF(Auswahllisten!$G$150,BS$25+BS$25*BS$13*$AN64,BS$25*(1+BS$13)^$AN64)</f>
        <v>0</v>
      </c>
      <c r="BT64" s="69">
        <f ca="1">$AO64*IF(Auswahllisten!$G$150,BT$25+BT$25*BT$13*$AN64,BT$25*(1+BT$13)^$AN64)</f>
        <v>0</v>
      </c>
      <c r="BU64" s="69">
        <f ca="1">$AO64*IF(Auswahllisten!$G$150,BU$25+BU$25*BU$13*$AN64,BU$25*(1+BU$13)^$AN64)</f>
        <v>0</v>
      </c>
      <c r="BV64" s="69">
        <f ca="1">$AO64*IF(Auswahllisten!$G$150,BV$25+BV$25*BV$13*$AN64,BV$25*(1+BV$13)^$AN64)</f>
        <v>0</v>
      </c>
      <c r="BW64" s="69">
        <f t="shared" ca="1" si="39"/>
        <v>0</v>
      </c>
      <c r="BX64" s="69">
        <f t="shared" ca="1" si="40"/>
        <v>0</v>
      </c>
      <c r="BY64" s="69">
        <f t="shared" ca="1" si="70"/>
        <v>0</v>
      </c>
      <c r="BZ64" s="69">
        <f t="shared" ca="1" si="71"/>
        <v>0</v>
      </c>
    </row>
    <row r="65" spans="1:78">
      <c r="A65" s="305" t="s">
        <v>1215</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IF($C$5=0,0,INDEX(Faktoren!E51:GQ51,1,VLOOKUP($F$5,$L$2:$O$14,4,FALSE)+$C$9*5+VLOOKUP(D65,Auswahllisten!$E$25:$F$29,2,FALSE)))</f>
        <v>0</v>
      </c>
      <c r="G65" s="26">
        <f t="shared" ca="1" si="73"/>
        <v>0</v>
      </c>
      <c r="H65" s="26" cm="1">
        <f t="array" aca="1" ref="H65" ca="1">INDIRECT("Investition_gewählt!"&amp;$I$6&amp;AA65)</f>
        <v>5600</v>
      </c>
      <c r="I65" s="25" cm="1">
        <f t="array" aca="1" ref="I65" ca="1">IF($C$5=0,0,INDEX(Faktoren!E51:GQ51,1,VLOOKUP($F$6,$L$2:$O$14,4,FALSE)+$C$9*5+VLOOKUP(D65,Auswahllisten!$E$25:$F$29,2,FALSE)))</f>
        <v>0</v>
      </c>
      <c r="J65" s="26">
        <f t="shared" ca="1" si="74"/>
        <v>0</v>
      </c>
      <c r="K65" s="26">
        <f t="shared" ca="1" si="10"/>
        <v>0</v>
      </c>
      <c r="L65" s="16" t="b">
        <f t="shared" ca="1" si="72"/>
        <v>0</v>
      </c>
      <c r="M65" s="26">
        <f t="shared" ca="1" si="11"/>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IF($U$5=0,0,INDEX(Faktoren!E51:GQ51,1,VLOOKUP($X$5,$L$2:$O$14,4,FALSE)+$U$9*5+VLOOKUP(O65,Auswahllisten!$E$25:$F$29,2,FALSE)))</f>
        <v>0</v>
      </c>
      <c r="R65" s="26">
        <f t="shared" ca="1" si="12"/>
        <v>0</v>
      </c>
      <c r="S65" s="26" cm="1">
        <f t="array" aca="1" ref="S65" ca="1">INDIRECT("Investition_gewählt!"&amp;$AA$6&amp;AA65)</f>
        <v>5600</v>
      </c>
      <c r="T65" s="16" cm="1">
        <f t="array" aca="1" ref="T65" ca="1">IF($U$5=0,0,INDEX(Faktoren!E51:QG51,1,VLOOKUP($X$6,$L$3:$O$14,4,FALSE)+$U$9*5+VLOOKUP(O65,Auswahllisten!$E$25:$F$29,2,FALSE)))</f>
        <v>0</v>
      </c>
      <c r="U65" s="26">
        <f t="shared" ca="1" si="13"/>
        <v>0</v>
      </c>
      <c r="V65" s="26">
        <f t="shared" ca="1" si="14"/>
        <v>0</v>
      </c>
      <c r="W65" s="16" t="b">
        <f t="shared" ca="1" si="75"/>
        <v>0</v>
      </c>
      <c r="X65" s="26">
        <f t="shared" ca="1" si="16"/>
        <v>0</v>
      </c>
      <c r="Z65" s="1">
        <v>46</v>
      </c>
      <c r="AA65" s="1">
        <v>51</v>
      </c>
      <c r="AB65" s="1">
        <v>-2</v>
      </c>
      <c r="AN65" s="1">
        <v>40</v>
      </c>
      <c r="AO65" s="1">
        <f t="shared" si="67"/>
        <v>0</v>
      </c>
      <c r="AP65" s="69">
        <f t="shared" ca="1" si="65"/>
        <v>0</v>
      </c>
      <c r="AQ65" s="69">
        <f t="shared" ca="1" si="65"/>
        <v>0</v>
      </c>
      <c r="AR65" s="69">
        <f t="shared" ca="1" si="65"/>
        <v>0</v>
      </c>
      <c r="AS65" s="69">
        <f t="shared" ca="1" si="65"/>
        <v>0</v>
      </c>
      <c r="AT65" s="69">
        <f t="shared" ca="1" si="65"/>
        <v>0</v>
      </c>
      <c r="AU65" s="69">
        <f t="shared" ca="1" si="65"/>
        <v>0</v>
      </c>
      <c r="AV65" s="69">
        <f t="shared" ca="1" si="65"/>
        <v>0</v>
      </c>
      <c r="AW65" s="69">
        <f t="shared" ca="1" si="29"/>
        <v>0</v>
      </c>
      <c r="AX65" s="69">
        <f t="shared" ca="1" si="30"/>
        <v>0</v>
      </c>
      <c r="AY65" s="69">
        <f t="shared" ca="1" si="31"/>
        <v>0</v>
      </c>
      <c r="AZ65" s="69">
        <f ca="1">$AO65*IF(Auswahllisten!$G$150,AZ$25+AZ$25*AZ$13*$AN65,AZ$25*(1+AZ$13)^$AN65)</f>
        <v>0</v>
      </c>
      <c r="BA65" s="69">
        <f ca="1">$AO65*IF(Auswahllisten!$G$150,BA$25+BA$25*BA$13*$AN65,BA$25*(1+BA$13)^$AN65)</f>
        <v>0</v>
      </c>
      <c r="BB65" s="69">
        <f ca="1">$AO65*IF(Auswahllisten!$G$150,BB$25+BB$25*BB$13*$AN65,BB$25*(1+BB$13)^$AN65)</f>
        <v>0</v>
      </c>
      <c r="BC65" s="69">
        <f ca="1">$AO65*IF(Auswahllisten!$G$150,BC$25+BC$25*BC$13*$AN65,BC$25*(1+BC$13)^$AN65)</f>
        <v>0</v>
      </c>
      <c r="BD65" s="69">
        <f t="shared" ca="1" si="32"/>
        <v>0</v>
      </c>
      <c r="BE65" s="69">
        <f t="shared" ca="1" si="33"/>
        <v>0</v>
      </c>
      <c r="BF65" s="69">
        <f t="shared" ca="1" si="34"/>
        <v>0</v>
      </c>
      <c r="BG65" s="69">
        <f t="shared" ca="1" si="35"/>
        <v>0</v>
      </c>
      <c r="BI65" s="69">
        <f t="shared" ca="1" si="36"/>
        <v>0</v>
      </c>
      <c r="BJ65" s="69">
        <f t="shared" ca="1" si="66"/>
        <v>0</v>
      </c>
      <c r="BK65" s="69">
        <f t="shared" si="66"/>
        <v>0</v>
      </c>
      <c r="BL65" s="69">
        <f t="shared" ca="1" si="66"/>
        <v>0</v>
      </c>
      <c r="BM65" s="69">
        <f t="shared" ca="1" si="64"/>
        <v>0</v>
      </c>
      <c r="BN65" s="69">
        <f t="shared" ca="1" si="64"/>
        <v>0</v>
      </c>
      <c r="BO65" s="69">
        <f t="shared" si="64"/>
        <v>0</v>
      </c>
      <c r="BP65" s="69">
        <f t="shared" ca="1" si="68"/>
        <v>0</v>
      </c>
      <c r="BQ65" s="69">
        <f t="shared" ca="1" si="38"/>
        <v>0</v>
      </c>
      <c r="BR65" s="69">
        <f t="shared" ca="1" si="69"/>
        <v>0</v>
      </c>
      <c r="BS65" s="69">
        <f ca="1">$AO65*IF(Auswahllisten!$G$150,BS$25+BS$25*BS$13*$AN65,BS$25*(1+BS$13)^$AN65)</f>
        <v>0</v>
      </c>
      <c r="BT65" s="69">
        <f ca="1">$AO65*IF(Auswahllisten!$G$150,BT$25+BT$25*BT$13*$AN65,BT$25*(1+BT$13)^$AN65)</f>
        <v>0</v>
      </c>
      <c r="BU65" s="69">
        <f ca="1">$AO65*IF(Auswahllisten!$G$150,BU$25+BU$25*BU$13*$AN65,BU$25*(1+BU$13)^$AN65)</f>
        <v>0</v>
      </c>
      <c r="BV65" s="69">
        <f ca="1">$AO65*IF(Auswahllisten!$G$150,BV$25+BV$25*BV$13*$AN65,BV$25*(1+BV$13)^$AN65)</f>
        <v>0</v>
      </c>
      <c r="BW65" s="69">
        <f t="shared" ca="1" si="39"/>
        <v>0</v>
      </c>
      <c r="BX65" s="69">
        <f t="shared" ca="1" si="40"/>
        <v>0</v>
      </c>
      <c r="BY65" s="69">
        <f t="shared" ca="1" si="70"/>
        <v>0</v>
      </c>
      <c r="BZ65" s="69">
        <f t="shared" ca="1" si="71"/>
        <v>0</v>
      </c>
    </row>
    <row r="66" spans="1:78">
      <c r="A66" s="305" t="s">
        <v>1215</v>
      </c>
      <c r="B66" s="126" t="s">
        <v>303</v>
      </c>
      <c r="C66" s="126" t="s">
        <v>966</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IF($C$5=0,0,INDEX(Faktoren!E52:GQ52,1,VLOOKUP($F$5,$L$2:$O$14,4,FALSE)+$C$9*5+VLOOKUP(D66,Auswahllisten!$E$25:$F$29,2,FALSE)))</f>
        <v>0</v>
      </c>
      <c r="G66" s="26">
        <f t="shared" ca="1" si="73"/>
        <v>0</v>
      </c>
      <c r="H66" s="26" cm="1">
        <f t="array" aca="1" ref="H66" ca="1">INDIRECT("Investition_gewählt!"&amp;$I$6&amp;AA66)</f>
        <v>8700</v>
      </c>
      <c r="I66" s="25" cm="1">
        <f t="array" aca="1" ref="I66" ca="1">IF($C$5=0,0,INDEX(Faktoren!E52:GQ52,1,VLOOKUP($F$6,$L$2:$O$14,4,FALSE)+$C$9*5+VLOOKUP(D66,Auswahllisten!$E$25:$F$29,2,FALSE)))</f>
        <v>0</v>
      </c>
      <c r="J66" s="26">
        <f t="shared" ca="1" si="74"/>
        <v>0</v>
      </c>
      <c r="K66" s="26">
        <f t="shared" ca="1" si="10"/>
        <v>0</v>
      </c>
      <c r="L66" s="16" t="b">
        <f t="shared" ca="1" si="72"/>
        <v>0</v>
      </c>
      <c r="M66" s="26">
        <f t="shared" ca="1" si="11"/>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IF($U$5=0,0,INDEX(Faktoren!E52:GQ52,1,VLOOKUP($X$5,$L$2:$O$14,4,FALSE)+$U$9*5+VLOOKUP(O66,Auswahllisten!$E$25:$F$29,2,FALSE)))</f>
        <v>0</v>
      </c>
      <c r="R66" s="26">
        <f t="shared" ca="1" si="12"/>
        <v>0</v>
      </c>
      <c r="S66" s="26" cm="1">
        <f t="array" aca="1" ref="S66" ca="1">INDIRECT("Investition_gewählt!"&amp;$AA$6&amp;AA66)</f>
        <v>8700</v>
      </c>
      <c r="T66" s="16" cm="1">
        <f t="array" aca="1" ref="T66" ca="1">IF($U$5=0,0,INDEX(Faktoren!E52:QG52,1,VLOOKUP($X$6,$L$3:$O$14,4,FALSE)+$U$9*5+VLOOKUP(O66,Auswahllisten!$E$25:$F$29,2,FALSE)))</f>
        <v>0</v>
      </c>
      <c r="U66" s="26">
        <f t="shared" ca="1" si="13"/>
        <v>0</v>
      </c>
      <c r="V66" s="26">
        <f ca="1">IF($U$5=0,0,R66+(U66-R66)*($U$6-$X$5)/($X$6-$X$5))</f>
        <v>0</v>
      </c>
      <c r="W66" s="16" t="b">
        <f t="shared" ca="1" si="75"/>
        <v>0</v>
      </c>
      <c r="X66" s="26">
        <f t="shared" ca="1" si="16"/>
        <v>0</v>
      </c>
      <c r="Z66" s="1">
        <v>47</v>
      </c>
      <c r="AA66" s="1">
        <v>52</v>
      </c>
      <c r="AB66" s="1">
        <v>-2</v>
      </c>
      <c r="AN66" s="1">
        <v>41</v>
      </c>
      <c r="AO66" s="1">
        <f t="shared" si="67"/>
        <v>0</v>
      </c>
      <c r="AP66" s="69">
        <f t="shared" ref="AP66:AV75" ca="1" si="76">IFERROR($AO66*IF(MOD($AN66,AP$20)=0,AP$25,0)*(1+$AS$10)^$AN66*IF($AS$3=$AN66,0,1),0)</f>
        <v>0</v>
      </c>
      <c r="AQ66" s="69">
        <f t="shared" ca="1" si="76"/>
        <v>0</v>
      </c>
      <c r="AR66" s="69">
        <f t="shared" si="76"/>
        <v>0</v>
      </c>
      <c r="AS66" s="69">
        <f t="shared" ca="1" si="76"/>
        <v>0</v>
      </c>
      <c r="AT66" s="69">
        <f t="shared" ca="1" si="76"/>
        <v>0</v>
      </c>
      <c r="AU66" s="69">
        <f t="shared" ca="1" si="76"/>
        <v>0</v>
      </c>
      <c r="AV66" s="69">
        <f t="shared" si="76"/>
        <v>0</v>
      </c>
      <c r="AW66" s="69">
        <f t="shared" ca="1" si="29"/>
        <v>0</v>
      </c>
      <c r="AX66" s="69">
        <f t="shared" ca="1" si="30"/>
        <v>0</v>
      </c>
      <c r="AY66" s="69">
        <f t="shared" ca="1" si="31"/>
        <v>0</v>
      </c>
      <c r="AZ66" s="69">
        <f ca="1">$AO66*IF(Auswahllisten!$G$150,AZ$25+AZ$25*AZ$13*$AN66,AZ$25*(1+AZ$13)^$AN66)</f>
        <v>0</v>
      </c>
      <c r="BA66" s="69">
        <f ca="1">$AO66*IF(Auswahllisten!$G$150,BA$25+BA$25*BA$13*$AN66,BA$25*(1+BA$13)^$AN66)</f>
        <v>0</v>
      </c>
      <c r="BB66" s="69">
        <f ca="1">$AO66*IF(Auswahllisten!$G$150,BB$25+BB$25*BB$13*$AN66,BB$25*(1+BB$13)^$AN66)</f>
        <v>0</v>
      </c>
      <c r="BC66" s="69">
        <f ca="1">$AO66*IF(Auswahllisten!$G$150,BC$25+BC$25*BC$13*$AN66,BC$25*(1+BC$13)^$AN66)</f>
        <v>0</v>
      </c>
      <c r="BD66" s="69">
        <f t="shared" ca="1" si="32"/>
        <v>0</v>
      </c>
      <c r="BE66" s="69">
        <f t="shared" ca="1" si="33"/>
        <v>0</v>
      </c>
      <c r="BF66" s="69">
        <f t="shared" ca="1" si="34"/>
        <v>0</v>
      </c>
      <c r="BG66" s="69">
        <f t="shared" ca="1" si="35"/>
        <v>0</v>
      </c>
      <c r="BI66" s="69">
        <f t="shared" ca="1" si="36"/>
        <v>0</v>
      </c>
      <c r="BJ66" s="69">
        <f t="shared" ca="1" si="66"/>
        <v>0</v>
      </c>
      <c r="BK66" s="69">
        <f t="shared" si="66"/>
        <v>0</v>
      </c>
      <c r="BL66" s="69">
        <f t="shared" ca="1" si="66"/>
        <v>0</v>
      </c>
      <c r="BM66" s="69">
        <f t="shared" ca="1" si="64"/>
        <v>0</v>
      </c>
      <c r="BN66" s="69">
        <f t="shared" ca="1" si="64"/>
        <v>0</v>
      </c>
      <c r="BO66" s="69">
        <f t="shared" si="64"/>
        <v>0</v>
      </c>
      <c r="BP66" s="69">
        <f t="shared" ca="1" si="68"/>
        <v>0</v>
      </c>
      <c r="BQ66" s="69">
        <f t="shared" ca="1" si="38"/>
        <v>0</v>
      </c>
      <c r="BR66" s="69">
        <f t="shared" ca="1" si="69"/>
        <v>0</v>
      </c>
      <c r="BS66" s="69">
        <f ca="1">$AO66*IF(Auswahllisten!$G$150,BS$25+BS$25*BS$13*$AN66,BS$25*(1+BS$13)^$AN66)</f>
        <v>0</v>
      </c>
      <c r="BT66" s="69">
        <f ca="1">$AO66*IF(Auswahllisten!$G$150,BT$25+BT$25*BT$13*$AN66,BT$25*(1+BT$13)^$AN66)</f>
        <v>0</v>
      </c>
      <c r="BU66" s="69">
        <f ca="1">$AO66*IF(Auswahllisten!$G$150,BU$25+BU$25*BU$13*$AN66,BU$25*(1+BU$13)^$AN66)</f>
        <v>0</v>
      </c>
      <c r="BV66" s="69">
        <f ca="1">$AO66*IF(Auswahllisten!$G$150,BV$25+BV$25*BV$13*$AN66,BV$25*(1+BV$13)^$AN66)</f>
        <v>0</v>
      </c>
      <c r="BW66" s="69">
        <f t="shared" ca="1" si="39"/>
        <v>0</v>
      </c>
      <c r="BX66" s="69">
        <f t="shared" ca="1" si="40"/>
        <v>0</v>
      </c>
      <c r="BY66" s="69">
        <f t="shared" ca="1" si="70"/>
        <v>0</v>
      </c>
      <c r="BZ66" s="69">
        <f t="shared" ca="1" si="71"/>
        <v>0</v>
      </c>
    </row>
    <row r="67" spans="1:78">
      <c r="A67" s="305" t="s">
        <v>1244</v>
      </c>
      <c r="B67" s="126" t="s">
        <v>1245</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IF($C$5=0,0,INDEX(Faktoren!E53:GQ53,1,VLOOKUP($F$5,$L$2:$O$14,4,FALSE)+$C$9*5+VLOOKUP(D67,Auswahllisten!$E$25:$F$29,2,FALSE)))</f>
        <v>0</v>
      </c>
      <c r="G67" s="26">
        <f t="shared" ca="1" si="73"/>
        <v>0</v>
      </c>
      <c r="H67" s="26" cm="1">
        <f t="array" aca="1" ref="H67" ca="1">INDIRECT("Investition_gewählt!"&amp;$I$6&amp;AA67)</f>
        <v>0</v>
      </c>
      <c r="I67" s="25" cm="1">
        <f t="array" aca="1" ref="I67" ca="1">IF($C$5=0,0,INDEX(Faktoren!E53:GQ53,1,VLOOKUP($F$6,$L$2:$O$14,4,FALSE)+$C$9*5+VLOOKUP(D67,Auswahllisten!$E$25:$F$29,2,FALSE)))</f>
        <v>0</v>
      </c>
      <c r="J67" s="26">
        <f t="shared" ca="1" si="74"/>
        <v>0</v>
      </c>
      <c r="K67" s="26">
        <f t="shared" ca="1" si="10"/>
        <v>0</v>
      </c>
      <c r="L67" s="16" t="b">
        <f t="shared" ca="1" si="72"/>
        <v>0</v>
      </c>
      <c r="M67" s="26">
        <f t="shared" ca="1" si="11"/>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IF($U$5=0,0,INDEX(Faktoren!E53:GQ53,1,VLOOKUP($X$5,$L$2:$O$14,4,FALSE)+$U$9*5+VLOOKUP(O67,Auswahllisten!$E$25:$F$29,2,FALSE)))</f>
        <v>0</v>
      </c>
      <c r="R67" s="26">
        <f t="shared" ca="1" si="12"/>
        <v>0</v>
      </c>
      <c r="S67" s="26" cm="1">
        <f t="array" aca="1" ref="S67" ca="1">INDIRECT("Investition_gewählt!"&amp;$AA$6&amp;AA67)</f>
        <v>0</v>
      </c>
      <c r="T67" s="16" cm="1">
        <f t="array" aca="1" ref="T67" ca="1">IF($U$5=0,0,INDEX(Faktoren!E53:QG53,1,VLOOKUP($X$6,$L$3:$O$14,4,FALSE)+$U$9*5+VLOOKUP(O67,Auswahllisten!$E$25:$F$29,2,FALSE)))</f>
        <v>0</v>
      </c>
      <c r="U67" s="26">
        <f t="shared" ca="1" si="13"/>
        <v>0</v>
      </c>
      <c r="V67" s="26">
        <f t="shared" ca="1" si="14"/>
        <v>0</v>
      </c>
      <c r="W67" s="16" t="b">
        <f t="shared" ca="1" si="75"/>
        <v>0</v>
      </c>
      <c r="X67" s="26">
        <f t="shared" ca="1" si="16"/>
        <v>0</v>
      </c>
      <c r="Z67" s="1">
        <v>51</v>
      </c>
      <c r="AA67" s="1">
        <v>53</v>
      </c>
      <c r="AB67" s="1">
        <v>-2</v>
      </c>
      <c r="AN67" s="1">
        <v>42</v>
      </c>
      <c r="AO67" s="1">
        <f t="shared" si="67"/>
        <v>0</v>
      </c>
      <c r="AP67" s="69">
        <f t="shared" ca="1" si="76"/>
        <v>0</v>
      </c>
      <c r="AQ67" s="69">
        <f t="shared" ca="1" si="76"/>
        <v>0</v>
      </c>
      <c r="AR67" s="69">
        <f t="shared" si="76"/>
        <v>0</v>
      </c>
      <c r="AS67" s="69">
        <f t="shared" ca="1" si="76"/>
        <v>0</v>
      </c>
      <c r="AT67" s="69">
        <f t="shared" ca="1" si="76"/>
        <v>0</v>
      </c>
      <c r="AU67" s="69">
        <f t="shared" ca="1" si="76"/>
        <v>0</v>
      </c>
      <c r="AV67" s="69">
        <f t="shared" si="76"/>
        <v>0</v>
      </c>
      <c r="AW67" s="69">
        <f t="shared" ca="1" si="29"/>
        <v>0</v>
      </c>
      <c r="AX67" s="69">
        <f t="shared" ca="1" si="30"/>
        <v>0</v>
      </c>
      <c r="AY67" s="69">
        <f t="shared" ca="1" si="31"/>
        <v>0</v>
      </c>
      <c r="AZ67" s="69">
        <f ca="1">$AO67*IF(Auswahllisten!$G$150,AZ$25+AZ$25*AZ$13*$AN67,AZ$25*(1+AZ$13)^$AN67)</f>
        <v>0</v>
      </c>
      <c r="BA67" s="69">
        <f ca="1">$AO67*IF(Auswahllisten!$G$150,BA$25+BA$25*BA$13*$AN67,BA$25*(1+BA$13)^$AN67)</f>
        <v>0</v>
      </c>
      <c r="BB67" s="69">
        <f ca="1">$AO67*IF(Auswahllisten!$G$150,BB$25+BB$25*BB$13*$AN67,BB$25*(1+BB$13)^$AN67)</f>
        <v>0</v>
      </c>
      <c r="BC67" s="69">
        <f ca="1">$AO67*IF(Auswahllisten!$G$150,BC$25+BC$25*BC$13*$AN67,BC$25*(1+BC$13)^$AN67)</f>
        <v>0</v>
      </c>
      <c r="BD67" s="69">
        <f t="shared" ca="1" si="32"/>
        <v>0</v>
      </c>
      <c r="BE67" s="69">
        <f t="shared" ca="1" si="33"/>
        <v>0</v>
      </c>
      <c r="BF67" s="69">
        <f t="shared" ca="1" si="34"/>
        <v>0</v>
      </c>
      <c r="BG67" s="69">
        <f t="shared" ca="1" si="35"/>
        <v>0</v>
      </c>
      <c r="BI67" s="69">
        <f t="shared" ca="1" si="36"/>
        <v>0</v>
      </c>
      <c r="BJ67" s="69">
        <f t="shared" ca="1" si="66"/>
        <v>0</v>
      </c>
      <c r="BK67" s="69">
        <f t="shared" si="66"/>
        <v>0</v>
      </c>
      <c r="BL67" s="69">
        <f t="shared" ca="1" si="66"/>
        <v>0</v>
      </c>
      <c r="BM67" s="69">
        <f t="shared" ca="1" si="64"/>
        <v>0</v>
      </c>
      <c r="BN67" s="69">
        <f t="shared" ca="1" si="64"/>
        <v>0</v>
      </c>
      <c r="BO67" s="69">
        <f t="shared" si="64"/>
        <v>0</v>
      </c>
      <c r="BP67" s="69">
        <f t="shared" ca="1" si="68"/>
        <v>0</v>
      </c>
      <c r="BQ67" s="69">
        <f t="shared" ca="1" si="38"/>
        <v>0</v>
      </c>
      <c r="BR67" s="69">
        <f t="shared" ca="1" si="69"/>
        <v>0</v>
      </c>
      <c r="BS67" s="69">
        <f ca="1">$AO67*IF(Auswahllisten!$G$150,BS$25+BS$25*BS$13*$AN67,BS$25*(1+BS$13)^$AN67)</f>
        <v>0</v>
      </c>
      <c r="BT67" s="69">
        <f ca="1">$AO67*IF(Auswahllisten!$G$150,BT$25+BT$25*BT$13*$AN67,BT$25*(1+BT$13)^$AN67)</f>
        <v>0</v>
      </c>
      <c r="BU67" s="69">
        <f ca="1">$AO67*IF(Auswahllisten!$G$150,BU$25+BU$25*BU$13*$AN67,BU$25*(1+BU$13)^$AN67)</f>
        <v>0</v>
      </c>
      <c r="BV67" s="69">
        <f ca="1">$AO67*IF(Auswahllisten!$G$150,BV$25+BV$25*BV$13*$AN67,BV$25*(1+BV$13)^$AN67)</f>
        <v>0</v>
      </c>
      <c r="BW67" s="69">
        <f t="shared" ca="1" si="39"/>
        <v>0</v>
      </c>
      <c r="BX67" s="69">
        <f t="shared" ca="1" si="40"/>
        <v>0</v>
      </c>
      <c r="BY67" s="69">
        <f t="shared" ca="1" si="70"/>
        <v>0</v>
      </c>
      <c r="BZ67" s="69">
        <f t="shared" ca="1" si="71"/>
        <v>0</v>
      </c>
    </row>
    <row r="68" spans="1:78">
      <c r="A68" s="305" t="s">
        <v>1244</v>
      </c>
      <c r="B68" s="126" t="s">
        <v>1245</v>
      </c>
      <c r="C68" s="126" t="s">
        <v>967</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IF($C$5=0,0,INDEX(Faktoren!E54:GQ54,1,VLOOKUP($F$5,$L$2:$O$14,4,FALSE)+$C$9*5+VLOOKUP(D68,Auswahllisten!$E$25:$F$29,2,FALSE)))</f>
        <v>0</v>
      </c>
      <c r="G68" s="26">
        <f t="shared" ca="1" si="73"/>
        <v>0</v>
      </c>
      <c r="H68" s="26" cm="1">
        <f t="array" aca="1" ref="H68" ca="1">INDIRECT("Investition_gewählt!"&amp;$I$6&amp;AA68)</f>
        <v>0</v>
      </c>
      <c r="I68" s="25" cm="1">
        <f t="array" aca="1" ref="I68" ca="1">IF($C$5=0,0,INDEX(Faktoren!E54:GQ54,1,VLOOKUP($F$6,$L$2:$O$14,4,FALSE)+$C$9*5+VLOOKUP(D68,Auswahllisten!$E$25:$F$29,2,FALSE)))</f>
        <v>0</v>
      </c>
      <c r="J68" s="26">
        <f t="shared" ca="1" si="74"/>
        <v>0</v>
      </c>
      <c r="K68" s="26">
        <f t="shared" ca="1" si="10"/>
        <v>0</v>
      </c>
      <c r="L68" s="16" t="b">
        <f t="shared" ca="1" si="72"/>
        <v>0</v>
      </c>
      <c r="M68" s="26">
        <f t="shared" ca="1" si="11"/>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IF($U$5=0,0,INDEX(Faktoren!E54:GQ54,1,VLOOKUP($X$5,$L$2:$O$14,4,FALSE)+$U$9*5+VLOOKUP(O68,Auswahllisten!$E$25:$F$29,2,FALSE)))</f>
        <v>0</v>
      </c>
      <c r="R68" s="26">
        <f t="shared" ca="1" si="12"/>
        <v>0</v>
      </c>
      <c r="S68" s="26" cm="1">
        <f t="array" aca="1" ref="S68" ca="1">INDIRECT("Investition_gewählt!"&amp;$AA$6&amp;AA68)</f>
        <v>0</v>
      </c>
      <c r="T68" s="16" cm="1">
        <f t="array" aca="1" ref="T68" ca="1">IF($U$5=0,0,INDEX(Faktoren!E54:QG54,1,VLOOKUP($X$6,$L$3:$O$14,4,FALSE)+$U$9*5+VLOOKUP(O68,Auswahllisten!$E$25:$F$29,2,FALSE)))</f>
        <v>0</v>
      </c>
      <c r="U68" s="26">
        <f t="shared" ca="1" si="13"/>
        <v>0</v>
      </c>
      <c r="V68" s="26">
        <f t="shared" ca="1" si="14"/>
        <v>0</v>
      </c>
      <c r="W68" s="16" t="b">
        <f t="shared" ca="1" si="75"/>
        <v>0</v>
      </c>
      <c r="X68" s="26">
        <f t="shared" ca="1" si="16"/>
        <v>0</v>
      </c>
      <c r="Z68" s="1">
        <v>49</v>
      </c>
      <c r="AA68" s="1">
        <v>54</v>
      </c>
      <c r="AB68" s="1">
        <v>-2</v>
      </c>
      <c r="AN68" s="1">
        <v>43</v>
      </c>
      <c r="AO68" s="1">
        <f t="shared" si="67"/>
        <v>0</v>
      </c>
      <c r="AP68" s="69">
        <f t="shared" ca="1" si="76"/>
        <v>0</v>
      </c>
      <c r="AQ68" s="69">
        <f t="shared" ca="1" si="76"/>
        <v>0</v>
      </c>
      <c r="AR68" s="69">
        <f t="shared" si="76"/>
        <v>0</v>
      </c>
      <c r="AS68" s="69">
        <f t="shared" ca="1" si="76"/>
        <v>0</v>
      </c>
      <c r="AT68" s="69">
        <f t="shared" ca="1" si="76"/>
        <v>0</v>
      </c>
      <c r="AU68" s="69">
        <f t="shared" ca="1" si="76"/>
        <v>0</v>
      </c>
      <c r="AV68" s="69">
        <f t="shared" si="76"/>
        <v>0</v>
      </c>
      <c r="AW68" s="69">
        <f t="shared" ca="1" si="29"/>
        <v>0</v>
      </c>
      <c r="AX68" s="69">
        <f t="shared" ca="1" si="30"/>
        <v>0</v>
      </c>
      <c r="AY68" s="69">
        <f t="shared" ca="1" si="31"/>
        <v>0</v>
      </c>
      <c r="AZ68" s="69">
        <f ca="1">$AO68*IF(Auswahllisten!$G$150,AZ$25+AZ$25*AZ$13*$AN68,AZ$25*(1+AZ$13)^$AN68)</f>
        <v>0</v>
      </c>
      <c r="BA68" s="69">
        <f ca="1">$AO68*IF(Auswahllisten!$G$150,BA$25+BA$25*BA$13*$AN68,BA$25*(1+BA$13)^$AN68)</f>
        <v>0</v>
      </c>
      <c r="BB68" s="69">
        <f ca="1">$AO68*IF(Auswahllisten!$G$150,BB$25+BB$25*BB$13*$AN68,BB$25*(1+BB$13)^$AN68)</f>
        <v>0</v>
      </c>
      <c r="BC68" s="69">
        <f ca="1">$AO68*IF(Auswahllisten!$G$150,BC$25+BC$25*BC$13*$AN68,BC$25*(1+BC$13)^$AN68)</f>
        <v>0</v>
      </c>
      <c r="BD68" s="69">
        <f t="shared" ca="1" si="32"/>
        <v>0</v>
      </c>
      <c r="BE68" s="69">
        <f t="shared" ca="1" si="33"/>
        <v>0</v>
      </c>
      <c r="BF68" s="69">
        <f t="shared" ca="1" si="34"/>
        <v>0</v>
      </c>
      <c r="BG68" s="69">
        <f t="shared" ca="1" si="35"/>
        <v>0</v>
      </c>
      <c r="BI68" s="69">
        <f t="shared" ca="1" si="36"/>
        <v>0</v>
      </c>
      <c r="BJ68" s="69">
        <f t="shared" ca="1" si="66"/>
        <v>0</v>
      </c>
      <c r="BK68" s="69">
        <f t="shared" si="66"/>
        <v>0</v>
      </c>
      <c r="BL68" s="69">
        <f t="shared" ca="1" si="66"/>
        <v>0</v>
      </c>
      <c r="BM68" s="69">
        <f t="shared" ca="1" si="64"/>
        <v>0</v>
      </c>
      <c r="BN68" s="69">
        <f t="shared" ca="1" si="64"/>
        <v>0</v>
      </c>
      <c r="BO68" s="69">
        <f t="shared" si="64"/>
        <v>0</v>
      </c>
      <c r="BP68" s="69">
        <f t="shared" ca="1" si="68"/>
        <v>0</v>
      </c>
      <c r="BQ68" s="69">
        <f t="shared" ca="1" si="38"/>
        <v>0</v>
      </c>
      <c r="BR68" s="69">
        <f t="shared" ca="1" si="69"/>
        <v>0</v>
      </c>
      <c r="BS68" s="69">
        <f ca="1">$AO68*IF(Auswahllisten!$G$150,BS$25+BS$25*BS$13*$AN68,BS$25*(1+BS$13)^$AN68)</f>
        <v>0</v>
      </c>
      <c r="BT68" s="69">
        <f ca="1">$AO68*IF(Auswahllisten!$G$150,BT$25+BT$25*BT$13*$AN68,BT$25*(1+BT$13)^$AN68)</f>
        <v>0</v>
      </c>
      <c r="BU68" s="69">
        <f ca="1">$AO68*IF(Auswahllisten!$G$150,BU$25+BU$25*BU$13*$AN68,BU$25*(1+BU$13)^$AN68)</f>
        <v>0</v>
      </c>
      <c r="BV68" s="69">
        <f ca="1">$AO68*IF(Auswahllisten!$G$150,BV$25+BV$25*BV$13*$AN68,BV$25*(1+BV$13)^$AN68)</f>
        <v>0</v>
      </c>
      <c r="BW68" s="69">
        <f t="shared" ca="1" si="39"/>
        <v>0</v>
      </c>
      <c r="BX68" s="69">
        <f t="shared" ca="1" si="40"/>
        <v>0</v>
      </c>
      <c r="BY68" s="69">
        <f t="shared" ca="1" si="70"/>
        <v>0</v>
      </c>
      <c r="BZ68" s="69">
        <f t="shared" ca="1" si="71"/>
        <v>0</v>
      </c>
    </row>
    <row r="69" spans="1:78">
      <c r="A69" s="307" t="s">
        <v>1244</v>
      </c>
      <c r="B69" s="297" t="s">
        <v>1245</v>
      </c>
      <c r="C69" s="134" t="s">
        <v>359</v>
      </c>
      <c r="D69" s="163" t="str" cm="1">
        <f t="array" aca="1" ref="D69" ca="1">INDIRECT("Vergleich!"&amp;$G$2&amp;Z69)</f>
        <v>mittel</v>
      </c>
      <c r="E69" s="163" cm="1">
        <f t="array" aca="1" ref="E69" ca="1">INDIRECT("Investition_gewählt!"&amp;$I$5&amp;AA69)</f>
        <v>4500</v>
      </c>
      <c r="F69" s="61" cm="1">
        <f t="array" aca="1" ref="F69" ca="1">IF($C$5=0,0,INDEX(Faktoren!E55:GQ55,1,VLOOKUP($F$5,$L$2:$O$14,4,FALSE)+$C$9*5+VLOOKUP(D69,Auswahllisten!$E$25:$F$29,2,FALSE)))</f>
        <v>0</v>
      </c>
      <c r="G69" s="296">
        <f t="shared" ca="1" si="73"/>
        <v>0</v>
      </c>
      <c r="H69" s="296" cm="1">
        <f t="array" aca="1" ref="H69" ca="1">INDIRECT("Investition_gewählt!"&amp;$I$6&amp;AA69)</f>
        <v>4500</v>
      </c>
      <c r="I69" s="61" cm="1">
        <f t="array" aca="1" ref="I69" ca="1">IF($C$5=0,0,INDEX(Faktoren!E55:GQ55,1,VLOOKUP($F$6,$L$2:$O$14,4,FALSE)+$C$9*5+VLOOKUP(D69,Auswahllisten!$E$25:$F$29,2,FALSE)))</f>
        <v>0</v>
      </c>
      <c r="J69" s="163">
        <f t="shared" ca="1" si="74"/>
        <v>0</v>
      </c>
      <c r="K69" s="163">
        <f t="shared" ca="1" si="10"/>
        <v>0</v>
      </c>
      <c r="L69" s="93" t="b">
        <f t="shared" ca="1" si="72"/>
        <v>0</v>
      </c>
      <c r="M69" s="163">
        <f t="shared" ca="1" si="11"/>
        <v>0</v>
      </c>
      <c r="O69" s="93" t="str" cm="1">
        <f t="array" aca="1" ref="O69" ca="1">INDIRECT("Vergleich!"&amp;$Y$2&amp;Z69)</f>
        <v>gering</v>
      </c>
      <c r="P69" s="163" cm="1">
        <f t="array" aca="1" ref="P69" ca="1">INDIRECT("Investition_gewählt!"&amp;$AA$5&amp;AA69)</f>
        <v>4500</v>
      </c>
      <c r="Q69" s="93" cm="1">
        <f t="array" aca="1" ref="Q69" ca="1">IF($U$5=0,0,INDEX(Faktoren!E55:GQ55,1,VLOOKUP($X$5,$L$2:$O$14,4,FALSE)+$U$9*5+VLOOKUP(O69,Auswahllisten!$E$25:$F$29,2,FALSE)))</f>
        <v>0</v>
      </c>
      <c r="R69" s="163">
        <f t="shared" ca="1" si="12"/>
        <v>0</v>
      </c>
      <c r="S69" s="163" cm="1">
        <f t="array" aca="1" ref="S69" ca="1">INDIRECT("Investition_gewählt!"&amp;$AA$6&amp;AA69)</f>
        <v>4500</v>
      </c>
      <c r="T69" s="93" cm="1">
        <f t="array" aca="1" ref="T69" ca="1">IF($U$5=0,0,INDEX(Faktoren!E55:QG55,1,VLOOKUP($X$6,$L$3:$O$14,4,FALSE)+$U$9*5+VLOOKUP(O69,Auswahllisten!$E$25:$F$29,2,FALSE)))</f>
        <v>0</v>
      </c>
      <c r="U69" s="163">
        <f t="shared" ca="1" si="13"/>
        <v>0</v>
      </c>
      <c r="V69" s="163">
        <f t="shared" ca="1" si="14"/>
        <v>0</v>
      </c>
      <c r="W69" s="93" t="b">
        <f t="shared" ca="1" si="75"/>
        <v>0</v>
      </c>
      <c r="X69" s="163">
        <f t="shared" ca="1" si="16"/>
        <v>0</v>
      </c>
      <c r="Z69" s="1">
        <v>50</v>
      </c>
      <c r="AA69" s="1">
        <v>55</v>
      </c>
      <c r="AB69" s="1">
        <v>-2</v>
      </c>
      <c r="AN69" s="1">
        <v>44</v>
      </c>
      <c r="AO69" s="1">
        <f t="shared" si="67"/>
        <v>0</v>
      </c>
      <c r="AP69" s="69">
        <f t="shared" ca="1" si="76"/>
        <v>0</v>
      </c>
      <c r="AQ69" s="69">
        <f t="shared" ca="1" si="76"/>
        <v>0</v>
      </c>
      <c r="AR69" s="69">
        <f t="shared" si="76"/>
        <v>0</v>
      </c>
      <c r="AS69" s="69">
        <f t="shared" ca="1" si="76"/>
        <v>0</v>
      </c>
      <c r="AT69" s="69">
        <f t="shared" ca="1" si="76"/>
        <v>0</v>
      </c>
      <c r="AU69" s="69">
        <f t="shared" ca="1" si="76"/>
        <v>0</v>
      </c>
      <c r="AV69" s="69">
        <f t="shared" si="76"/>
        <v>0</v>
      </c>
      <c r="AW69" s="69">
        <f t="shared" ca="1" si="29"/>
        <v>0</v>
      </c>
      <c r="AX69" s="69">
        <f t="shared" ca="1" si="30"/>
        <v>0</v>
      </c>
      <c r="AY69" s="69">
        <f t="shared" ca="1" si="31"/>
        <v>0</v>
      </c>
      <c r="AZ69" s="69">
        <f ca="1">$AO69*IF(Auswahllisten!$G$150,AZ$25+AZ$25*AZ$13*$AN69,AZ$25*(1+AZ$13)^$AN69)</f>
        <v>0</v>
      </c>
      <c r="BA69" s="69">
        <f ca="1">$AO69*IF(Auswahllisten!$G$150,BA$25+BA$25*BA$13*$AN69,BA$25*(1+BA$13)^$AN69)</f>
        <v>0</v>
      </c>
      <c r="BB69" s="69">
        <f ca="1">$AO69*IF(Auswahllisten!$G$150,BB$25+BB$25*BB$13*$AN69,BB$25*(1+BB$13)^$AN69)</f>
        <v>0</v>
      </c>
      <c r="BC69" s="69">
        <f ca="1">$AO69*IF(Auswahllisten!$G$150,BC$25+BC$25*BC$13*$AN69,BC$25*(1+BC$13)^$AN69)</f>
        <v>0</v>
      </c>
      <c r="BD69" s="69">
        <f t="shared" ca="1" si="32"/>
        <v>0</v>
      </c>
      <c r="BE69" s="69">
        <f t="shared" ca="1" si="33"/>
        <v>0</v>
      </c>
      <c r="BF69" s="69">
        <f t="shared" ca="1" si="34"/>
        <v>0</v>
      </c>
      <c r="BG69" s="69">
        <f t="shared" ca="1" si="35"/>
        <v>0</v>
      </c>
      <c r="BI69" s="69">
        <f t="shared" ca="1" si="36"/>
        <v>0</v>
      </c>
      <c r="BJ69" s="69">
        <f t="shared" ca="1" si="66"/>
        <v>0</v>
      </c>
      <c r="BK69" s="69">
        <f t="shared" si="66"/>
        <v>0</v>
      </c>
      <c r="BL69" s="69">
        <f t="shared" ca="1" si="66"/>
        <v>0</v>
      </c>
      <c r="BM69" s="69">
        <f t="shared" ca="1" si="64"/>
        <v>0</v>
      </c>
      <c r="BN69" s="69">
        <f t="shared" ca="1" si="64"/>
        <v>0</v>
      </c>
      <c r="BO69" s="69">
        <f t="shared" si="64"/>
        <v>0</v>
      </c>
      <c r="BP69" s="69">
        <f t="shared" ca="1" si="68"/>
        <v>0</v>
      </c>
      <c r="BQ69" s="69">
        <f t="shared" ca="1" si="38"/>
        <v>0</v>
      </c>
      <c r="BR69" s="69">
        <f t="shared" ca="1" si="69"/>
        <v>0</v>
      </c>
      <c r="BS69" s="69">
        <f ca="1">$AO69*IF(Auswahllisten!$G$150,BS$25+BS$25*BS$13*$AN69,BS$25*(1+BS$13)^$AN69)</f>
        <v>0</v>
      </c>
      <c r="BT69" s="69">
        <f ca="1">$AO69*IF(Auswahllisten!$G$150,BT$25+BT$25*BT$13*$AN69,BT$25*(1+BT$13)^$AN69)</f>
        <v>0</v>
      </c>
      <c r="BU69" s="69">
        <f ca="1">$AO69*IF(Auswahllisten!$G$150,BU$25+BU$25*BU$13*$AN69,BU$25*(1+BU$13)^$AN69)</f>
        <v>0</v>
      </c>
      <c r="BV69" s="69">
        <f ca="1">$AO69*IF(Auswahllisten!$G$150,BV$25+BV$25*BV$13*$AN69,BV$25*(1+BV$13)^$AN69)</f>
        <v>0</v>
      </c>
      <c r="BW69" s="69">
        <f t="shared" ca="1" si="39"/>
        <v>0</v>
      </c>
      <c r="BX69" s="69">
        <f t="shared" ca="1" si="40"/>
        <v>0</v>
      </c>
      <c r="BY69" s="69">
        <f t="shared" ca="1" si="70"/>
        <v>0</v>
      </c>
      <c r="BZ69" s="69">
        <f t="shared" ca="1" si="71"/>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67"/>
        <v>0</v>
      </c>
      <c r="AP70" s="69">
        <f t="shared" ca="1" si="76"/>
        <v>0</v>
      </c>
      <c r="AQ70" s="69">
        <f t="shared" ca="1" si="76"/>
        <v>0</v>
      </c>
      <c r="AR70" s="69">
        <f t="shared" si="76"/>
        <v>0</v>
      </c>
      <c r="AS70" s="69">
        <f t="shared" ca="1" si="76"/>
        <v>0</v>
      </c>
      <c r="AT70" s="69">
        <f t="shared" ca="1" si="76"/>
        <v>0</v>
      </c>
      <c r="AU70" s="69">
        <f t="shared" ca="1" si="76"/>
        <v>0</v>
      </c>
      <c r="AV70" s="69">
        <f t="shared" si="76"/>
        <v>0</v>
      </c>
      <c r="AW70" s="69">
        <f t="shared" ca="1" si="29"/>
        <v>0</v>
      </c>
      <c r="AX70" s="69">
        <f t="shared" ca="1" si="30"/>
        <v>0</v>
      </c>
      <c r="AY70" s="69">
        <f t="shared" ca="1" si="31"/>
        <v>0</v>
      </c>
      <c r="AZ70" s="69">
        <f ca="1">$AO70*IF(Auswahllisten!$G$150,AZ$25+AZ$25*AZ$13*$AN70,AZ$25*(1+AZ$13)^$AN70)</f>
        <v>0</v>
      </c>
      <c r="BA70" s="69">
        <f ca="1">$AO70*IF(Auswahllisten!$G$150,BA$25+BA$25*BA$13*$AN70,BA$25*(1+BA$13)^$AN70)</f>
        <v>0</v>
      </c>
      <c r="BB70" s="69">
        <f ca="1">$AO70*IF(Auswahllisten!$G$150,BB$25+BB$25*BB$13*$AN70,BB$25*(1+BB$13)^$AN70)</f>
        <v>0</v>
      </c>
      <c r="BC70" s="69">
        <f ca="1">$AO70*IF(Auswahllisten!$G$150,BC$25+BC$25*BC$13*$AN70,BC$25*(1+BC$13)^$AN70)</f>
        <v>0</v>
      </c>
      <c r="BD70" s="69">
        <f t="shared" ca="1" si="32"/>
        <v>0</v>
      </c>
      <c r="BE70" s="69">
        <f t="shared" ca="1" si="33"/>
        <v>0</v>
      </c>
      <c r="BF70" s="69">
        <f t="shared" ca="1" si="34"/>
        <v>0</v>
      </c>
      <c r="BG70" s="69">
        <f t="shared" ca="1" si="35"/>
        <v>0</v>
      </c>
      <c r="BI70" s="69">
        <f t="shared" ca="1" si="36"/>
        <v>0</v>
      </c>
      <c r="BJ70" s="69">
        <f t="shared" ca="1" si="66"/>
        <v>0</v>
      </c>
      <c r="BK70" s="69">
        <f t="shared" si="66"/>
        <v>0</v>
      </c>
      <c r="BL70" s="69">
        <f t="shared" ca="1" si="66"/>
        <v>0</v>
      </c>
      <c r="BM70" s="69">
        <f t="shared" ca="1" si="64"/>
        <v>0</v>
      </c>
      <c r="BN70" s="69">
        <f t="shared" ca="1" si="64"/>
        <v>0</v>
      </c>
      <c r="BO70" s="69">
        <f t="shared" si="64"/>
        <v>0</v>
      </c>
      <c r="BP70" s="69">
        <f t="shared" ca="1" si="68"/>
        <v>0</v>
      </c>
      <c r="BQ70" s="69">
        <f t="shared" ca="1" si="38"/>
        <v>0</v>
      </c>
      <c r="BR70" s="69">
        <f t="shared" ca="1" si="69"/>
        <v>0</v>
      </c>
      <c r="BS70" s="69">
        <f ca="1">$AO70*IF(Auswahllisten!$G$150,BS$25+BS$25*BS$13*$AN70,BS$25*(1+BS$13)^$AN70)</f>
        <v>0</v>
      </c>
      <c r="BT70" s="69">
        <f ca="1">$AO70*IF(Auswahllisten!$G$150,BT$25+BT$25*BT$13*$AN70,BT$25*(1+BT$13)^$AN70)</f>
        <v>0</v>
      </c>
      <c r="BU70" s="69">
        <f ca="1">$AO70*IF(Auswahllisten!$G$150,BU$25+BU$25*BU$13*$AN70,BU$25*(1+BU$13)^$AN70)</f>
        <v>0</v>
      </c>
      <c r="BV70" s="69">
        <f ca="1">$AO70*IF(Auswahllisten!$G$150,BV$25+BV$25*BV$13*$AN70,BV$25*(1+BV$13)^$AN70)</f>
        <v>0</v>
      </c>
      <c r="BW70" s="69">
        <f t="shared" ca="1" si="39"/>
        <v>0</v>
      </c>
      <c r="BX70" s="69">
        <f t="shared" ca="1" si="40"/>
        <v>0</v>
      </c>
      <c r="BY70" s="69">
        <f t="shared" ca="1" si="70"/>
        <v>0</v>
      </c>
      <c r="BZ70" s="69">
        <f t="shared" ca="1" si="71"/>
        <v>0</v>
      </c>
    </row>
    <row r="71" spans="1:78">
      <c r="A71" s="125" t="s">
        <v>1001</v>
      </c>
      <c r="B71" s="125" t="s">
        <v>143</v>
      </c>
      <c r="C71" s="125"/>
      <c r="D71" s="69"/>
      <c r="E71" s="69"/>
      <c r="G71" s="69"/>
      <c r="H71" s="69"/>
      <c r="J71" s="69"/>
      <c r="K71" s="69"/>
      <c r="L71" s="155">
        <v>7</v>
      </c>
      <c r="M71" s="69"/>
      <c r="P71" s="69"/>
      <c r="R71" s="69"/>
      <c r="S71" s="69"/>
      <c r="U71" s="69"/>
      <c r="V71" s="69"/>
      <c r="X71" s="69"/>
      <c r="AA71" s="1">
        <v>57</v>
      </c>
      <c r="AB71" s="1">
        <v>-2</v>
      </c>
      <c r="AN71" s="1">
        <v>46</v>
      </c>
      <c r="AO71" s="1">
        <f t="shared" si="67"/>
        <v>0</v>
      </c>
      <c r="AP71" s="69">
        <f t="shared" ca="1" si="76"/>
        <v>0</v>
      </c>
      <c r="AQ71" s="69">
        <f t="shared" ca="1" si="76"/>
        <v>0</v>
      </c>
      <c r="AR71" s="69">
        <f t="shared" si="76"/>
        <v>0</v>
      </c>
      <c r="AS71" s="69">
        <f t="shared" ca="1" si="76"/>
        <v>0</v>
      </c>
      <c r="AT71" s="69">
        <f t="shared" ca="1" si="76"/>
        <v>0</v>
      </c>
      <c r="AU71" s="69">
        <f t="shared" ca="1" si="76"/>
        <v>0</v>
      </c>
      <c r="AV71" s="69">
        <f t="shared" si="76"/>
        <v>0</v>
      </c>
      <c r="AW71" s="69">
        <f t="shared" ca="1" si="29"/>
        <v>0</v>
      </c>
      <c r="AX71" s="69">
        <f t="shared" ca="1" si="30"/>
        <v>0</v>
      </c>
      <c r="AY71" s="69">
        <f t="shared" ca="1" si="31"/>
        <v>0</v>
      </c>
      <c r="AZ71" s="69">
        <f ca="1">$AO71*IF(Auswahllisten!$G$150,AZ$25+AZ$25*AZ$13*$AN71,AZ$25*(1+AZ$13)^$AN71)</f>
        <v>0</v>
      </c>
      <c r="BA71" s="69">
        <f ca="1">$AO71*IF(Auswahllisten!$G$150,BA$25+BA$25*BA$13*$AN71,BA$25*(1+BA$13)^$AN71)</f>
        <v>0</v>
      </c>
      <c r="BB71" s="69">
        <f ca="1">$AO71*IF(Auswahllisten!$G$150,BB$25+BB$25*BB$13*$AN71,BB$25*(1+BB$13)^$AN71)</f>
        <v>0</v>
      </c>
      <c r="BC71" s="69">
        <f ca="1">$AO71*IF(Auswahllisten!$G$150,BC$25+BC$25*BC$13*$AN71,BC$25*(1+BC$13)^$AN71)</f>
        <v>0</v>
      </c>
      <c r="BD71" s="69">
        <f t="shared" ca="1" si="32"/>
        <v>0</v>
      </c>
      <c r="BE71" s="69">
        <f t="shared" ca="1" si="33"/>
        <v>0</v>
      </c>
      <c r="BF71" s="69">
        <f t="shared" ca="1" si="34"/>
        <v>0</v>
      </c>
      <c r="BG71" s="69">
        <f t="shared" ca="1" si="35"/>
        <v>0</v>
      </c>
      <c r="BI71" s="69">
        <f t="shared" ca="1" si="36"/>
        <v>0</v>
      </c>
      <c r="BJ71" s="69">
        <f t="shared" ca="1" si="66"/>
        <v>0</v>
      </c>
      <c r="BK71" s="69">
        <f t="shared" si="66"/>
        <v>0</v>
      </c>
      <c r="BL71" s="69">
        <f t="shared" ca="1" si="66"/>
        <v>0</v>
      </c>
      <c r="BM71" s="69">
        <f t="shared" ca="1" si="64"/>
        <v>0</v>
      </c>
      <c r="BN71" s="69">
        <f t="shared" ca="1" si="64"/>
        <v>0</v>
      </c>
      <c r="BO71" s="69">
        <f t="shared" si="64"/>
        <v>0</v>
      </c>
      <c r="BP71" s="69">
        <f t="shared" ca="1" si="68"/>
        <v>0</v>
      </c>
      <c r="BQ71" s="69">
        <f t="shared" ca="1" si="38"/>
        <v>0</v>
      </c>
      <c r="BR71" s="69">
        <f t="shared" ca="1" si="69"/>
        <v>0</v>
      </c>
      <c r="BS71" s="69">
        <f ca="1">$AO71*IF(Auswahllisten!$G$150,BS$25+BS$25*BS$13*$AN71,BS$25*(1+BS$13)^$AN71)</f>
        <v>0</v>
      </c>
      <c r="BT71" s="69">
        <f ca="1">$AO71*IF(Auswahllisten!$G$150,BT$25+BT$25*BT$13*$AN71,BT$25*(1+BT$13)^$AN71)</f>
        <v>0</v>
      </c>
      <c r="BU71" s="69">
        <f ca="1">$AO71*IF(Auswahllisten!$G$150,BU$25+BU$25*BU$13*$AN71,BU$25*(1+BU$13)^$AN71)</f>
        <v>0</v>
      </c>
      <c r="BV71" s="69">
        <f ca="1">$AO71*IF(Auswahllisten!$G$150,BV$25+BV$25*BV$13*$AN71,BV$25*(1+BV$13)^$AN71)</f>
        <v>0</v>
      </c>
      <c r="BW71" s="69">
        <f t="shared" ca="1" si="39"/>
        <v>0</v>
      </c>
      <c r="BX71" s="69">
        <f t="shared" ca="1" si="40"/>
        <v>0</v>
      </c>
      <c r="BY71" s="69">
        <f t="shared" ca="1" si="70"/>
        <v>0</v>
      </c>
      <c r="BZ71" s="69">
        <f t="shared" ca="1" si="71"/>
        <v>0</v>
      </c>
    </row>
    <row r="72" spans="1:78">
      <c r="A72" s="304" t="s">
        <v>1217</v>
      </c>
      <c r="B72" s="131" t="s">
        <v>1242</v>
      </c>
      <c r="C72" s="131" t="s">
        <v>246</v>
      </c>
      <c r="D72" s="162" t="str" cm="1">
        <f t="array" aca="1" ref="D72" ca="1">INDIRECT("Vergleich!"&amp;$G$2&amp;Z72)</f>
        <v>mittel</v>
      </c>
      <c r="E72" s="162" cm="1">
        <f t="array" aca="1" ref="E72" ca="1">INDIRECT("Investition_gewählt!"&amp;$I$5&amp;AA72)</f>
        <v>12200</v>
      </c>
      <c r="F72" s="25" cm="1">
        <f t="array" aca="1" ref="F72" ca="1">IF($C$5=0,0,INDEX(Faktoren!E58:GQ58,1,VLOOKUP($F$5,$L$2:$O$14,4,FALSE)+$C$9*5+VLOOKUP(D72,Auswahllisten!$E$25:$F$29,2,FALSE)))</f>
        <v>0</v>
      </c>
      <c r="G72" s="162">
        <f ca="1">E72*F72</f>
        <v>0</v>
      </c>
      <c r="H72" s="162" cm="1">
        <f t="array" aca="1" ref="H72" ca="1">INDIRECT("Investition_gewählt!"&amp;$I$6&amp;AA72)</f>
        <v>12200</v>
      </c>
      <c r="I72" s="25" cm="1">
        <f t="array" aca="1" ref="I72" ca="1">IF($C$5=0,0,INDEX(Faktoren!E58:GQ58,1,VLOOKUP($F$6,$L$2:$O$14,4,FALSE)+$C$9*5+VLOOKUP(D72,Auswahllisten!$E$25:$F$29,2,FALSE)))</f>
        <v>0</v>
      </c>
      <c r="J72" s="162">
        <f ca="1">H72*I72</f>
        <v>0</v>
      </c>
      <c r="K72" s="162">
        <f t="shared" ca="1" si="10"/>
        <v>0</v>
      </c>
      <c r="L72" s="25" t="b">
        <f t="shared" ref="L72:L79" ca="1" si="77">($C$5=$L$71)</f>
        <v>0</v>
      </c>
      <c r="M72" s="162">
        <f t="shared" ca="1" si="11"/>
        <v>0</v>
      </c>
      <c r="O72" s="25" t="str" cm="1">
        <f t="array" aca="1" ref="O72" ca="1">INDIRECT("Vergleich!"&amp;$Y$2&amp;Z72)</f>
        <v>gering</v>
      </c>
      <c r="P72" s="162" cm="1">
        <f t="array" aca="1" ref="P72" ca="1">INDIRECT("Investition_gewählt!"&amp;$AA$5&amp;AA72)</f>
        <v>12200</v>
      </c>
      <c r="Q72" s="25" cm="1">
        <f t="array" aca="1" ref="Q72" ca="1">IF($U$5=0,0,INDEX(Faktoren!E58:GQ58,1,VLOOKUP($X$5,$L$2:$O$14,4,FALSE)+$U$9*5+VLOOKUP(O72,Auswahllisten!$E$25:$F$29,2,FALSE)))</f>
        <v>0</v>
      </c>
      <c r="R72" s="162">
        <f t="shared" ca="1" si="12"/>
        <v>0</v>
      </c>
      <c r="S72" s="162" cm="1">
        <f t="array" aca="1" ref="S72" ca="1">INDIRECT("Investition_gewählt!"&amp;$AA$6&amp;AA72)</f>
        <v>12200</v>
      </c>
      <c r="T72" s="25" cm="1">
        <f t="array" aca="1" ref="T72" ca="1">IF($U$5=0,0,INDEX(Faktoren!E58:QG58,1,VLOOKUP($X$6,$L$3:$O$14,4,FALSE)+$U$9*5+VLOOKUP(O72,Auswahllisten!$E$25:$F$29,2,FALSE)))</f>
        <v>0</v>
      </c>
      <c r="U72" s="162">
        <f t="shared" ca="1" si="13"/>
        <v>0</v>
      </c>
      <c r="V72" s="162">
        <f t="shared" ca="1" si="14"/>
        <v>0</v>
      </c>
      <c r="W72" s="25" t="b">
        <f ca="1">($U$5=$L$71)</f>
        <v>0</v>
      </c>
      <c r="X72" s="162">
        <f t="shared" ca="1" si="16"/>
        <v>0</v>
      </c>
      <c r="Z72" s="1">
        <v>31</v>
      </c>
      <c r="AA72" s="1">
        <v>58</v>
      </c>
      <c r="AB72" s="1">
        <v>-2</v>
      </c>
      <c r="AN72" s="1">
        <v>47</v>
      </c>
      <c r="AO72" s="1">
        <f t="shared" si="67"/>
        <v>0</v>
      </c>
      <c r="AP72" s="69">
        <f t="shared" ca="1" si="76"/>
        <v>0</v>
      </c>
      <c r="AQ72" s="69">
        <f t="shared" ca="1" si="76"/>
        <v>0</v>
      </c>
      <c r="AR72" s="69">
        <f t="shared" si="76"/>
        <v>0</v>
      </c>
      <c r="AS72" s="69">
        <f t="shared" ca="1" si="76"/>
        <v>0</v>
      </c>
      <c r="AT72" s="69">
        <f t="shared" ca="1" si="76"/>
        <v>0</v>
      </c>
      <c r="AU72" s="69">
        <f t="shared" ca="1" si="76"/>
        <v>0</v>
      </c>
      <c r="AV72" s="69">
        <f t="shared" si="76"/>
        <v>0</v>
      </c>
      <c r="AW72" s="69">
        <f t="shared" ca="1" si="29"/>
        <v>0</v>
      </c>
      <c r="AX72" s="69">
        <f t="shared" ca="1" si="30"/>
        <v>0</v>
      </c>
      <c r="AY72" s="69">
        <f t="shared" ca="1" si="31"/>
        <v>0</v>
      </c>
      <c r="AZ72" s="69">
        <f ca="1">$AO72*IF(Auswahllisten!$G$150,AZ$25+AZ$25*AZ$13*$AN72,AZ$25*(1+AZ$13)^$AN72)</f>
        <v>0</v>
      </c>
      <c r="BA72" s="69">
        <f ca="1">$AO72*IF(Auswahllisten!$G$150,BA$25+BA$25*BA$13*$AN72,BA$25*(1+BA$13)^$AN72)</f>
        <v>0</v>
      </c>
      <c r="BB72" s="69">
        <f ca="1">$AO72*IF(Auswahllisten!$G$150,BB$25+BB$25*BB$13*$AN72,BB$25*(1+BB$13)^$AN72)</f>
        <v>0</v>
      </c>
      <c r="BC72" s="69">
        <f ca="1">$AO72*IF(Auswahllisten!$G$150,BC$25+BC$25*BC$13*$AN72,BC$25*(1+BC$13)^$AN72)</f>
        <v>0</v>
      </c>
      <c r="BD72" s="69">
        <f t="shared" ca="1" si="32"/>
        <v>0</v>
      </c>
      <c r="BE72" s="69">
        <f t="shared" ca="1" si="33"/>
        <v>0</v>
      </c>
      <c r="BF72" s="69">
        <f t="shared" ca="1" si="34"/>
        <v>0</v>
      </c>
      <c r="BG72" s="69">
        <f t="shared" ca="1" si="35"/>
        <v>0</v>
      </c>
      <c r="BI72" s="69">
        <f t="shared" ca="1" si="36"/>
        <v>0</v>
      </c>
      <c r="BJ72" s="69">
        <f t="shared" ca="1" si="66"/>
        <v>0</v>
      </c>
      <c r="BK72" s="69">
        <f t="shared" si="66"/>
        <v>0</v>
      </c>
      <c r="BL72" s="69">
        <f t="shared" ca="1" si="66"/>
        <v>0</v>
      </c>
      <c r="BM72" s="69">
        <f t="shared" ca="1" si="64"/>
        <v>0</v>
      </c>
      <c r="BN72" s="69">
        <f t="shared" ca="1" si="64"/>
        <v>0</v>
      </c>
      <c r="BO72" s="69">
        <f t="shared" si="64"/>
        <v>0</v>
      </c>
      <c r="BP72" s="69">
        <f t="shared" ca="1" si="68"/>
        <v>0</v>
      </c>
      <c r="BQ72" s="69">
        <f t="shared" ca="1" si="38"/>
        <v>0</v>
      </c>
      <c r="BR72" s="69">
        <f t="shared" ca="1" si="69"/>
        <v>0</v>
      </c>
      <c r="BS72" s="69">
        <f ca="1">$AO72*IF(Auswahllisten!$G$150,BS$25+BS$25*BS$13*$AN72,BS$25*(1+BS$13)^$AN72)</f>
        <v>0</v>
      </c>
      <c r="BT72" s="69">
        <f ca="1">$AO72*IF(Auswahllisten!$G$150,BT$25+BT$25*BT$13*$AN72,BT$25*(1+BT$13)^$AN72)</f>
        <v>0</v>
      </c>
      <c r="BU72" s="69">
        <f ca="1">$AO72*IF(Auswahllisten!$G$150,BU$25+BU$25*BU$13*$AN72,BU$25*(1+BU$13)^$AN72)</f>
        <v>0</v>
      </c>
      <c r="BV72" s="69">
        <f ca="1">$AO72*IF(Auswahllisten!$G$150,BV$25+BV$25*BV$13*$AN72,BV$25*(1+BV$13)^$AN72)</f>
        <v>0</v>
      </c>
      <c r="BW72" s="69">
        <f t="shared" ca="1" si="39"/>
        <v>0</v>
      </c>
      <c r="BX72" s="69">
        <f t="shared" ca="1" si="40"/>
        <v>0</v>
      </c>
      <c r="BY72" s="69">
        <f t="shared" ca="1" si="70"/>
        <v>0</v>
      </c>
      <c r="BZ72" s="69">
        <f t="shared" ca="1" si="71"/>
        <v>0</v>
      </c>
    </row>
    <row r="73" spans="1:78">
      <c r="A73" s="305" t="s">
        <v>1215</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IF($C$5=0,0,INDEX(Faktoren!E59:GQ59,1,VLOOKUP($F$5,$L$2:$O$14,4,FALSE)+$C$9*5+VLOOKUP(D73,Auswahllisten!$E$25:$F$29,2,FALSE)))</f>
        <v>0</v>
      </c>
      <c r="G73" s="26">
        <f t="shared" ref="G73:G79" ca="1" si="78">E73*F73</f>
        <v>0</v>
      </c>
      <c r="H73" s="26" cm="1">
        <f t="array" aca="1" ref="H73" ca="1">INDIRECT("Investition_gewählt!"&amp;$I$6&amp;AA73)</f>
        <v>8800</v>
      </c>
      <c r="I73" s="25" cm="1">
        <f t="array" aca="1" ref="I73" ca="1">IF($C$5=0,0,INDEX(Faktoren!E59:GQ59,1,VLOOKUP($F$6,$L$2:$O$14,4,FALSE)+$C$9*5+VLOOKUP(D73,Auswahllisten!$E$25:$F$29,2,FALSE)))</f>
        <v>0</v>
      </c>
      <c r="J73" s="26">
        <f t="shared" ref="J73:J79" ca="1" si="79">H73*I73</f>
        <v>0</v>
      </c>
      <c r="K73" s="26">
        <f t="shared" ca="1" si="10"/>
        <v>0</v>
      </c>
      <c r="L73" s="16" t="b">
        <f t="shared" ca="1" si="77"/>
        <v>0</v>
      </c>
      <c r="M73" s="26">
        <f t="shared" ca="1" si="11"/>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IF($U$5=0,0,INDEX(Faktoren!E59:GQ59,1,VLOOKUP($X$5,$L$2:$O$14,4,FALSE)+$U$9*5+VLOOKUP(O73,Auswahllisten!$E$25:$F$29,2,FALSE)))</f>
        <v>0</v>
      </c>
      <c r="R73" s="26">
        <f t="shared" ca="1" si="12"/>
        <v>0</v>
      </c>
      <c r="S73" s="26" cm="1">
        <f t="array" aca="1" ref="S73" ca="1">INDIRECT("Investition_gewählt!"&amp;$AA$6&amp;AA73)</f>
        <v>8800</v>
      </c>
      <c r="T73" s="16" cm="1">
        <f t="array" aca="1" ref="T73" ca="1">IF($U$5=0,0,INDEX(Faktoren!E59:QG59,1,VLOOKUP($X$6,$L$3:$O$14,4,FALSE)+$U$9*5+VLOOKUP(O73,Auswahllisten!$E$25:$F$29,2,FALSE)))</f>
        <v>0</v>
      </c>
      <c r="U73" s="26">
        <f t="shared" ca="1" si="13"/>
        <v>0</v>
      </c>
      <c r="V73" s="26">
        <f t="shared" ca="1" si="14"/>
        <v>0</v>
      </c>
      <c r="W73" s="16" t="b">
        <f t="shared" ref="W73:W79" ca="1" si="80">($U$5=$L$71)</f>
        <v>0</v>
      </c>
      <c r="X73" s="26">
        <f t="shared" ca="1" si="16"/>
        <v>0</v>
      </c>
      <c r="Z73" s="1">
        <v>40</v>
      </c>
      <c r="AA73" s="1">
        <v>59</v>
      </c>
      <c r="AB73" s="1">
        <v>-2</v>
      </c>
      <c r="AN73" s="1">
        <v>48</v>
      </c>
      <c r="AO73" s="1">
        <f t="shared" si="67"/>
        <v>0</v>
      </c>
      <c r="AP73" s="69">
        <f t="shared" ca="1" si="76"/>
        <v>0</v>
      </c>
      <c r="AQ73" s="69">
        <f t="shared" ca="1" si="76"/>
        <v>0</v>
      </c>
      <c r="AR73" s="69">
        <f t="shared" si="76"/>
        <v>0</v>
      </c>
      <c r="AS73" s="69">
        <f t="shared" ca="1" si="76"/>
        <v>0</v>
      </c>
      <c r="AT73" s="69">
        <f t="shared" ca="1" si="76"/>
        <v>0</v>
      </c>
      <c r="AU73" s="69">
        <f t="shared" ca="1" si="76"/>
        <v>0</v>
      </c>
      <c r="AV73" s="69">
        <f t="shared" si="76"/>
        <v>0</v>
      </c>
      <c r="AW73" s="69">
        <f t="shared" ca="1" si="29"/>
        <v>0</v>
      </c>
      <c r="AX73" s="69">
        <f t="shared" ca="1" si="30"/>
        <v>0</v>
      </c>
      <c r="AY73" s="69">
        <f t="shared" ca="1" si="31"/>
        <v>0</v>
      </c>
      <c r="AZ73" s="69">
        <f ca="1">$AO73*IF(Auswahllisten!$G$150,AZ$25+AZ$25*AZ$13*$AN73,AZ$25*(1+AZ$13)^$AN73)</f>
        <v>0</v>
      </c>
      <c r="BA73" s="69">
        <f ca="1">$AO73*IF(Auswahllisten!$G$150,BA$25+BA$25*BA$13*$AN73,BA$25*(1+BA$13)^$AN73)</f>
        <v>0</v>
      </c>
      <c r="BB73" s="69">
        <f ca="1">$AO73*IF(Auswahllisten!$G$150,BB$25+BB$25*BB$13*$AN73,BB$25*(1+BB$13)^$AN73)</f>
        <v>0</v>
      </c>
      <c r="BC73" s="69">
        <f ca="1">$AO73*IF(Auswahllisten!$G$150,BC$25+BC$25*BC$13*$AN73,BC$25*(1+BC$13)^$AN73)</f>
        <v>0</v>
      </c>
      <c r="BD73" s="69">
        <f t="shared" ca="1" si="32"/>
        <v>0</v>
      </c>
      <c r="BE73" s="69">
        <f t="shared" ca="1" si="33"/>
        <v>0</v>
      </c>
      <c r="BF73" s="69">
        <f t="shared" ca="1" si="34"/>
        <v>0</v>
      </c>
      <c r="BG73" s="69">
        <f t="shared" ca="1" si="35"/>
        <v>0</v>
      </c>
      <c r="BI73" s="69">
        <f t="shared" ca="1" si="36"/>
        <v>0</v>
      </c>
      <c r="BJ73" s="69">
        <f t="shared" ca="1" si="66"/>
        <v>0</v>
      </c>
      <c r="BK73" s="69">
        <f t="shared" si="66"/>
        <v>0</v>
      </c>
      <c r="BL73" s="69">
        <f t="shared" ca="1" si="66"/>
        <v>0</v>
      </c>
      <c r="BM73" s="69">
        <f t="shared" ca="1" si="64"/>
        <v>0</v>
      </c>
      <c r="BN73" s="69">
        <f t="shared" ca="1" si="64"/>
        <v>0</v>
      </c>
      <c r="BO73" s="69">
        <f t="shared" si="64"/>
        <v>0</v>
      </c>
      <c r="BP73" s="69">
        <f t="shared" ca="1" si="68"/>
        <v>0</v>
      </c>
      <c r="BQ73" s="69">
        <f t="shared" ca="1" si="38"/>
        <v>0</v>
      </c>
      <c r="BR73" s="69">
        <f t="shared" ca="1" si="69"/>
        <v>0</v>
      </c>
      <c r="BS73" s="69">
        <f ca="1">$AO73*IF(Auswahllisten!$G$150,BS$25+BS$25*BS$13*$AN73,BS$25*(1+BS$13)^$AN73)</f>
        <v>0</v>
      </c>
      <c r="BT73" s="69">
        <f ca="1">$AO73*IF(Auswahllisten!$G$150,BT$25+BT$25*BT$13*$AN73,BT$25*(1+BT$13)^$AN73)</f>
        <v>0</v>
      </c>
      <c r="BU73" s="69">
        <f ca="1">$AO73*IF(Auswahllisten!$G$150,BU$25+BU$25*BU$13*$AN73,BU$25*(1+BU$13)^$AN73)</f>
        <v>0</v>
      </c>
      <c r="BV73" s="69">
        <f ca="1">$AO73*IF(Auswahllisten!$G$150,BV$25+BV$25*BV$13*$AN73,BV$25*(1+BV$13)^$AN73)</f>
        <v>0</v>
      </c>
      <c r="BW73" s="69">
        <f t="shared" ca="1" si="39"/>
        <v>0</v>
      </c>
      <c r="BX73" s="69">
        <f t="shared" ca="1" si="40"/>
        <v>0</v>
      </c>
      <c r="BY73" s="69">
        <f t="shared" ca="1" si="70"/>
        <v>0</v>
      </c>
      <c r="BZ73" s="69">
        <f t="shared" ca="1" si="71"/>
        <v>0</v>
      </c>
    </row>
    <row r="74" spans="1:78">
      <c r="A74" s="305" t="s">
        <v>1215</v>
      </c>
      <c r="B74" s="126" t="s">
        <v>303</v>
      </c>
      <c r="C74" s="126" t="s">
        <v>965</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IF($C$5=0,0,INDEX(Faktoren!E60:GQ60,1,VLOOKUP($F$5,$L$2:$O$14,4,FALSE)+$C$9*5+VLOOKUP(D74,Auswahllisten!$E$25:$F$29,2,FALSE)))</f>
        <v>0</v>
      </c>
      <c r="G74" s="26">
        <f t="shared" ca="1" si="78"/>
        <v>0</v>
      </c>
      <c r="H74" s="26" cm="1">
        <f t="array" aca="1" ref="H74" ca="1">INDIRECT("Investition_gewählt!"&amp;$I$6&amp;AA74)</f>
        <v>3600</v>
      </c>
      <c r="I74" s="25" cm="1">
        <f t="array" aca="1" ref="I74" ca="1">IF($C$5=0,0,INDEX(Faktoren!E60:GQ60,1,VLOOKUP($F$6,$L$2:$O$14,4,FALSE)+$C$9*5+VLOOKUP(D74,Auswahllisten!$E$25:$F$29,2,FALSE)))</f>
        <v>0</v>
      </c>
      <c r="J74" s="26">
        <f t="shared" ca="1" si="79"/>
        <v>0</v>
      </c>
      <c r="K74" s="26">
        <f t="shared" ca="1" si="10"/>
        <v>0</v>
      </c>
      <c r="L74" s="16" t="b">
        <f t="shared" ca="1" si="77"/>
        <v>0</v>
      </c>
      <c r="M74" s="26">
        <f t="shared" ca="1" si="11"/>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IF($U$5=0,0,INDEX(Faktoren!E60:GQ60,1,VLOOKUP($X$5,$L$2:$O$14,4,FALSE)+$U$9*5+VLOOKUP(O74,Auswahllisten!$E$25:$F$29,2,FALSE)))</f>
        <v>0</v>
      </c>
      <c r="R74" s="26">
        <f t="shared" ca="1" si="12"/>
        <v>0</v>
      </c>
      <c r="S74" s="26" cm="1">
        <f t="array" aca="1" ref="S74" ca="1">INDIRECT("Investition_gewählt!"&amp;$AA$6&amp;AA74)</f>
        <v>3600</v>
      </c>
      <c r="T74" s="16" cm="1">
        <f t="array" aca="1" ref="T74" ca="1">IF($U$5=0,0,INDEX(Faktoren!E60:QG60,1,VLOOKUP($X$6,$L$3:$O$14,4,FALSE)+$U$9*5+VLOOKUP(O74,Auswahllisten!$E$25:$F$29,2,FALSE)))</f>
        <v>0</v>
      </c>
      <c r="U74" s="26">
        <f t="shared" ca="1" si="13"/>
        <v>0</v>
      </c>
      <c r="V74" s="26">
        <f t="shared" ca="1" si="14"/>
        <v>0</v>
      </c>
      <c r="W74" s="16" t="b">
        <f t="shared" ca="1" si="80"/>
        <v>0</v>
      </c>
      <c r="X74" s="26">
        <f t="shared" ca="1" si="16"/>
        <v>0</v>
      </c>
      <c r="Z74" s="1">
        <v>42</v>
      </c>
      <c r="AA74" s="1">
        <v>60</v>
      </c>
      <c r="AB74" s="1">
        <v>-2</v>
      </c>
      <c r="AN74" s="1">
        <v>49</v>
      </c>
      <c r="AO74" s="1">
        <f t="shared" si="67"/>
        <v>0</v>
      </c>
      <c r="AP74" s="69">
        <f t="shared" ca="1" si="76"/>
        <v>0</v>
      </c>
      <c r="AQ74" s="69">
        <f t="shared" ca="1" si="76"/>
        <v>0</v>
      </c>
      <c r="AR74" s="69">
        <f t="shared" si="76"/>
        <v>0</v>
      </c>
      <c r="AS74" s="69">
        <f t="shared" ca="1" si="76"/>
        <v>0</v>
      </c>
      <c r="AT74" s="69">
        <f t="shared" ca="1" si="76"/>
        <v>0</v>
      </c>
      <c r="AU74" s="69">
        <f t="shared" ca="1" si="76"/>
        <v>0</v>
      </c>
      <c r="AV74" s="69">
        <f t="shared" si="76"/>
        <v>0</v>
      </c>
      <c r="AW74" s="69">
        <f t="shared" ca="1" si="29"/>
        <v>0</v>
      </c>
      <c r="AX74" s="69">
        <f t="shared" ca="1" si="30"/>
        <v>0</v>
      </c>
      <c r="AY74" s="69">
        <f t="shared" ca="1" si="31"/>
        <v>0</v>
      </c>
      <c r="AZ74" s="69">
        <f ca="1">$AO74*IF(Auswahllisten!$G$150,AZ$25+AZ$25*AZ$13*$AN74,AZ$25*(1+AZ$13)^$AN74)</f>
        <v>0</v>
      </c>
      <c r="BA74" s="69">
        <f ca="1">$AO74*IF(Auswahllisten!$G$150,BA$25+BA$25*BA$13*$AN74,BA$25*(1+BA$13)^$AN74)</f>
        <v>0</v>
      </c>
      <c r="BB74" s="69">
        <f ca="1">$AO74*IF(Auswahllisten!$G$150,BB$25+BB$25*BB$13*$AN74,BB$25*(1+BB$13)^$AN74)</f>
        <v>0</v>
      </c>
      <c r="BC74" s="69">
        <f ca="1">$AO74*IF(Auswahllisten!$G$150,BC$25+BC$25*BC$13*$AN74,BC$25*(1+BC$13)^$AN74)</f>
        <v>0</v>
      </c>
      <c r="BD74" s="69">
        <f t="shared" ca="1" si="32"/>
        <v>0</v>
      </c>
      <c r="BE74" s="69">
        <f t="shared" ca="1" si="33"/>
        <v>0</v>
      </c>
      <c r="BF74" s="69">
        <f t="shared" ca="1" si="34"/>
        <v>0</v>
      </c>
      <c r="BG74" s="69">
        <f t="shared" ca="1" si="35"/>
        <v>0</v>
      </c>
      <c r="BI74" s="69">
        <f t="shared" ca="1" si="36"/>
        <v>0</v>
      </c>
      <c r="BJ74" s="69">
        <f t="shared" ca="1" si="66"/>
        <v>0</v>
      </c>
      <c r="BK74" s="69">
        <f t="shared" si="66"/>
        <v>0</v>
      </c>
      <c r="BL74" s="69">
        <f t="shared" ca="1" si="66"/>
        <v>0</v>
      </c>
      <c r="BM74" s="69">
        <f t="shared" ca="1" si="64"/>
        <v>0</v>
      </c>
      <c r="BN74" s="69">
        <f t="shared" ca="1" si="64"/>
        <v>0</v>
      </c>
      <c r="BO74" s="69">
        <f t="shared" si="64"/>
        <v>0</v>
      </c>
      <c r="BP74" s="69">
        <f t="shared" ca="1" si="68"/>
        <v>0</v>
      </c>
      <c r="BQ74" s="69">
        <f t="shared" ca="1" si="38"/>
        <v>0</v>
      </c>
      <c r="BR74" s="69">
        <f t="shared" ca="1" si="69"/>
        <v>0</v>
      </c>
      <c r="BS74" s="69">
        <f ca="1">$AO74*IF(Auswahllisten!$G$150,BS$25+BS$25*BS$13*$AN74,BS$25*(1+BS$13)^$AN74)</f>
        <v>0</v>
      </c>
      <c r="BT74" s="69">
        <f ca="1">$AO74*IF(Auswahllisten!$G$150,BT$25+BT$25*BT$13*$AN74,BT$25*(1+BT$13)^$AN74)</f>
        <v>0</v>
      </c>
      <c r="BU74" s="69">
        <f ca="1">$AO74*IF(Auswahllisten!$G$150,BU$25+BU$25*BU$13*$AN74,BU$25*(1+BU$13)^$AN74)</f>
        <v>0</v>
      </c>
      <c r="BV74" s="69">
        <f ca="1">$AO74*IF(Auswahllisten!$G$150,BV$25+BV$25*BV$13*$AN74,BV$25*(1+BV$13)^$AN74)</f>
        <v>0</v>
      </c>
      <c r="BW74" s="69">
        <f t="shared" ca="1" si="39"/>
        <v>0</v>
      </c>
      <c r="BX74" s="69">
        <f t="shared" ca="1" si="40"/>
        <v>0</v>
      </c>
      <c r="BY74" s="69">
        <f t="shared" ca="1" si="70"/>
        <v>0</v>
      </c>
      <c r="BZ74" s="69">
        <f t="shared" ca="1" si="71"/>
        <v>0</v>
      </c>
    </row>
    <row r="75" spans="1:78">
      <c r="A75" s="305" t="s">
        <v>1218</v>
      </c>
      <c r="B75" s="126" t="s">
        <v>1243</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IF($C$5=0,0,INDEX(Faktoren!E61:GQ61,1,VLOOKUP($F$5,$L$2:$O$14,4,FALSE)+$C$9*5+VLOOKUP(D75,Auswahllisten!$E$25:$F$29,2,FALSE)))</f>
        <v>0</v>
      </c>
      <c r="G75" s="26">
        <f t="shared" ca="1" si="78"/>
        <v>0</v>
      </c>
      <c r="H75" s="26" cm="1">
        <f t="array" aca="1" ref="H75" ca="1">INDIRECT("Investition_gewählt!"&amp;$I$6&amp;AA75)</f>
        <v>1500</v>
      </c>
      <c r="I75" s="25" cm="1">
        <f t="array" aca="1" ref="I75" ca="1">IF($C$5=0,0,INDEX(Faktoren!E61:GQ61,1,VLOOKUP($F$6,$L$2:$O$14,4,FALSE)+$C$9*5+VLOOKUP(D75,Auswahllisten!$E$25:$F$29,2,FALSE)))</f>
        <v>0</v>
      </c>
      <c r="J75" s="26">
        <f t="shared" ca="1" si="79"/>
        <v>0</v>
      </c>
      <c r="K75" s="26">
        <f t="shared" ca="1" si="10"/>
        <v>0</v>
      </c>
      <c r="L75" s="16" t="b">
        <f t="shared" ca="1" si="77"/>
        <v>0</v>
      </c>
      <c r="M75" s="26">
        <f t="shared" ca="1" si="11"/>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IF($U$5=0,0,INDEX(Faktoren!E61:GQ61,1,VLOOKUP($X$5,$L$2:$O$14,4,FALSE)+$U$9*5+VLOOKUP(O75,Auswahllisten!$E$25:$F$29,2,FALSE)))</f>
        <v>0</v>
      </c>
      <c r="R75" s="26">
        <f t="shared" ca="1" si="12"/>
        <v>0</v>
      </c>
      <c r="S75" s="26" cm="1">
        <f t="array" aca="1" ref="S75" ca="1">INDIRECT("Investition_gewählt!"&amp;$AA$6&amp;AA75)</f>
        <v>1500</v>
      </c>
      <c r="T75" s="16" cm="1">
        <f t="array" aca="1" ref="T75" ca="1">IF($U$5=0,0,INDEX(Faktoren!E61:QG61,1,VLOOKUP($X$6,$L$3:$O$14,4,FALSE)+$U$9*5+VLOOKUP(O75,Auswahllisten!$E$25:$F$29,2,FALSE)))</f>
        <v>0</v>
      </c>
      <c r="U75" s="26">
        <f t="shared" ca="1" si="13"/>
        <v>0</v>
      </c>
      <c r="V75" s="26">
        <f t="shared" ca="1" si="14"/>
        <v>0</v>
      </c>
      <c r="W75" s="16" t="b">
        <f t="shared" ca="1" si="80"/>
        <v>0</v>
      </c>
      <c r="X75" s="26">
        <f t="shared" ca="1" si="16"/>
        <v>0</v>
      </c>
      <c r="Z75" s="1">
        <v>41</v>
      </c>
      <c r="AA75" s="1">
        <v>61</v>
      </c>
      <c r="AB75" s="1">
        <v>-2</v>
      </c>
      <c r="AN75" s="1">
        <v>50</v>
      </c>
      <c r="AO75" s="1">
        <f t="shared" si="67"/>
        <v>0</v>
      </c>
      <c r="AP75" s="69">
        <f t="shared" ca="1" si="76"/>
        <v>0</v>
      </c>
      <c r="AQ75" s="69">
        <f t="shared" ca="1" si="76"/>
        <v>0</v>
      </c>
      <c r="AR75" s="69">
        <f t="shared" si="76"/>
        <v>0</v>
      </c>
      <c r="AS75" s="69">
        <f t="shared" ca="1" si="76"/>
        <v>0</v>
      </c>
      <c r="AT75" s="69">
        <f t="shared" ca="1" si="76"/>
        <v>0</v>
      </c>
      <c r="AU75" s="69">
        <f t="shared" ca="1" si="76"/>
        <v>0</v>
      </c>
      <c r="AV75" s="69">
        <f t="shared" si="76"/>
        <v>0</v>
      </c>
      <c r="AW75" s="69">
        <f t="shared" ca="1" si="29"/>
        <v>0</v>
      </c>
      <c r="AX75" s="69">
        <f t="shared" ca="1" si="30"/>
        <v>0</v>
      </c>
      <c r="AY75" s="69">
        <f t="shared" ca="1" si="31"/>
        <v>0</v>
      </c>
      <c r="AZ75" s="69">
        <f ca="1">$AO75*IF(Auswahllisten!$G$150,AZ$25+AZ$25*AZ$13*$AN75,AZ$25*(1+AZ$13)^$AN75)</f>
        <v>0</v>
      </c>
      <c r="BA75" s="69">
        <f ca="1">$AO75*IF(Auswahllisten!$G$150,BA$25+BA$25*BA$13*$AN75,BA$25*(1+BA$13)^$AN75)</f>
        <v>0</v>
      </c>
      <c r="BB75" s="69">
        <f ca="1">$AO75*IF(Auswahllisten!$G$150,BB$25+BB$25*BB$13*$AN75,BB$25*(1+BB$13)^$AN75)</f>
        <v>0</v>
      </c>
      <c r="BC75" s="69">
        <f ca="1">$AO75*IF(Auswahllisten!$G$150,BC$25+BC$25*BC$13*$AN75,BC$25*(1+BC$13)^$AN75)</f>
        <v>0</v>
      </c>
      <c r="BD75" s="69">
        <f t="shared" ca="1" si="32"/>
        <v>0</v>
      </c>
      <c r="BE75" s="69">
        <f t="shared" ca="1" si="33"/>
        <v>0</v>
      </c>
      <c r="BF75" s="69">
        <f t="shared" ca="1" si="34"/>
        <v>0</v>
      </c>
      <c r="BG75" s="69">
        <f t="shared" ca="1" si="35"/>
        <v>0</v>
      </c>
      <c r="BI75" s="69">
        <f t="shared" ca="1" si="36"/>
        <v>0</v>
      </c>
      <c r="BJ75" s="69">
        <f t="shared" ca="1" si="66"/>
        <v>0</v>
      </c>
      <c r="BK75" s="69">
        <f t="shared" si="66"/>
        <v>0</v>
      </c>
      <c r="BL75" s="69">
        <f t="shared" ca="1" si="66"/>
        <v>0</v>
      </c>
      <c r="BM75" s="69">
        <f t="shared" ca="1" si="64"/>
        <v>0</v>
      </c>
      <c r="BN75" s="69">
        <f t="shared" ca="1" si="64"/>
        <v>0</v>
      </c>
      <c r="BO75" s="69">
        <f t="shared" si="64"/>
        <v>0</v>
      </c>
      <c r="BP75" s="69">
        <f t="shared" ca="1" si="68"/>
        <v>0</v>
      </c>
      <c r="BQ75" s="69">
        <f t="shared" ca="1" si="38"/>
        <v>0</v>
      </c>
      <c r="BR75" s="69">
        <f t="shared" ca="1" si="69"/>
        <v>0</v>
      </c>
      <c r="BS75" s="69">
        <f ca="1">$AO75*IF(Auswahllisten!$G$150,BS$25+BS$25*BS$13*$AN75,BS$25*(1+BS$13)^$AN75)</f>
        <v>0</v>
      </c>
      <c r="BT75" s="69">
        <f ca="1">$AO75*IF(Auswahllisten!$G$150,BT$25+BT$25*BT$13*$AN75,BT$25*(1+BT$13)^$AN75)</f>
        <v>0</v>
      </c>
      <c r="BU75" s="69">
        <f ca="1">$AO75*IF(Auswahllisten!$G$150,BU$25+BU$25*BU$13*$AN75,BU$25*(1+BU$13)^$AN75)</f>
        <v>0</v>
      </c>
      <c r="BV75" s="69">
        <f ca="1">$AO75*IF(Auswahllisten!$G$150,BV$25+BV$25*BV$13*$AN75,BV$25*(1+BV$13)^$AN75)</f>
        <v>0</v>
      </c>
      <c r="BW75" s="69">
        <f t="shared" ca="1" si="39"/>
        <v>0</v>
      </c>
      <c r="BX75" s="69">
        <f t="shared" ca="1" si="40"/>
        <v>0</v>
      </c>
      <c r="BY75" s="69">
        <f t="shared" ca="1" si="70"/>
        <v>0</v>
      </c>
      <c r="BZ75" s="69">
        <f t="shared" ca="1" si="71"/>
        <v>0</v>
      </c>
    </row>
    <row r="76" spans="1:78">
      <c r="A76" s="305" t="s">
        <v>1215</v>
      </c>
      <c r="B76" s="126" t="s">
        <v>303</v>
      </c>
      <c r="C76" s="126" t="s">
        <v>966</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IF($C$5=0,0,INDEX(Faktoren!E62:GQ62,1,VLOOKUP($F$5,$L$2:$O$14,4,FALSE)+$C$9*5+VLOOKUP(D76,Auswahllisten!$E$25:$F$29,2,FALSE)))</f>
        <v>0</v>
      </c>
      <c r="G76" s="26">
        <f t="shared" ca="1" si="78"/>
        <v>0</v>
      </c>
      <c r="H76" s="26" cm="1">
        <f t="array" aca="1" ref="H76" ca="1">INDIRECT("Investition_gewählt!"&amp;$I$6&amp;AA76)</f>
        <v>8700</v>
      </c>
      <c r="I76" s="25" cm="1">
        <f t="array" aca="1" ref="I76" ca="1">IF($C$5=0,0,INDEX(Faktoren!E62:GQ62,1,VLOOKUP($F$6,$L$2:$O$14,4,FALSE)+$C$9*5+VLOOKUP(D76,Auswahllisten!$E$25:$F$29,2,FALSE)))</f>
        <v>0</v>
      </c>
      <c r="J76" s="26">
        <f t="shared" ca="1" si="79"/>
        <v>0</v>
      </c>
      <c r="K76" s="26">
        <f t="shared" ca="1" si="10"/>
        <v>0</v>
      </c>
      <c r="L76" s="16" t="b">
        <f t="shared" ca="1" si="77"/>
        <v>0</v>
      </c>
      <c r="M76" s="26">
        <f t="shared" ca="1" si="11"/>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IF($U$5=0,0,INDEX(Faktoren!E62:GQ62,1,VLOOKUP($X$5,$L$2:$O$14,4,FALSE)+$U$9*5+VLOOKUP(O76,Auswahllisten!$E$25:$F$29,2,FALSE)))</f>
        <v>0</v>
      </c>
      <c r="R76" s="26">
        <f t="shared" ca="1" si="12"/>
        <v>0</v>
      </c>
      <c r="S76" s="26" cm="1">
        <f t="array" aca="1" ref="S76" ca="1">INDIRECT("Investition_gewählt!"&amp;$AA$6&amp;AA76)</f>
        <v>8700</v>
      </c>
      <c r="T76" s="16" cm="1">
        <f t="array" aca="1" ref="T76" ca="1">IF($U$5=0,0,INDEX(Faktoren!E62:QG62,1,VLOOKUP($X$6,$L$3:$O$14,4,FALSE)+$U$9*5+VLOOKUP(O76,Auswahllisten!$E$25:$F$29,2,FALSE)))</f>
        <v>0</v>
      </c>
      <c r="U76" s="26">
        <f t="shared" ca="1" si="13"/>
        <v>0</v>
      </c>
      <c r="V76" s="26">
        <f t="shared" ca="1" si="14"/>
        <v>0</v>
      </c>
      <c r="W76" s="16" t="b">
        <f t="shared" ca="1" si="80"/>
        <v>0</v>
      </c>
      <c r="X76" s="26">
        <f t="shared" ca="1" si="16"/>
        <v>0</v>
      </c>
      <c r="Z76" s="1">
        <v>47</v>
      </c>
      <c r="AA76" s="1">
        <v>62</v>
      </c>
      <c r="AB76" s="1">
        <v>-2</v>
      </c>
      <c r="AN76" s="1">
        <v>51</v>
      </c>
      <c r="AO76" s="1">
        <f t="shared" si="67"/>
        <v>0</v>
      </c>
      <c r="AP76" s="69">
        <f t="shared" ref="AP76:AV85" ca="1" si="81">IFERROR($AO76*IF(MOD($AN76,AP$20)=0,AP$25,0)*(1+$AS$10)^$AN76*IF($AS$3=$AN76,0,1),0)</f>
        <v>0</v>
      </c>
      <c r="AQ76" s="69">
        <f t="shared" ca="1" si="81"/>
        <v>0</v>
      </c>
      <c r="AR76" s="69">
        <f t="shared" si="81"/>
        <v>0</v>
      </c>
      <c r="AS76" s="69">
        <f t="shared" ca="1" si="81"/>
        <v>0</v>
      </c>
      <c r="AT76" s="69">
        <f t="shared" ca="1" si="81"/>
        <v>0</v>
      </c>
      <c r="AU76" s="69">
        <f t="shared" ca="1" si="81"/>
        <v>0</v>
      </c>
      <c r="AV76" s="69">
        <f t="shared" si="81"/>
        <v>0</v>
      </c>
      <c r="AW76" s="69">
        <f t="shared" ca="1" si="29"/>
        <v>0</v>
      </c>
      <c r="AX76" s="69">
        <f t="shared" ca="1" si="30"/>
        <v>0</v>
      </c>
      <c r="AY76" s="69">
        <f t="shared" ca="1" si="31"/>
        <v>0</v>
      </c>
      <c r="AZ76" s="69">
        <f ca="1">$AO76*IF(Auswahllisten!$G$150,AZ$25+AZ$25*AZ$13*$AN76,AZ$25*(1+AZ$13)^$AN76)</f>
        <v>0</v>
      </c>
      <c r="BA76" s="69">
        <f ca="1">$AO76*IF(Auswahllisten!$G$150,BA$25+BA$25*BA$13*$AN76,BA$25*(1+BA$13)^$AN76)</f>
        <v>0</v>
      </c>
      <c r="BB76" s="69">
        <f ca="1">$AO76*IF(Auswahllisten!$G$150,BB$25+BB$25*BB$13*$AN76,BB$25*(1+BB$13)^$AN76)</f>
        <v>0</v>
      </c>
      <c r="BC76" s="69">
        <f ca="1">$AO76*IF(Auswahllisten!$G$150,BC$25+BC$25*BC$13*$AN76,BC$25*(1+BC$13)^$AN76)</f>
        <v>0</v>
      </c>
      <c r="BD76" s="69">
        <f t="shared" ca="1" si="32"/>
        <v>0</v>
      </c>
      <c r="BE76" s="69">
        <f t="shared" ca="1" si="33"/>
        <v>0</v>
      </c>
      <c r="BF76" s="69">
        <f t="shared" ca="1" si="34"/>
        <v>0</v>
      </c>
      <c r="BG76" s="69">
        <f t="shared" ca="1" si="35"/>
        <v>0</v>
      </c>
      <c r="BI76" s="69">
        <f t="shared" ca="1" si="36"/>
        <v>0</v>
      </c>
      <c r="BJ76" s="69">
        <f t="shared" ca="1" si="66"/>
        <v>0</v>
      </c>
      <c r="BK76" s="69">
        <f t="shared" si="66"/>
        <v>0</v>
      </c>
      <c r="BL76" s="69">
        <f t="shared" ca="1" si="66"/>
        <v>0</v>
      </c>
      <c r="BM76" s="69">
        <f t="shared" ca="1" si="64"/>
        <v>0</v>
      </c>
      <c r="BN76" s="69">
        <f t="shared" ca="1" si="64"/>
        <v>0</v>
      </c>
      <c r="BO76" s="69">
        <f t="shared" si="64"/>
        <v>0</v>
      </c>
      <c r="BP76" s="69">
        <f t="shared" ca="1" si="68"/>
        <v>0</v>
      </c>
      <c r="BQ76" s="69">
        <f t="shared" ca="1" si="38"/>
        <v>0</v>
      </c>
      <c r="BR76" s="69">
        <f t="shared" ca="1" si="69"/>
        <v>0</v>
      </c>
      <c r="BS76" s="69">
        <f ca="1">$AO76*IF(Auswahllisten!$G$150,BS$25+BS$25*BS$13*$AN76,BS$25*(1+BS$13)^$AN76)</f>
        <v>0</v>
      </c>
      <c r="BT76" s="69">
        <f ca="1">$AO76*IF(Auswahllisten!$G$150,BT$25+BT$25*BT$13*$AN76,BT$25*(1+BT$13)^$AN76)</f>
        <v>0</v>
      </c>
      <c r="BU76" s="69">
        <f ca="1">$AO76*IF(Auswahllisten!$G$150,BU$25+BU$25*BU$13*$AN76,BU$25*(1+BU$13)^$AN76)</f>
        <v>0</v>
      </c>
      <c r="BV76" s="69">
        <f ca="1">$AO76*IF(Auswahllisten!$G$150,BV$25+BV$25*BV$13*$AN76,BV$25*(1+BV$13)^$AN76)</f>
        <v>0</v>
      </c>
      <c r="BW76" s="69">
        <f t="shared" ca="1" si="39"/>
        <v>0</v>
      </c>
      <c r="BX76" s="69">
        <f t="shared" ca="1" si="40"/>
        <v>0</v>
      </c>
      <c r="BY76" s="69">
        <f t="shared" ca="1" si="70"/>
        <v>0</v>
      </c>
      <c r="BZ76" s="69">
        <f t="shared" ca="1" si="71"/>
        <v>0</v>
      </c>
    </row>
    <row r="77" spans="1:78">
      <c r="A77" s="305" t="s">
        <v>1244</v>
      </c>
      <c r="B77" s="126" t="s">
        <v>1245</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IF($C$5=0,0,INDEX(Faktoren!E63:GQ63,1,VLOOKUP($F$5,$L$2:$O$14,4,FALSE)+$C$9*5+VLOOKUP(D77,Auswahllisten!$E$25:$F$29,2,FALSE)))</f>
        <v>0</v>
      </c>
      <c r="G77" s="26">
        <f t="shared" ca="1" si="78"/>
        <v>0</v>
      </c>
      <c r="H77" s="26" cm="1">
        <f t="array" aca="1" ref="H77" ca="1">INDIRECT("Investition_gewählt!"&amp;$I$6&amp;AA77)</f>
        <v>0</v>
      </c>
      <c r="I77" s="25" cm="1">
        <f t="array" aca="1" ref="I77" ca="1">IF($C$5=0,0,INDEX(Faktoren!E63:GQ63,1,VLOOKUP($F$6,$L$2:$O$14,4,FALSE)+$C$9*5+VLOOKUP(D77,Auswahllisten!$E$25:$F$29,2,FALSE)))</f>
        <v>0</v>
      </c>
      <c r="J77" s="26">
        <f t="shared" ca="1" si="79"/>
        <v>0</v>
      </c>
      <c r="K77" s="26">
        <f t="shared" ca="1" si="10"/>
        <v>0</v>
      </c>
      <c r="L77" s="16" t="b">
        <f t="shared" ca="1" si="77"/>
        <v>0</v>
      </c>
      <c r="M77" s="26">
        <f t="shared" ca="1" si="11"/>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IF($U$5=0,0,INDEX(Faktoren!E63:GQ63,1,VLOOKUP($X$5,$L$2:$O$14,4,FALSE)+$U$9*5+VLOOKUP(O77,Auswahllisten!$E$25:$F$29,2,FALSE)))</f>
        <v>0</v>
      </c>
      <c r="R77" s="26">
        <f t="shared" ca="1" si="12"/>
        <v>0</v>
      </c>
      <c r="S77" s="26" cm="1">
        <f t="array" aca="1" ref="S77" ca="1">INDIRECT("Investition_gewählt!"&amp;$AA$6&amp;AA77)</f>
        <v>0</v>
      </c>
      <c r="T77" s="16" cm="1">
        <f t="array" aca="1" ref="T77" ca="1">IF($U$5=0,0,INDEX(Faktoren!E63:QG63,1,VLOOKUP($X$6,$L$3:$O$14,4,FALSE)+$U$9*5+VLOOKUP(O77,Auswahllisten!$E$25:$F$29,2,FALSE)))</f>
        <v>0</v>
      </c>
      <c r="U77" s="26">
        <f t="shared" ca="1" si="13"/>
        <v>0</v>
      </c>
      <c r="V77" s="26">
        <f t="shared" ca="1" si="14"/>
        <v>0</v>
      </c>
      <c r="W77" s="16" t="b">
        <f t="shared" ca="1" si="80"/>
        <v>0</v>
      </c>
      <c r="X77" s="26">
        <f t="shared" ca="1" si="16"/>
        <v>0</v>
      </c>
      <c r="Z77" s="1">
        <v>51</v>
      </c>
      <c r="AA77" s="1">
        <v>63</v>
      </c>
      <c r="AB77" s="1">
        <v>-2</v>
      </c>
      <c r="AN77" s="1">
        <v>52</v>
      </c>
      <c r="AO77" s="1">
        <f t="shared" si="67"/>
        <v>0</v>
      </c>
      <c r="AP77" s="69">
        <f t="shared" ca="1" si="81"/>
        <v>0</v>
      </c>
      <c r="AQ77" s="69">
        <f t="shared" ca="1" si="81"/>
        <v>0</v>
      </c>
      <c r="AR77" s="69">
        <f t="shared" si="81"/>
        <v>0</v>
      </c>
      <c r="AS77" s="69">
        <f t="shared" ca="1" si="81"/>
        <v>0</v>
      </c>
      <c r="AT77" s="69">
        <f t="shared" ca="1" si="81"/>
        <v>0</v>
      </c>
      <c r="AU77" s="69">
        <f t="shared" ca="1" si="81"/>
        <v>0</v>
      </c>
      <c r="AV77" s="69">
        <f t="shared" si="81"/>
        <v>0</v>
      </c>
      <c r="AW77" s="69">
        <f t="shared" ca="1" si="29"/>
        <v>0</v>
      </c>
      <c r="AX77" s="69">
        <f t="shared" ca="1" si="30"/>
        <v>0</v>
      </c>
      <c r="AY77" s="69">
        <f t="shared" ca="1" si="31"/>
        <v>0</v>
      </c>
      <c r="AZ77" s="69">
        <f ca="1">$AO77*IF(Auswahllisten!$G$150,AZ$25+AZ$25*AZ$13*$AN77,AZ$25*(1+AZ$13)^$AN77)</f>
        <v>0</v>
      </c>
      <c r="BA77" s="69">
        <f ca="1">$AO77*IF(Auswahllisten!$G$150,BA$25+BA$25*BA$13*$AN77,BA$25*(1+BA$13)^$AN77)</f>
        <v>0</v>
      </c>
      <c r="BB77" s="69">
        <f ca="1">$AO77*IF(Auswahllisten!$G$150,BB$25+BB$25*BB$13*$AN77,BB$25*(1+BB$13)^$AN77)</f>
        <v>0</v>
      </c>
      <c r="BC77" s="69">
        <f ca="1">$AO77*IF(Auswahllisten!$G$150,BC$25+BC$25*BC$13*$AN77,BC$25*(1+BC$13)^$AN77)</f>
        <v>0</v>
      </c>
      <c r="BD77" s="69">
        <f t="shared" ca="1" si="32"/>
        <v>0</v>
      </c>
      <c r="BE77" s="69">
        <f t="shared" ca="1" si="33"/>
        <v>0</v>
      </c>
      <c r="BF77" s="69">
        <f t="shared" ca="1" si="34"/>
        <v>0</v>
      </c>
      <c r="BG77" s="69">
        <f t="shared" ca="1" si="35"/>
        <v>0</v>
      </c>
      <c r="BI77" s="69">
        <f t="shared" ca="1" si="36"/>
        <v>0</v>
      </c>
      <c r="BJ77" s="69">
        <f t="shared" ca="1" si="66"/>
        <v>0</v>
      </c>
      <c r="BK77" s="69">
        <f t="shared" si="66"/>
        <v>0</v>
      </c>
      <c r="BL77" s="69">
        <f t="shared" ca="1" si="66"/>
        <v>0</v>
      </c>
      <c r="BM77" s="69">
        <f t="shared" ca="1" si="64"/>
        <v>0</v>
      </c>
      <c r="BN77" s="69">
        <f t="shared" ca="1" si="64"/>
        <v>0</v>
      </c>
      <c r="BO77" s="69">
        <f t="shared" si="64"/>
        <v>0</v>
      </c>
      <c r="BP77" s="69">
        <f t="shared" ca="1" si="68"/>
        <v>0</v>
      </c>
      <c r="BQ77" s="69">
        <f t="shared" ca="1" si="38"/>
        <v>0</v>
      </c>
      <c r="BR77" s="69">
        <f t="shared" ca="1" si="69"/>
        <v>0</v>
      </c>
      <c r="BS77" s="69">
        <f ca="1">$AO77*IF(Auswahllisten!$G$150,BS$25+BS$25*BS$13*$AN77,BS$25*(1+BS$13)^$AN77)</f>
        <v>0</v>
      </c>
      <c r="BT77" s="69">
        <f ca="1">$AO77*IF(Auswahllisten!$G$150,BT$25+BT$25*BT$13*$AN77,BT$25*(1+BT$13)^$AN77)</f>
        <v>0</v>
      </c>
      <c r="BU77" s="69">
        <f ca="1">$AO77*IF(Auswahllisten!$G$150,BU$25+BU$25*BU$13*$AN77,BU$25*(1+BU$13)^$AN77)</f>
        <v>0</v>
      </c>
      <c r="BV77" s="69">
        <f ca="1">$AO77*IF(Auswahllisten!$G$150,BV$25+BV$25*BV$13*$AN77,BV$25*(1+BV$13)^$AN77)</f>
        <v>0</v>
      </c>
      <c r="BW77" s="69">
        <f t="shared" ca="1" si="39"/>
        <v>0</v>
      </c>
      <c r="BX77" s="69">
        <f t="shared" ca="1" si="40"/>
        <v>0</v>
      </c>
      <c r="BY77" s="69">
        <f t="shared" ca="1" si="70"/>
        <v>0</v>
      </c>
      <c r="BZ77" s="69">
        <f t="shared" ca="1" si="71"/>
        <v>0</v>
      </c>
    </row>
    <row r="78" spans="1:78">
      <c r="A78" s="305" t="s">
        <v>1244</v>
      </c>
      <c r="B78" s="126" t="s">
        <v>1245</v>
      </c>
      <c r="C78" s="126" t="s">
        <v>967</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IF($C$5=0,0,INDEX(Faktoren!E64:GQ64,1,VLOOKUP($F$5,$L$2:$O$14,4,FALSE)+$C$9*5+VLOOKUP(D78,Auswahllisten!$E$25:$F$29,2,FALSE)))</f>
        <v>0</v>
      </c>
      <c r="G78" s="26">
        <f t="shared" ca="1" si="78"/>
        <v>0</v>
      </c>
      <c r="H78" s="26" cm="1">
        <f t="array" aca="1" ref="H78" ca="1">INDIRECT("Investition_gewählt!"&amp;$I$6&amp;AA78)</f>
        <v>0</v>
      </c>
      <c r="I78" s="25" cm="1">
        <f t="array" aca="1" ref="I78" ca="1">IF($C$5=0,0,INDEX(Faktoren!E64:GQ64,1,VLOOKUP($F$6,$L$2:$O$14,4,FALSE)+$C$9*5+VLOOKUP(D78,Auswahllisten!$E$25:$F$29,2,FALSE)))</f>
        <v>0</v>
      </c>
      <c r="J78" s="26">
        <f t="shared" ca="1" si="79"/>
        <v>0</v>
      </c>
      <c r="K78" s="26">
        <f t="shared" ca="1" si="10"/>
        <v>0</v>
      </c>
      <c r="L78" s="16" t="b">
        <f t="shared" ca="1" si="77"/>
        <v>0</v>
      </c>
      <c r="M78" s="26">
        <f t="shared" ca="1" si="11"/>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IF($U$5=0,0,INDEX(Faktoren!E64:GQ64,1,VLOOKUP($X$5,$L$2:$O$14,4,FALSE)+$U$9*5+VLOOKUP(O78,Auswahllisten!$E$25:$F$29,2,FALSE)))</f>
        <v>0</v>
      </c>
      <c r="R78" s="26">
        <f t="shared" ca="1" si="12"/>
        <v>0</v>
      </c>
      <c r="S78" s="26" cm="1">
        <f t="array" aca="1" ref="S78" ca="1">INDIRECT("Investition_gewählt!"&amp;$AA$6&amp;AA78)</f>
        <v>0</v>
      </c>
      <c r="T78" s="16" cm="1">
        <f t="array" aca="1" ref="T78" ca="1">IF($U$5=0,0,INDEX(Faktoren!E64:QG64,1,VLOOKUP($X$6,$L$3:$O$14,4,FALSE)+$U$9*5+VLOOKUP(O78,Auswahllisten!$E$25:$F$29,2,FALSE)))</f>
        <v>0</v>
      </c>
      <c r="U78" s="26">
        <f t="shared" ca="1" si="13"/>
        <v>0</v>
      </c>
      <c r="V78" s="26">
        <f t="shared" ca="1" si="14"/>
        <v>0</v>
      </c>
      <c r="W78" s="16" t="b">
        <f t="shared" ca="1" si="80"/>
        <v>0</v>
      </c>
      <c r="X78" s="26">
        <f t="shared" ca="1" si="16"/>
        <v>0</v>
      </c>
      <c r="Z78" s="1">
        <v>49</v>
      </c>
      <c r="AA78" s="1">
        <v>64</v>
      </c>
      <c r="AB78" s="1">
        <v>-2</v>
      </c>
      <c r="AN78" s="1">
        <v>53</v>
      </c>
      <c r="AO78" s="1">
        <f t="shared" si="67"/>
        <v>0</v>
      </c>
      <c r="AP78" s="69">
        <f t="shared" ca="1" si="81"/>
        <v>0</v>
      </c>
      <c r="AQ78" s="69">
        <f t="shared" ca="1" si="81"/>
        <v>0</v>
      </c>
      <c r="AR78" s="69">
        <f t="shared" si="81"/>
        <v>0</v>
      </c>
      <c r="AS78" s="69">
        <f t="shared" ca="1" si="81"/>
        <v>0</v>
      </c>
      <c r="AT78" s="69">
        <f t="shared" ca="1" si="81"/>
        <v>0</v>
      </c>
      <c r="AU78" s="69">
        <f t="shared" ca="1" si="81"/>
        <v>0</v>
      </c>
      <c r="AV78" s="69">
        <f t="shared" si="81"/>
        <v>0</v>
      </c>
      <c r="AW78" s="69">
        <f t="shared" ca="1" si="29"/>
        <v>0</v>
      </c>
      <c r="AX78" s="69">
        <f t="shared" ca="1" si="30"/>
        <v>0</v>
      </c>
      <c r="AY78" s="69">
        <f t="shared" ca="1" si="31"/>
        <v>0</v>
      </c>
      <c r="AZ78" s="69">
        <f ca="1">$AO78*IF(Auswahllisten!$G$150,AZ$25+AZ$25*AZ$13*$AN78,AZ$25*(1+AZ$13)^$AN78)</f>
        <v>0</v>
      </c>
      <c r="BA78" s="69">
        <f ca="1">$AO78*IF(Auswahllisten!$G$150,BA$25+BA$25*BA$13*$AN78,BA$25*(1+BA$13)^$AN78)</f>
        <v>0</v>
      </c>
      <c r="BB78" s="69">
        <f ca="1">$AO78*IF(Auswahllisten!$G$150,BB$25+BB$25*BB$13*$AN78,BB$25*(1+BB$13)^$AN78)</f>
        <v>0</v>
      </c>
      <c r="BC78" s="69">
        <f ca="1">$AO78*IF(Auswahllisten!$G$150,BC$25+BC$25*BC$13*$AN78,BC$25*(1+BC$13)^$AN78)</f>
        <v>0</v>
      </c>
      <c r="BD78" s="69">
        <f t="shared" ca="1" si="32"/>
        <v>0</v>
      </c>
      <c r="BE78" s="69">
        <f t="shared" ca="1" si="33"/>
        <v>0</v>
      </c>
      <c r="BF78" s="69">
        <f t="shared" ca="1" si="34"/>
        <v>0</v>
      </c>
      <c r="BG78" s="69">
        <f t="shared" ca="1" si="35"/>
        <v>0</v>
      </c>
      <c r="BI78" s="69">
        <f t="shared" ca="1" si="36"/>
        <v>0</v>
      </c>
      <c r="BJ78" s="69">
        <f t="shared" ca="1" si="66"/>
        <v>0</v>
      </c>
      <c r="BK78" s="69">
        <f t="shared" si="66"/>
        <v>0</v>
      </c>
      <c r="BL78" s="69">
        <f t="shared" ca="1" si="66"/>
        <v>0</v>
      </c>
      <c r="BM78" s="69">
        <f t="shared" ca="1" si="64"/>
        <v>0</v>
      </c>
      <c r="BN78" s="69">
        <f t="shared" ca="1" si="64"/>
        <v>0</v>
      </c>
      <c r="BO78" s="69">
        <f t="shared" si="64"/>
        <v>0</v>
      </c>
      <c r="BP78" s="69">
        <f t="shared" ca="1" si="68"/>
        <v>0</v>
      </c>
      <c r="BQ78" s="69">
        <f t="shared" ca="1" si="38"/>
        <v>0</v>
      </c>
      <c r="BR78" s="69">
        <f t="shared" ca="1" si="69"/>
        <v>0</v>
      </c>
      <c r="BS78" s="69">
        <f ca="1">$AO78*IF(Auswahllisten!$G$150,BS$25+BS$25*BS$13*$AN78,BS$25*(1+BS$13)^$AN78)</f>
        <v>0</v>
      </c>
      <c r="BT78" s="69">
        <f ca="1">$AO78*IF(Auswahllisten!$G$150,BT$25+BT$25*BT$13*$AN78,BT$25*(1+BT$13)^$AN78)</f>
        <v>0</v>
      </c>
      <c r="BU78" s="69">
        <f ca="1">$AO78*IF(Auswahllisten!$G$150,BU$25+BU$25*BU$13*$AN78,BU$25*(1+BU$13)^$AN78)</f>
        <v>0</v>
      </c>
      <c r="BV78" s="69">
        <f ca="1">$AO78*IF(Auswahllisten!$G$150,BV$25+BV$25*BV$13*$AN78,BV$25*(1+BV$13)^$AN78)</f>
        <v>0</v>
      </c>
      <c r="BW78" s="69">
        <f t="shared" ca="1" si="39"/>
        <v>0</v>
      </c>
      <c r="BX78" s="69">
        <f t="shared" ca="1" si="40"/>
        <v>0</v>
      </c>
      <c r="BY78" s="69">
        <f t="shared" ca="1" si="70"/>
        <v>0</v>
      </c>
      <c r="BZ78" s="69">
        <f t="shared" ca="1" si="71"/>
        <v>0</v>
      </c>
    </row>
    <row r="79" spans="1:78">
      <c r="A79" s="307" t="s">
        <v>1244</v>
      </c>
      <c r="B79" s="297" t="s">
        <v>1245</v>
      </c>
      <c r="C79" s="134" t="s">
        <v>359</v>
      </c>
      <c r="D79" s="163" t="str" cm="1">
        <f t="array" aca="1" ref="D79" ca="1">INDIRECT("Vergleich!"&amp;$G$2&amp;Z79)</f>
        <v>mittel</v>
      </c>
      <c r="E79" s="163" cm="1">
        <f t="array" aca="1" ref="E79" ca="1">INDIRECT("Investition_gewählt!"&amp;$I$5&amp;AA79)</f>
        <v>4500</v>
      </c>
      <c r="F79" s="61" cm="1">
        <f t="array" aca="1" ref="F79" ca="1">IF($C$5=0,0,INDEX(Faktoren!E65:GQ65,1,VLOOKUP($F$5,$L$2:$O$14,4,FALSE)+$C$9*5+VLOOKUP(D79,Auswahllisten!$E$25:$F$29,2,FALSE)))</f>
        <v>0</v>
      </c>
      <c r="G79" s="296">
        <f t="shared" ca="1" si="78"/>
        <v>0</v>
      </c>
      <c r="H79" s="296" cm="1">
        <f t="array" aca="1" ref="H79" ca="1">INDIRECT("Investition_gewählt!"&amp;$I$6&amp;AA79)</f>
        <v>4500</v>
      </c>
      <c r="I79" s="61" cm="1">
        <f t="array" aca="1" ref="I79" ca="1">IF($C$5=0,0,INDEX(Faktoren!E65:GQ65,1,VLOOKUP($F$6,$L$2:$O$14,4,FALSE)+$C$9*5+VLOOKUP(D79,Auswahllisten!$E$25:$F$29,2,FALSE)))</f>
        <v>0</v>
      </c>
      <c r="J79" s="163">
        <f t="shared" ca="1" si="79"/>
        <v>0</v>
      </c>
      <c r="K79" s="163">
        <f t="shared" ca="1" si="10"/>
        <v>0</v>
      </c>
      <c r="L79" s="93" t="b">
        <f t="shared" ca="1" si="77"/>
        <v>0</v>
      </c>
      <c r="M79" s="163">
        <f t="shared" ca="1" si="11"/>
        <v>0</v>
      </c>
      <c r="O79" s="93" t="str" cm="1">
        <f t="array" aca="1" ref="O79" ca="1">INDIRECT("Vergleich!"&amp;$Y$2&amp;Z79)</f>
        <v>gering</v>
      </c>
      <c r="P79" s="163" cm="1">
        <f t="array" aca="1" ref="P79" ca="1">INDIRECT("Investition_gewählt!"&amp;$AA$5&amp;AA79)</f>
        <v>4500</v>
      </c>
      <c r="Q79" s="93" cm="1">
        <f t="array" aca="1" ref="Q79" ca="1">IF($U$5=0,0,INDEX(Faktoren!E65:GQ65,1,VLOOKUP($X$5,$L$2:$O$14,4,FALSE)+$U$9*5+VLOOKUP(O79,Auswahllisten!$E$25:$F$29,2,FALSE)))</f>
        <v>0</v>
      </c>
      <c r="R79" s="163">
        <f t="shared" ca="1" si="12"/>
        <v>0</v>
      </c>
      <c r="S79" s="163" cm="1">
        <f t="array" aca="1" ref="S79" ca="1">INDIRECT("Investition_gewählt!"&amp;$AA$6&amp;AA79)</f>
        <v>4500</v>
      </c>
      <c r="T79" s="93" cm="1">
        <f t="array" aca="1" ref="T79" ca="1">IF($U$5=0,0,INDEX(Faktoren!E65:QG65,1,VLOOKUP($X$6,$L$3:$O$14,4,FALSE)+$U$9*5+VLOOKUP(O79,Auswahllisten!$E$25:$F$29,2,FALSE)))</f>
        <v>0</v>
      </c>
      <c r="U79" s="163">
        <f t="shared" ca="1" si="13"/>
        <v>0</v>
      </c>
      <c r="V79" s="163">
        <f t="shared" ca="1" si="14"/>
        <v>0</v>
      </c>
      <c r="W79" s="93" t="b">
        <f t="shared" ca="1" si="80"/>
        <v>0</v>
      </c>
      <c r="X79" s="163">
        <f t="shared" ca="1" si="16"/>
        <v>0</v>
      </c>
      <c r="Z79" s="1">
        <v>50</v>
      </c>
      <c r="AA79" s="1">
        <v>65</v>
      </c>
      <c r="AB79" s="1">
        <v>-2</v>
      </c>
      <c r="AN79" s="1">
        <v>54</v>
      </c>
      <c r="AO79" s="1">
        <f t="shared" si="67"/>
        <v>0</v>
      </c>
      <c r="AP79" s="69">
        <f t="shared" ca="1" si="81"/>
        <v>0</v>
      </c>
      <c r="AQ79" s="69">
        <f t="shared" ca="1" si="81"/>
        <v>0</v>
      </c>
      <c r="AR79" s="69">
        <f t="shared" si="81"/>
        <v>0</v>
      </c>
      <c r="AS79" s="69">
        <f t="shared" ca="1" si="81"/>
        <v>0</v>
      </c>
      <c r="AT79" s="69">
        <f t="shared" ca="1" si="81"/>
        <v>0</v>
      </c>
      <c r="AU79" s="69">
        <f t="shared" ca="1" si="81"/>
        <v>0</v>
      </c>
      <c r="AV79" s="69">
        <f t="shared" si="81"/>
        <v>0</v>
      </c>
      <c r="AW79" s="69">
        <f t="shared" ca="1" si="29"/>
        <v>0</v>
      </c>
      <c r="AX79" s="69">
        <f t="shared" ca="1" si="30"/>
        <v>0</v>
      </c>
      <c r="AY79" s="69">
        <f t="shared" ca="1" si="31"/>
        <v>0</v>
      </c>
      <c r="AZ79" s="69">
        <f ca="1">$AO79*IF(Auswahllisten!$G$150,AZ$25+AZ$25*AZ$13*$AN79,AZ$25*(1+AZ$13)^$AN79)</f>
        <v>0</v>
      </c>
      <c r="BA79" s="69">
        <f ca="1">$AO79*IF(Auswahllisten!$G$150,BA$25+BA$25*BA$13*$AN79,BA$25*(1+BA$13)^$AN79)</f>
        <v>0</v>
      </c>
      <c r="BB79" s="69">
        <f ca="1">$AO79*IF(Auswahllisten!$G$150,BB$25+BB$25*BB$13*$AN79,BB$25*(1+BB$13)^$AN79)</f>
        <v>0</v>
      </c>
      <c r="BC79" s="69">
        <f ca="1">$AO79*IF(Auswahllisten!$G$150,BC$25+BC$25*BC$13*$AN79,BC$25*(1+BC$13)^$AN79)</f>
        <v>0</v>
      </c>
      <c r="BD79" s="69">
        <f t="shared" ca="1" si="32"/>
        <v>0</v>
      </c>
      <c r="BE79" s="69">
        <f t="shared" ca="1" si="33"/>
        <v>0</v>
      </c>
      <c r="BF79" s="69">
        <f t="shared" ca="1" si="34"/>
        <v>0</v>
      </c>
      <c r="BG79" s="69">
        <f t="shared" ca="1" si="35"/>
        <v>0</v>
      </c>
      <c r="BI79" s="69">
        <f t="shared" ca="1" si="36"/>
        <v>0</v>
      </c>
      <c r="BJ79" s="69">
        <f t="shared" ca="1" si="66"/>
        <v>0</v>
      </c>
      <c r="BK79" s="69">
        <f t="shared" si="66"/>
        <v>0</v>
      </c>
      <c r="BL79" s="69">
        <f t="shared" ca="1" si="66"/>
        <v>0</v>
      </c>
      <c r="BM79" s="69">
        <f t="shared" ca="1" si="64"/>
        <v>0</v>
      </c>
      <c r="BN79" s="69">
        <f t="shared" ca="1" si="64"/>
        <v>0</v>
      </c>
      <c r="BO79" s="69">
        <f t="shared" si="64"/>
        <v>0</v>
      </c>
      <c r="BP79" s="69">
        <f t="shared" ca="1" si="68"/>
        <v>0</v>
      </c>
      <c r="BQ79" s="69">
        <f t="shared" ca="1" si="38"/>
        <v>0</v>
      </c>
      <c r="BR79" s="69">
        <f t="shared" ca="1" si="69"/>
        <v>0</v>
      </c>
      <c r="BS79" s="69">
        <f ca="1">$AO79*IF(Auswahllisten!$G$150,BS$25+BS$25*BS$13*$AN79,BS$25*(1+BS$13)^$AN79)</f>
        <v>0</v>
      </c>
      <c r="BT79" s="69">
        <f ca="1">$AO79*IF(Auswahllisten!$G$150,BT$25+BT$25*BT$13*$AN79,BT$25*(1+BT$13)^$AN79)</f>
        <v>0</v>
      </c>
      <c r="BU79" s="69">
        <f ca="1">$AO79*IF(Auswahllisten!$G$150,BU$25+BU$25*BU$13*$AN79,BU$25*(1+BU$13)^$AN79)</f>
        <v>0</v>
      </c>
      <c r="BV79" s="69">
        <f ca="1">$AO79*IF(Auswahllisten!$G$150,BV$25+BV$25*BV$13*$AN79,BV$25*(1+BV$13)^$AN79)</f>
        <v>0</v>
      </c>
      <c r="BW79" s="69">
        <f t="shared" ca="1" si="39"/>
        <v>0</v>
      </c>
      <c r="BX79" s="69">
        <f t="shared" ca="1" si="40"/>
        <v>0</v>
      </c>
      <c r="BY79" s="69">
        <f t="shared" ca="1" si="70"/>
        <v>0</v>
      </c>
      <c r="BZ79" s="69">
        <f t="shared" ca="1" si="71"/>
        <v>0</v>
      </c>
    </row>
    <row r="80" spans="1:78">
      <c r="A80" s="125"/>
      <c r="B80" s="64"/>
      <c r="C80" s="64"/>
      <c r="D80" s="69"/>
      <c r="E80" s="69"/>
      <c r="G80" s="69"/>
      <c r="H80" s="69"/>
      <c r="J80" s="69"/>
      <c r="K80" s="69"/>
      <c r="M80" s="69"/>
      <c r="P80" s="69"/>
      <c r="R80" s="69"/>
      <c r="S80" s="69"/>
      <c r="U80" s="69"/>
      <c r="V80" s="69"/>
      <c r="X80" s="69"/>
      <c r="AA80" s="1">
        <v>66</v>
      </c>
      <c r="AB80" s="1">
        <v>-2</v>
      </c>
      <c r="AN80" s="1">
        <v>55</v>
      </c>
      <c r="AO80" s="1">
        <f t="shared" si="67"/>
        <v>0</v>
      </c>
      <c r="AP80" s="69">
        <f t="shared" ca="1" si="81"/>
        <v>0</v>
      </c>
      <c r="AQ80" s="69">
        <f t="shared" ca="1" si="81"/>
        <v>0</v>
      </c>
      <c r="AR80" s="69">
        <f t="shared" si="81"/>
        <v>0</v>
      </c>
      <c r="AS80" s="69">
        <f t="shared" ca="1" si="81"/>
        <v>0</v>
      </c>
      <c r="AT80" s="69">
        <f t="shared" ca="1" si="81"/>
        <v>0</v>
      </c>
      <c r="AU80" s="69">
        <f t="shared" ca="1" si="81"/>
        <v>0</v>
      </c>
      <c r="AV80" s="69">
        <f t="shared" si="81"/>
        <v>0</v>
      </c>
      <c r="AW80" s="69">
        <f t="shared" ca="1" si="29"/>
        <v>0</v>
      </c>
      <c r="AX80" s="69">
        <f t="shared" ca="1" si="30"/>
        <v>0</v>
      </c>
      <c r="AY80" s="69">
        <f t="shared" ca="1" si="31"/>
        <v>0</v>
      </c>
      <c r="AZ80" s="69">
        <f ca="1">$AO80*IF(Auswahllisten!$G$150,AZ$25+AZ$25*AZ$13*$AN80,AZ$25*(1+AZ$13)^$AN80)</f>
        <v>0</v>
      </c>
      <c r="BA80" s="69">
        <f ca="1">$AO80*IF(Auswahllisten!$G$150,BA$25+BA$25*BA$13*$AN80,BA$25*(1+BA$13)^$AN80)</f>
        <v>0</v>
      </c>
      <c r="BB80" s="69">
        <f ca="1">$AO80*IF(Auswahllisten!$G$150,BB$25+BB$25*BB$13*$AN80,BB$25*(1+BB$13)^$AN80)</f>
        <v>0</v>
      </c>
      <c r="BC80" s="69">
        <f ca="1">$AO80*IF(Auswahllisten!$G$150,BC$25+BC$25*BC$13*$AN80,BC$25*(1+BC$13)^$AN80)</f>
        <v>0</v>
      </c>
      <c r="BD80" s="69">
        <f t="shared" ca="1" si="32"/>
        <v>0</v>
      </c>
      <c r="BE80" s="69">
        <f t="shared" ca="1" si="33"/>
        <v>0</v>
      </c>
      <c r="BF80" s="69">
        <f t="shared" ca="1" si="34"/>
        <v>0</v>
      </c>
      <c r="BG80" s="69">
        <f t="shared" ca="1" si="35"/>
        <v>0</v>
      </c>
      <c r="BI80" s="69">
        <f t="shared" ca="1" si="36"/>
        <v>0</v>
      </c>
      <c r="BJ80" s="69">
        <f t="shared" ca="1" si="66"/>
        <v>0</v>
      </c>
      <c r="BK80" s="69">
        <f t="shared" si="66"/>
        <v>0</v>
      </c>
      <c r="BL80" s="69">
        <f t="shared" ca="1" si="66"/>
        <v>0</v>
      </c>
      <c r="BM80" s="69">
        <f t="shared" ca="1" si="64"/>
        <v>0</v>
      </c>
      <c r="BN80" s="69">
        <f t="shared" ca="1" si="64"/>
        <v>0</v>
      </c>
      <c r="BO80" s="69">
        <f t="shared" si="64"/>
        <v>0</v>
      </c>
      <c r="BP80" s="69">
        <f t="shared" ca="1" si="68"/>
        <v>0</v>
      </c>
      <c r="BQ80" s="69">
        <f t="shared" ca="1" si="38"/>
        <v>0</v>
      </c>
      <c r="BR80" s="69">
        <f t="shared" ca="1" si="69"/>
        <v>0</v>
      </c>
      <c r="BS80" s="69">
        <f ca="1">$AO80*IF(Auswahllisten!$G$150,BS$25+BS$25*BS$13*$AN80,BS$25*(1+BS$13)^$AN80)</f>
        <v>0</v>
      </c>
      <c r="BT80" s="69">
        <f ca="1">$AO80*IF(Auswahllisten!$G$150,BT$25+BT$25*BT$13*$AN80,BT$25*(1+BT$13)^$AN80)</f>
        <v>0</v>
      </c>
      <c r="BU80" s="69">
        <f ca="1">$AO80*IF(Auswahllisten!$G$150,BU$25+BU$25*BU$13*$AN80,BU$25*(1+BU$13)^$AN80)</f>
        <v>0</v>
      </c>
      <c r="BV80" s="69">
        <f ca="1">$AO80*IF(Auswahllisten!$G$150,BV$25+BV$25*BV$13*$AN80,BV$25*(1+BV$13)^$AN80)</f>
        <v>0</v>
      </c>
      <c r="BW80" s="69">
        <f t="shared" ca="1" si="39"/>
        <v>0</v>
      </c>
      <c r="BX80" s="69">
        <f t="shared" ca="1" si="40"/>
        <v>0</v>
      </c>
      <c r="BY80" s="69">
        <f t="shared" ca="1" si="70"/>
        <v>0</v>
      </c>
      <c r="BZ80" s="69">
        <f t="shared" ca="1" si="71"/>
        <v>0</v>
      </c>
    </row>
    <row r="81" spans="1:78">
      <c r="A81" s="8" t="s">
        <v>1002</v>
      </c>
      <c r="B81" s="8" t="s">
        <v>1810</v>
      </c>
      <c r="L81" s="155">
        <v>14</v>
      </c>
      <c r="AA81" s="1">
        <v>67</v>
      </c>
      <c r="AN81" s="1">
        <v>56</v>
      </c>
      <c r="AO81" s="1">
        <f t="shared" si="67"/>
        <v>0</v>
      </c>
      <c r="AP81" s="69">
        <f t="shared" ca="1" si="81"/>
        <v>0</v>
      </c>
      <c r="AQ81" s="69">
        <f t="shared" ca="1" si="81"/>
        <v>0</v>
      </c>
      <c r="AR81" s="69">
        <f t="shared" si="81"/>
        <v>0</v>
      </c>
      <c r="AS81" s="69">
        <f t="shared" ca="1" si="81"/>
        <v>0</v>
      </c>
      <c r="AT81" s="69">
        <f t="shared" ca="1" si="81"/>
        <v>0</v>
      </c>
      <c r="AU81" s="69">
        <f t="shared" ca="1" si="81"/>
        <v>0</v>
      </c>
      <c r="AV81" s="69">
        <f t="shared" si="81"/>
        <v>0</v>
      </c>
      <c r="AW81" s="69">
        <f t="shared" ca="1" si="29"/>
        <v>0</v>
      </c>
      <c r="AX81" s="69">
        <f t="shared" ca="1" si="30"/>
        <v>0</v>
      </c>
      <c r="AY81" s="69">
        <f t="shared" ca="1" si="31"/>
        <v>0</v>
      </c>
      <c r="AZ81" s="69">
        <f ca="1">$AO81*IF(Auswahllisten!$G$150,AZ$25+AZ$25*AZ$13*$AN81,AZ$25*(1+AZ$13)^$AN81)</f>
        <v>0</v>
      </c>
      <c r="BA81" s="69">
        <f ca="1">$AO81*IF(Auswahllisten!$G$150,BA$25+BA$25*BA$13*$AN81,BA$25*(1+BA$13)^$AN81)</f>
        <v>0</v>
      </c>
      <c r="BB81" s="69">
        <f ca="1">$AO81*IF(Auswahllisten!$G$150,BB$25+BB$25*BB$13*$AN81,BB$25*(1+BB$13)^$AN81)</f>
        <v>0</v>
      </c>
      <c r="BC81" s="69">
        <f ca="1">$AO81*IF(Auswahllisten!$G$150,BC$25+BC$25*BC$13*$AN81,BC$25*(1+BC$13)^$AN81)</f>
        <v>0</v>
      </c>
      <c r="BD81" s="69">
        <f t="shared" ca="1" si="32"/>
        <v>0</v>
      </c>
      <c r="BE81" s="69">
        <f t="shared" ca="1" si="33"/>
        <v>0</v>
      </c>
      <c r="BF81" s="69">
        <f t="shared" ca="1" si="34"/>
        <v>0</v>
      </c>
      <c r="BG81" s="69">
        <f t="shared" ca="1" si="35"/>
        <v>0</v>
      </c>
      <c r="BI81" s="69">
        <f t="shared" ca="1" si="36"/>
        <v>0</v>
      </c>
      <c r="BJ81" s="69">
        <f t="shared" ca="1" si="66"/>
        <v>0</v>
      </c>
      <c r="BK81" s="69">
        <f t="shared" si="66"/>
        <v>0</v>
      </c>
      <c r="BL81" s="69">
        <f t="shared" ca="1" si="66"/>
        <v>0</v>
      </c>
      <c r="BM81" s="69">
        <f t="shared" ca="1" si="64"/>
        <v>0</v>
      </c>
      <c r="BN81" s="69">
        <f t="shared" ca="1" si="64"/>
        <v>0</v>
      </c>
      <c r="BO81" s="69">
        <f t="shared" si="64"/>
        <v>0</v>
      </c>
      <c r="BP81" s="69">
        <f t="shared" ca="1" si="68"/>
        <v>0</v>
      </c>
      <c r="BQ81" s="69">
        <f t="shared" ca="1" si="38"/>
        <v>0</v>
      </c>
      <c r="BR81" s="69">
        <f t="shared" ca="1" si="69"/>
        <v>0</v>
      </c>
      <c r="BS81" s="69">
        <f ca="1">$AO81*IF(Auswahllisten!$G$150,BS$25+BS$25*BS$13*$AN81,BS$25*(1+BS$13)^$AN81)</f>
        <v>0</v>
      </c>
      <c r="BT81" s="69">
        <f ca="1">$AO81*IF(Auswahllisten!$G$150,BT$25+BT$25*BT$13*$AN81,BT$25*(1+BT$13)^$AN81)</f>
        <v>0</v>
      </c>
      <c r="BU81" s="69">
        <f ca="1">$AO81*IF(Auswahllisten!$G$150,BU$25+BU$25*BU$13*$AN81,BU$25*(1+BU$13)^$AN81)</f>
        <v>0</v>
      </c>
      <c r="BV81" s="69">
        <f ca="1">$AO81*IF(Auswahllisten!$G$150,BV$25+BV$25*BV$13*$AN81,BV$25*(1+BV$13)^$AN81)</f>
        <v>0</v>
      </c>
      <c r="BW81" s="69">
        <f t="shared" ca="1" si="39"/>
        <v>0</v>
      </c>
      <c r="BX81" s="69">
        <f t="shared" ca="1" si="40"/>
        <v>0</v>
      </c>
      <c r="BY81" s="69">
        <f t="shared" ca="1" si="70"/>
        <v>0</v>
      </c>
      <c r="BZ81" s="69">
        <f t="shared" ca="1" si="71"/>
        <v>0</v>
      </c>
    </row>
    <row r="82" spans="1:78">
      <c r="A82" s="304" t="s">
        <v>1217</v>
      </c>
      <c r="B82" s="131" t="s">
        <v>1242</v>
      </c>
      <c r="C82" s="131" t="s">
        <v>246</v>
      </c>
      <c r="D82" s="162" t="str" cm="1">
        <f t="array" aca="1" ref="D82" ca="1">INDIRECT("Vergleich!"&amp;$G$2&amp;Z82)</f>
        <v>mittel</v>
      </c>
      <c r="E82" s="162" cm="1">
        <f t="array" aca="1" ref="E82" ca="1">INDIRECT("Investition_gewählt!"&amp;$I$5&amp;AA82)</f>
        <v>20800</v>
      </c>
      <c r="F82" s="25" cm="1">
        <f t="array" aca="1" ref="F82" ca="1">IF($C$5=0,0,INDEX(Faktoren!E68:GQ68,1,VLOOKUP($F$5,$L$2:$O$14,4,FALSE)+$C$9*5+VLOOKUP(D82,Auswahllisten!$E$25:$F$29,2,FALSE)))</f>
        <v>0</v>
      </c>
      <c r="G82" s="162">
        <f ca="1">E82*F82</f>
        <v>0</v>
      </c>
      <c r="H82" s="162" cm="1">
        <f t="array" aca="1" ref="H82" ca="1">INDIRECT("Investition_gewählt!"&amp;$I$6&amp;AA82)</f>
        <v>20800</v>
      </c>
      <c r="I82" s="25" cm="1">
        <f t="array" aca="1" ref="I82" ca="1">IF($C$5=0,0,INDEX(Faktoren!E68:GQ68,1,VLOOKUP($F$6,$L$2:$O$14,4,FALSE)+$C$9*5+VLOOKUP(D82,Auswahllisten!$E$25:$F$29,2,FALSE)))</f>
        <v>0</v>
      </c>
      <c r="J82" s="162">
        <f ca="1">H82*I82</f>
        <v>0</v>
      </c>
      <c r="K82" s="162">
        <f ca="1">IF($C$5=0,0,G82+(J82-G82)*($C$6-$F$5)/($F$6-$F$5))</f>
        <v>0</v>
      </c>
      <c r="L82" s="25" t="b">
        <f t="shared" ref="L82:L89" ca="1" si="82">($C$5=$L$81)</f>
        <v>0</v>
      </c>
      <c r="M82" s="162">
        <f t="shared" ref="M82:M89" ca="1" si="83">IFERROR(ROUND(K82*L82,AB82),0)</f>
        <v>0</v>
      </c>
      <c r="O82" s="25" t="str" cm="1">
        <f t="array" aca="1" ref="O82" ca="1">INDIRECT("Vergleich!"&amp;$Y$2&amp;Z82)</f>
        <v>gering</v>
      </c>
      <c r="P82" s="162" cm="1">
        <f t="array" aca="1" ref="P82" ca="1">INDIRECT("Investition_gewählt!"&amp;$AA$5&amp;AA82)</f>
        <v>20800</v>
      </c>
      <c r="Q82" s="25" cm="1">
        <f t="array" aca="1" ref="Q82" ca="1">IF($U$5=0,0,INDEX(Faktoren!E68:GQ68,1,VLOOKUP($X$5,$L$2:$O$14,4,FALSE)+$U$9*5+VLOOKUP(O82,Auswahllisten!$E$25:$F$29,2,FALSE)))</f>
        <v>0</v>
      </c>
      <c r="R82" s="162">
        <f t="shared" ref="R82:R89" ca="1" si="84">P82*Q82</f>
        <v>0</v>
      </c>
      <c r="S82" s="162" cm="1">
        <f t="array" aca="1" ref="S82" ca="1">INDIRECT("Investition_gewählt!"&amp;$AA$6&amp;AA82)</f>
        <v>20800</v>
      </c>
      <c r="T82" s="25" cm="1">
        <f t="array" aca="1" ref="T82" ca="1">IF($U$5=0,0,INDEX(Faktoren!E68:QG68,1,VLOOKUP($X$6,$L$3:$O$14,4,FALSE)+$U$9*5+VLOOKUP(O82,Auswahllisten!$E$25:$F$29,2,FALSE)))</f>
        <v>0</v>
      </c>
      <c r="U82" s="162">
        <f t="shared" ref="U82:U89" ca="1" si="85">S82*T82</f>
        <v>0</v>
      </c>
      <c r="V82" s="162">
        <f t="shared" ca="1" si="14"/>
        <v>0</v>
      </c>
      <c r="W82" s="25" t="b">
        <f ca="1">($U$5=$L$81)</f>
        <v>0</v>
      </c>
      <c r="X82" s="162">
        <f t="shared" ref="X82:X89" ca="1" si="86">IFERROR(ROUND(V82*W82,AB82),0)</f>
        <v>0</v>
      </c>
      <c r="Z82" s="1">
        <v>31</v>
      </c>
      <c r="AA82" s="1">
        <v>68</v>
      </c>
      <c r="AB82" s="1">
        <v>-2</v>
      </c>
      <c r="AN82" s="1">
        <v>57</v>
      </c>
      <c r="AO82" s="1">
        <f t="shared" si="67"/>
        <v>0</v>
      </c>
      <c r="AP82" s="69">
        <f t="shared" ca="1" si="81"/>
        <v>0</v>
      </c>
      <c r="AQ82" s="69">
        <f t="shared" ca="1" si="81"/>
        <v>0</v>
      </c>
      <c r="AR82" s="69">
        <f t="shared" si="81"/>
        <v>0</v>
      </c>
      <c r="AS82" s="69">
        <f t="shared" ca="1" si="81"/>
        <v>0</v>
      </c>
      <c r="AT82" s="69">
        <f t="shared" ca="1" si="81"/>
        <v>0</v>
      </c>
      <c r="AU82" s="69">
        <f t="shared" ca="1" si="81"/>
        <v>0</v>
      </c>
      <c r="AV82" s="69">
        <f t="shared" si="81"/>
        <v>0</v>
      </c>
      <c r="AW82" s="69">
        <f t="shared" ca="1" si="29"/>
        <v>0</v>
      </c>
      <c r="AX82" s="69">
        <f t="shared" ca="1" si="30"/>
        <v>0</v>
      </c>
      <c r="AY82" s="69">
        <f t="shared" ca="1" si="31"/>
        <v>0</v>
      </c>
      <c r="AZ82" s="69">
        <f ca="1">$AO82*IF(Auswahllisten!$G$150,AZ$25+AZ$25*AZ$13*$AN82,AZ$25*(1+AZ$13)^$AN82)</f>
        <v>0</v>
      </c>
      <c r="BA82" s="69">
        <f ca="1">$AO82*IF(Auswahllisten!$G$150,BA$25+BA$25*BA$13*$AN82,BA$25*(1+BA$13)^$AN82)</f>
        <v>0</v>
      </c>
      <c r="BB82" s="69">
        <f ca="1">$AO82*IF(Auswahllisten!$G$150,BB$25+BB$25*BB$13*$AN82,BB$25*(1+BB$13)^$AN82)</f>
        <v>0</v>
      </c>
      <c r="BC82" s="69">
        <f ca="1">$AO82*IF(Auswahllisten!$G$150,BC$25+BC$25*BC$13*$AN82,BC$25*(1+BC$13)^$AN82)</f>
        <v>0</v>
      </c>
      <c r="BD82" s="69">
        <f t="shared" ca="1" si="32"/>
        <v>0</v>
      </c>
      <c r="BE82" s="69">
        <f t="shared" ca="1" si="33"/>
        <v>0</v>
      </c>
      <c r="BF82" s="69">
        <f t="shared" ca="1" si="34"/>
        <v>0</v>
      </c>
      <c r="BG82" s="69">
        <f t="shared" ca="1" si="35"/>
        <v>0</v>
      </c>
      <c r="BI82" s="69">
        <f t="shared" ca="1" si="36"/>
        <v>0</v>
      </c>
      <c r="BJ82" s="69">
        <f t="shared" ca="1" si="66"/>
        <v>0</v>
      </c>
      <c r="BK82" s="69">
        <f t="shared" si="66"/>
        <v>0</v>
      </c>
      <c r="BL82" s="69">
        <f t="shared" ca="1" si="66"/>
        <v>0</v>
      </c>
      <c r="BM82" s="69">
        <f t="shared" ca="1" si="64"/>
        <v>0</v>
      </c>
      <c r="BN82" s="69">
        <f t="shared" ca="1" si="64"/>
        <v>0</v>
      </c>
      <c r="BO82" s="69">
        <f t="shared" si="64"/>
        <v>0</v>
      </c>
      <c r="BP82" s="69">
        <f t="shared" ca="1" si="68"/>
        <v>0</v>
      </c>
      <c r="BQ82" s="69">
        <f t="shared" ca="1" si="38"/>
        <v>0</v>
      </c>
      <c r="BR82" s="69">
        <f t="shared" ca="1" si="69"/>
        <v>0</v>
      </c>
      <c r="BS82" s="69">
        <f ca="1">$AO82*IF(Auswahllisten!$G$150,BS$25+BS$25*BS$13*$AN82,BS$25*(1+BS$13)^$AN82)</f>
        <v>0</v>
      </c>
      <c r="BT82" s="69">
        <f ca="1">$AO82*IF(Auswahllisten!$G$150,BT$25+BT$25*BT$13*$AN82,BT$25*(1+BT$13)^$AN82)</f>
        <v>0</v>
      </c>
      <c r="BU82" s="69">
        <f ca="1">$AO82*IF(Auswahllisten!$G$150,BU$25+BU$25*BU$13*$AN82,BU$25*(1+BU$13)^$AN82)</f>
        <v>0</v>
      </c>
      <c r="BV82" s="69">
        <f ca="1">$AO82*IF(Auswahllisten!$G$150,BV$25+BV$25*BV$13*$AN82,BV$25*(1+BV$13)^$AN82)</f>
        <v>0</v>
      </c>
      <c r="BW82" s="69">
        <f t="shared" ca="1" si="39"/>
        <v>0</v>
      </c>
      <c r="BX82" s="69">
        <f t="shared" ca="1" si="40"/>
        <v>0</v>
      </c>
      <c r="BY82" s="69">
        <f t="shared" ca="1" si="70"/>
        <v>0</v>
      </c>
      <c r="BZ82" s="69">
        <f t="shared" ca="1" si="71"/>
        <v>0</v>
      </c>
    </row>
    <row r="83" spans="1:78">
      <c r="A83" s="305" t="s">
        <v>1215</v>
      </c>
      <c r="B83" s="126" t="s">
        <v>303</v>
      </c>
      <c r="C83" s="126" t="s">
        <v>235</v>
      </c>
      <c r="D83" s="26" t="str" cm="1">
        <f t="array" aca="1" ref="D83" ca="1">INDIRECT("Vergleich!"&amp;$G$2&amp;Z83)</f>
        <v>mittel</v>
      </c>
      <c r="E83" s="26" cm="1">
        <f t="array" aca="1" ref="E83" ca="1">INDIRECT("Investition_gewählt!"&amp;$I$5&amp;AA83)</f>
        <v>15200</v>
      </c>
      <c r="F83" s="25" cm="1">
        <f t="array" aca="1" ref="F83" ca="1">IF($C$5=0,0,INDEX(Faktoren!E69:GQ69,1,VLOOKUP($F$5,$L$2:$O$14,4,FALSE)+$C$9*5+VLOOKUP(D83,Auswahllisten!$E$25:$F$29,2,FALSE)))</f>
        <v>0</v>
      </c>
      <c r="G83" s="26">
        <f t="shared" ref="G83:G89" ca="1" si="87">E83*F83</f>
        <v>0</v>
      </c>
      <c r="H83" s="26" cm="1">
        <f t="array" aca="1" ref="H83" ca="1">INDIRECT("Investition_gewählt!"&amp;$I$6&amp;AA83)</f>
        <v>15200</v>
      </c>
      <c r="I83" s="25" cm="1">
        <f t="array" aca="1" ref="I83" ca="1">IF($C$5=0,0,INDEX(Faktoren!E69:GQ69,1,VLOOKUP($F$6,$L$2:$O$14,4,FALSE)+$C$9*5+VLOOKUP(D83,Auswahllisten!$E$25:$F$29,2,FALSE)))</f>
        <v>0</v>
      </c>
      <c r="J83" s="26">
        <f t="shared" ref="J83:J89" ca="1" si="88">H83*I83</f>
        <v>0</v>
      </c>
      <c r="K83" s="26">
        <f t="shared" ref="K83:K89" ca="1" si="89">IF($C$5=0,0,G83+(J83-G83)*($C$6-$F$5)/($F$6-$F$5))</f>
        <v>0</v>
      </c>
      <c r="L83" s="16" t="b">
        <f t="shared" ca="1" si="82"/>
        <v>0</v>
      </c>
      <c r="M83" s="26">
        <f t="shared" ca="1" si="83"/>
        <v>0</v>
      </c>
      <c r="O83" s="16" t="str" cm="1">
        <f t="array" aca="1" ref="O83" ca="1">INDIRECT("Vergleich!"&amp;$Y$2&amp;Z83)</f>
        <v>gering</v>
      </c>
      <c r="P83" s="26" cm="1">
        <f t="array" aca="1" ref="P83" ca="1">INDIRECT("Investition_gewählt!"&amp;$AA$5&amp;AA83)</f>
        <v>15200</v>
      </c>
      <c r="Q83" s="16" cm="1">
        <f t="array" aca="1" ref="Q83" ca="1">IF($U$5=0,0,INDEX(Faktoren!E69:GQ69,1,VLOOKUP($X$5,$L$2:$O$14,4,FALSE)+$U$9*5+VLOOKUP(O83,Auswahllisten!$E$25:$F$29,2,FALSE)))</f>
        <v>0</v>
      </c>
      <c r="R83" s="26">
        <f t="shared" ca="1" si="84"/>
        <v>0</v>
      </c>
      <c r="S83" s="26" cm="1">
        <f t="array" aca="1" ref="S83" ca="1">INDIRECT("Investition_gewählt!"&amp;$AA$6&amp;AA83)</f>
        <v>15200</v>
      </c>
      <c r="T83" s="16" cm="1">
        <f t="array" aca="1" ref="T83" ca="1">IF($U$5=0,0,INDEX(Faktoren!E69:QG69,1,VLOOKUP($X$6,$L$3:$O$14,4,FALSE)+$U$9*5+VLOOKUP(O83,Auswahllisten!$E$25:$F$29,2,FALSE)))</f>
        <v>0</v>
      </c>
      <c r="U83" s="26">
        <f t="shared" ca="1" si="85"/>
        <v>0</v>
      </c>
      <c r="V83" s="26">
        <f t="shared" ca="1" si="14"/>
        <v>0</v>
      </c>
      <c r="W83" s="16" t="b">
        <f t="shared" ref="W83:W89" ca="1" si="90">($U$5=$L$81)</f>
        <v>0</v>
      </c>
      <c r="X83" s="26">
        <f t="shared" ca="1" si="86"/>
        <v>0</v>
      </c>
      <c r="Z83" s="1">
        <v>40</v>
      </c>
      <c r="AA83" s="1">
        <v>69</v>
      </c>
      <c r="AB83" s="1">
        <v>-2</v>
      </c>
      <c r="AN83" s="1">
        <v>58</v>
      </c>
      <c r="AO83" s="1">
        <f t="shared" si="67"/>
        <v>0</v>
      </c>
      <c r="AP83" s="69">
        <f t="shared" ca="1" si="81"/>
        <v>0</v>
      </c>
      <c r="AQ83" s="69">
        <f t="shared" ca="1" si="81"/>
        <v>0</v>
      </c>
      <c r="AR83" s="69">
        <f t="shared" si="81"/>
        <v>0</v>
      </c>
      <c r="AS83" s="69">
        <f t="shared" ca="1" si="81"/>
        <v>0</v>
      </c>
      <c r="AT83" s="69">
        <f t="shared" ca="1" si="81"/>
        <v>0</v>
      </c>
      <c r="AU83" s="69">
        <f t="shared" ca="1" si="81"/>
        <v>0</v>
      </c>
      <c r="AV83" s="69">
        <f t="shared" si="81"/>
        <v>0</v>
      </c>
      <c r="AW83" s="69">
        <f t="shared" ca="1" si="29"/>
        <v>0</v>
      </c>
      <c r="AX83" s="69">
        <f t="shared" ca="1" si="30"/>
        <v>0</v>
      </c>
      <c r="AY83" s="69">
        <f t="shared" ca="1" si="31"/>
        <v>0</v>
      </c>
      <c r="AZ83" s="69">
        <f ca="1">$AO83*IF(Auswahllisten!$G$150,AZ$25+AZ$25*AZ$13*$AN83,AZ$25*(1+AZ$13)^$AN83)</f>
        <v>0</v>
      </c>
      <c r="BA83" s="69">
        <f ca="1">$AO83*IF(Auswahllisten!$G$150,BA$25+BA$25*BA$13*$AN83,BA$25*(1+BA$13)^$AN83)</f>
        <v>0</v>
      </c>
      <c r="BB83" s="69">
        <f ca="1">$AO83*IF(Auswahllisten!$G$150,BB$25+BB$25*BB$13*$AN83,BB$25*(1+BB$13)^$AN83)</f>
        <v>0</v>
      </c>
      <c r="BC83" s="69">
        <f ca="1">$AO83*IF(Auswahllisten!$G$150,BC$25+BC$25*BC$13*$AN83,BC$25*(1+BC$13)^$AN83)</f>
        <v>0</v>
      </c>
      <c r="BD83" s="69">
        <f t="shared" ca="1" si="32"/>
        <v>0</v>
      </c>
      <c r="BE83" s="69">
        <f t="shared" ca="1" si="33"/>
        <v>0</v>
      </c>
      <c r="BF83" s="69">
        <f t="shared" ca="1" si="34"/>
        <v>0</v>
      </c>
      <c r="BG83" s="69">
        <f t="shared" ca="1" si="35"/>
        <v>0</v>
      </c>
      <c r="BI83" s="69">
        <f t="shared" ca="1" si="36"/>
        <v>0</v>
      </c>
      <c r="BJ83" s="69">
        <f t="shared" ca="1" si="66"/>
        <v>0</v>
      </c>
      <c r="BK83" s="69">
        <f t="shared" si="66"/>
        <v>0</v>
      </c>
      <c r="BL83" s="69">
        <f t="shared" ca="1" si="66"/>
        <v>0</v>
      </c>
      <c r="BM83" s="69">
        <f t="shared" ca="1" si="64"/>
        <v>0</v>
      </c>
      <c r="BN83" s="69">
        <f t="shared" ca="1" si="64"/>
        <v>0</v>
      </c>
      <c r="BO83" s="69">
        <f t="shared" si="64"/>
        <v>0</v>
      </c>
      <c r="BP83" s="69">
        <f t="shared" ca="1" si="68"/>
        <v>0</v>
      </c>
      <c r="BQ83" s="69">
        <f t="shared" ca="1" si="38"/>
        <v>0</v>
      </c>
      <c r="BR83" s="69">
        <f t="shared" ca="1" si="69"/>
        <v>0</v>
      </c>
      <c r="BS83" s="69">
        <f ca="1">$AO83*IF(Auswahllisten!$G$150,BS$25+BS$25*BS$13*$AN83,BS$25*(1+BS$13)^$AN83)</f>
        <v>0</v>
      </c>
      <c r="BT83" s="69">
        <f ca="1">$AO83*IF(Auswahllisten!$G$150,BT$25+BT$25*BT$13*$AN83,BT$25*(1+BT$13)^$AN83)</f>
        <v>0</v>
      </c>
      <c r="BU83" s="69">
        <f ca="1">$AO83*IF(Auswahllisten!$G$150,BU$25+BU$25*BU$13*$AN83,BU$25*(1+BU$13)^$AN83)</f>
        <v>0</v>
      </c>
      <c r="BV83" s="69">
        <f ca="1">$AO83*IF(Auswahllisten!$G$150,BV$25+BV$25*BV$13*$AN83,BV$25*(1+BV$13)^$AN83)</f>
        <v>0</v>
      </c>
      <c r="BW83" s="69">
        <f t="shared" ca="1" si="39"/>
        <v>0</v>
      </c>
      <c r="BX83" s="69">
        <f t="shared" ca="1" si="40"/>
        <v>0</v>
      </c>
      <c r="BY83" s="69">
        <f t="shared" ca="1" si="70"/>
        <v>0</v>
      </c>
      <c r="BZ83" s="69">
        <f t="shared" ca="1" si="71"/>
        <v>0</v>
      </c>
    </row>
    <row r="84" spans="1:78">
      <c r="A84" s="305" t="s">
        <v>1215</v>
      </c>
      <c r="B84" s="126" t="s">
        <v>303</v>
      </c>
      <c r="C84" s="126" t="s">
        <v>965</v>
      </c>
      <c r="D84" s="26" t="str" cm="1">
        <f t="array" aca="1" ref="D84" ca="1">INDIRECT("Vergleich!"&amp;$G$2&amp;Z84)</f>
        <v>mittel</v>
      </c>
      <c r="E84" s="26" cm="1">
        <f t="array" aca="1" ref="E84" ca="1">INDIRECT("Investition_gewählt!"&amp;$I$5&amp;AA84)</f>
        <v>3600</v>
      </c>
      <c r="F84" s="25" cm="1">
        <f t="array" aca="1" ref="F84" ca="1">IF($C$5=0,0,INDEX(Faktoren!E70:GQ70,1,VLOOKUP($F$5,$L$2:$O$14,4,FALSE)+$C$9*5+VLOOKUP(D84,Auswahllisten!$E$25:$F$29,2,FALSE)))</f>
        <v>0</v>
      </c>
      <c r="G84" s="26">
        <f t="shared" ca="1" si="87"/>
        <v>0</v>
      </c>
      <c r="H84" s="26" cm="1">
        <f t="array" aca="1" ref="H84" ca="1">INDIRECT("Investition_gewählt!"&amp;$I$6&amp;AA84)</f>
        <v>3600</v>
      </c>
      <c r="I84" s="25" cm="1">
        <f t="array" aca="1" ref="I84" ca="1">IF($C$5=0,0,INDEX(Faktoren!E70:GQ70,1,VLOOKUP($F$6,$L$2:$O$14,4,FALSE)+$C$9*5+VLOOKUP(D84,Auswahllisten!$E$25:$F$29,2,FALSE)))</f>
        <v>0</v>
      </c>
      <c r="J84" s="26">
        <f t="shared" ca="1" si="88"/>
        <v>0</v>
      </c>
      <c r="K84" s="26">
        <f t="shared" ca="1" si="89"/>
        <v>0</v>
      </c>
      <c r="L84" s="16" t="b">
        <f t="shared" ca="1" si="82"/>
        <v>0</v>
      </c>
      <c r="M84" s="26">
        <f t="shared" ca="1" si="83"/>
        <v>0</v>
      </c>
      <c r="O84" s="16" t="str" cm="1">
        <f t="array" aca="1" ref="O84" ca="1">INDIRECT("Vergleich!"&amp;$Y$2&amp;Z84)</f>
        <v>gering</v>
      </c>
      <c r="P84" s="26" cm="1">
        <f t="array" aca="1" ref="P84" ca="1">INDIRECT("Investition_gewählt!"&amp;$AA$5&amp;AA84)</f>
        <v>3600</v>
      </c>
      <c r="Q84" s="16" cm="1">
        <f t="array" aca="1" ref="Q84" ca="1">IF($U$5=0,0,INDEX(Faktoren!E70:GQ70,1,VLOOKUP($X$5,$L$2:$O$14,4,FALSE)+$U$9*5+VLOOKUP(O84,Auswahllisten!$E$25:$F$29,2,FALSE)))</f>
        <v>0</v>
      </c>
      <c r="R84" s="26">
        <f t="shared" ca="1" si="84"/>
        <v>0</v>
      </c>
      <c r="S84" s="26" cm="1">
        <f t="array" aca="1" ref="S84" ca="1">INDIRECT("Investition_gewählt!"&amp;$AA$6&amp;AA84)</f>
        <v>3600</v>
      </c>
      <c r="T84" s="16" cm="1">
        <f t="array" aca="1" ref="T84" ca="1">IF($U$5=0,0,INDEX(Faktoren!E70:QG70,1,VLOOKUP($X$6,$L$3:$O$14,4,FALSE)+$U$9*5+VLOOKUP(O84,Auswahllisten!$E$25:$F$29,2,FALSE)))</f>
        <v>0</v>
      </c>
      <c r="U84" s="26">
        <f t="shared" ca="1" si="85"/>
        <v>0</v>
      </c>
      <c r="V84" s="26">
        <f t="shared" ref="V84:V106" ca="1" si="91">IF($U$5=0,0,R84+(U84-R84)*($U$6-$X$5)/($X$6-$X$5))</f>
        <v>0</v>
      </c>
      <c r="W84" s="16" t="b">
        <f t="shared" ca="1" si="90"/>
        <v>0</v>
      </c>
      <c r="X84" s="26">
        <f t="shared" ca="1" si="86"/>
        <v>0</v>
      </c>
      <c r="Z84" s="1">
        <v>42</v>
      </c>
      <c r="AA84" s="1">
        <v>70</v>
      </c>
      <c r="AB84" s="1">
        <v>-2</v>
      </c>
      <c r="AN84" s="1">
        <v>59</v>
      </c>
      <c r="AO84" s="1">
        <f t="shared" si="67"/>
        <v>0</v>
      </c>
      <c r="AP84" s="69">
        <f t="shared" ca="1" si="81"/>
        <v>0</v>
      </c>
      <c r="AQ84" s="69">
        <f t="shared" ca="1" si="81"/>
        <v>0</v>
      </c>
      <c r="AR84" s="69">
        <f t="shared" si="81"/>
        <v>0</v>
      </c>
      <c r="AS84" s="69">
        <f t="shared" ca="1" si="81"/>
        <v>0</v>
      </c>
      <c r="AT84" s="69">
        <f t="shared" ca="1" si="81"/>
        <v>0</v>
      </c>
      <c r="AU84" s="69">
        <f t="shared" ca="1" si="81"/>
        <v>0</v>
      </c>
      <c r="AV84" s="69">
        <f t="shared" si="81"/>
        <v>0</v>
      </c>
      <c r="AW84" s="69">
        <f t="shared" ca="1" si="29"/>
        <v>0</v>
      </c>
      <c r="AX84" s="69">
        <f t="shared" ca="1" si="30"/>
        <v>0</v>
      </c>
      <c r="AY84" s="69">
        <f t="shared" ca="1" si="31"/>
        <v>0</v>
      </c>
      <c r="AZ84" s="69">
        <f ca="1">$AO84*IF(Auswahllisten!$G$150,AZ$25+AZ$25*AZ$13*$AN84,AZ$25*(1+AZ$13)^$AN84)</f>
        <v>0</v>
      </c>
      <c r="BA84" s="69">
        <f ca="1">$AO84*IF(Auswahllisten!$G$150,BA$25+BA$25*BA$13*$AN84,BA$25*(1+BA$13)^$AN84)</f>
        <v>0</v>
      </c>
      <c r="BB84" s="69">
        <f ca="1">$AO84*IF(Auswahllisten!$G$150,BB$25+BB$25*BB$13*$AN84,BB$25*(1+BB$13)^$AN84)</f>
        <v>0</v>
      </c>
      <c r="BC84" s="69">
        <f ca="1">$AO84*IF(Auswahllisten!$G$150,BC$25+BC$25*BC$13*$AN84,BC$25*(1+BC$13)^$AN84)</f>
        <v>0</v>
      </c>
      <c r="BD84" s="69">
        <f t="shared" ca="1" si="32"/>
        <v>0</v>
      </c>
      <c r="BE84" s="69">
        <f t="shared" ca="1" si="33"/>
        <v>0</v>
      </c>
      <c r="BF84" s="69">
        <f t="shared" ca="1" si="34"/>
        <v>0</v>
      </c>
      <c r="BG84" s="69">
        <f t="shared" ca="1" si="35"/>
        <v>0</v>
      </c>
      <c r="BI84" s="69">
        <f t="shared" ca="1" si="36"/>
        <v>0</v>
      </c>
      <c r="BJ84" s="69">
        <f t="shared" ca="1" si="66"/>
        <v>0</v>
      </c>
      <c r="BK84" s="69">
        <f t="shared" si="66"/>
        <v>0</v>
      </c>
      <c r="BL84" s="69">
        <f t="shared" ca="1" si="66"/>
        <v>0</v>
      </c>
      <c r="BM84" s="69">
        <f t="shared" ca="1" si="64"/>
        <v>0</v>
      </c>
      <c r="BN84" s="69">
        <f t="shared" ca="1" si="64"/>
        <v>0</v>
      </c>
      <c r="BO84" s="69">
        <f t="shared" si="64"/>
        <v>0</v>
      </c>
      <c r="BP84" s="69">
        <f t="shared" ca="1" si="68"/>
        <v>0</v>
      </c>
      <c r="BQ84" s="69">
        <f t="shared" ca="1" si="38"/>
        <v>0</v>
      </c>
      <c r="BR84" s="69">
        <f t="shared" ca="1" si="69"/>
        <v>0</v>
      </c>
      <c r="BS84" s="69">
        <f ca="1">$AO84*IF(Auswahllisten!$G$150,BS$25+BS$25*BS$13*$AN84,BS$25*(1+BS$13)^$AN84)</f>
        <v>0</v>
      </c>
      <c r="BT84" s="69">
        <f ca="1">$AO84*IF(Auswahllisten!$G$150,BT$25+BT$25*BT$13*$AN84,BT$25*(1+BT$13)^$AN84)</f>
        <v>0</v>
      </c>
      <c r="BU84" s="69">
        <f ca="1">$AO84*IF(Auswahllisten!$G$150,BU$25+BU$25*BU$13*$AN84,BU$25*(1+BU$13)^$AN84)</f>
        <v>0</v>
      </c>
      <c r="BV84" s="69">
        <f ca="1">$AO84*IF(Auswahllisten!$G$150,BV$25+BV$25*BV$13*$AN84,BV$25*(1+BV$13)^$AN84)</f>
        <v>0</v>
      </c>
      <c r="BW84" s="69">
        <f t="shared" ca="1" si="39"/>
        <v>0</v>
      </c>
      <c r="BX84" s="69">
        <f t="shared" ca="1" si="40"/>
        <v>0</v>
      </c>
      <c r="BY84" s="69">
        <f t="shared" ca="1" si="70"/>
        <v>0</v>
      </c>
      <c r="BZ84" s="69">
        <f t="shared" ca="1" si="71"/>
        <v>0</v>
      </c>
    </row>
    <row r="85" spans="1:78">
      <c r="A85" s="305" t="s">
        <v>1218</v>
      </c>
      <c r="B85" s="126" t="s">
        <v>1243</v>
      </c>
      <c r="C85" s="126" t="s">
        <v>231</v>
      </c>
      <c r="D85" s="26" t="str" cm="1">
        <f t="array" aca="1" ref="D85" ca="1">INDIRECT("Vergleich!"&amp;$G$2&amp;Z85)</f>
        <v>mittel</v>
      </c>
      <c r="E85" s="26" cm="1">
        <f t="array" aca="1" ref="E85" ca="1">INDIRECT("Investition_gewählt!"&amp;$I$5&amp;AA85)</f>
        <v>1500</v>
      </c>
      <c r="F85" s="25" cm="1">
        <f t="array" aca="1" ref="F85" ca="1">IF($C$5=0,0,INDEX(Faktoren!E71:GQ71,1,VLOOKUP($F$5,$L$2:$O$14,4,FALSE)+$C$9*5+VLOOKUP(D85,Auswahllisten!$E$25:$F$29,2,FALSE)))</f>
        <v>0</v>
      </c>
      <c r="G85" s="26">
        <f t="shared" ca="1" si="87"/>
        <v>0</v>
      </c>
      <c r="H85" s="26" cm="1">
        <f t="array" aca="1" ref="H85" ca="1">INDIRECT("Investition_gewählt!"&amp;$I$6&amp;AA85)</f>
        <v>1500</v>
      </c>
      <c r="I85" s="25" cm="1">
        <f t="array" aca="1" ref="I85" ca="1">IF($C$5=0,0,INDEX(Faktoren!E71:GQ71,1,VLOOKUP($F$6,$L$2:$O$14,4,FALSE)+$C$9*5+VLOOKUP(D85,Auswahllisten!$E$25:$F$29,2,FALSE)))</f>
        <v>0</v>
      </c>
      <c r="J85" s="26">
        <f t="shared" ca="1" si="88"/>
        <v>0</v>
      </c>
      <c r="K85" s="26">
        <f t="shared" ca="1" si="89"/>
        <v>0</v>
      </c>
      <c r="L85" s="16" t="b">
        <f t="shared" ca="1" si="82"/>
        <v>0</v>
      </c>
      <c r="M85" s="26">
        <f t="shared" ca="1" si="83"/>
        <v>0</v>
      </c>
      <c r="O85" s="16" t="str" cm="1">
        <f t="array" aca="1" ref="O85" ca="1">INDIRECT("Vergleich!"&amp;$Y$2&amp;Z85)</f>
        <v>gering</v>
      </c>
      <c r="P85" s="26" cm="1">
        <f t="array" aca="1" ref="P85" ca="1">INDIRECT("Investition_gewählt!"&amp;$AA$5&amp;AA85)</f>
        <v>1500</v>
      </c>
      <c r="Q85" s="16" cm="1">
        <f t="array" aca="1" ref="Q85" ca="1">IF($U$5=0,0,INDEX(Faktoren!E71:GQ71,1,VLOOKUP($X$5,$L$2:$O$14,4,FALSE)+$U$9*5+VLOOKUP(O85,Auswahllisten!$E$25:$F$29,2,FALSE)))</f>
        <v>0</v>
      </c>
      <c r="R85" s="26">
        <f t="shared" ca="1" si="84"/>
        <v>0</v>
      </c>
      <c r="S85" s="26" cm="1">
        <f t="array" aca="1" ref="S85" ca="1">INDIRECT("Investition_gewählt!"&amp;$AA$6&amp;AA85)</f>
        <v>1500</v>
      </c>
      <c r="T85" s="16" cm="1">
        <f t="array" aca="1" ref="T85" ca="1">IF($U$5=0,0,INDEX(Faktoren!E71:QG71,1,VLOOKUP($X$6,$L$3:$O$14,4,FALSE)+$U$9*5+VLOOKUP(O85,Auswahllisten!$E$25:$F$29,2,FALSE)))</f>
        <v>0</v>
      </c>
      <c r="U85" s="26">
        <f t="shared" ca="1" si="85"/>
        <v>0</v>
      </c>
      <c r="V85" s="26">
        <f t="shared" ca="1" si="91"/>
        <v>0</v>
      </c>
      <c r="W85" s="16" t="b">
        <f t="shared" ca="1" si="90"/>
        <v>0</v>
      </c>
      <c r="X85" s="26">
        <f t="shared" ca="1" si="86"/>
        <v>0</v>
      </c>
      <c r="Z85" s="1">
        <v>41</v>
      </c>
      <c r="AA85" s="1">
        <v>71</v>
      </c>
      <c r="AB85" s="1">
        <v>-2</v>
      </c>
      <c r="AN85" s="1">
        <v>60</v>
      </c>
      <c r="AO85" s="1">
        <f t="shared" si="67"/>
        <v>0</v>
      </c>
      <c r="AP85" s="69">
        <f t="shared" ca="1" si="81"/>
        <v>0</v>
      </c>
      <c r="AQ85" s="69">
        <f t="shared" ca="1" si="81"/>
        <v>0</v>
      </c>
      <c r="AR85" s="69">
        <f t="shared" ca="1" si="81"/>
        <v>0</v>
      </c>
      <c r="AS85" s="69">
        <f t="shared" ca="1" si="81"/>
        <v>0</v>
      </c>
      <c r="AT85" s="69">
        <f t="shared" ca="1" si="81"/>
        <v>0</v>
      </c>
      <c r="AU85" s="69">
        <f t="shared" ca="1" si="81"/>
        <v>0</v>
      </c>
      <c r="AV85" s="69">
        <f t="shared" ca="1" si="81"/>
        <v>0</v>
      </c>
      <c r="AW85" s="69">
        <f t="shared" ca="1" si="29"/>
        <v>0</v>
      </c>
      <c r="AX85" s="69">
        <f t="shared" ca="1" si="30"/>
        <v>0</v>
      </c>
      <c r="AY85" s="69">
        <f t="shared" ca="1" si="31"/>
        <v>0</v>
      </c>
      <c r="AZ85" s="69">
        <f ca="1">$AO85*IF(Auswahllisten!$G$150,AZ$25+AZ$25*AZ$13*$AN85,AZ$25*(1+AZ$13)^$AN85)</f>
        <v>0</v>
      </c>
      <c r="BA85" s="69">
        <f ca="1">$AO85*IF(Auswahllisten!$G$150,BA$25+BA$25*BA$13*$AN85,BA$25*(1+BA$13)^$AN85)</f>
        <v>0</v>
      </c>
      <c r="BB85" s="69">
        <f ca="1">$AO85*IF(Auswahllisten!$G$150,BB$25+BB$25*BB$13*$AN85,BB$25*(1+BB$13)^$AN85)</f>
        <v>0</v>
      </c>
      <c r="BC85" s="69">
        <f ca="1">$AO85*IF(Auswahllisten!$G$150,BC$25+BC$25*BC$13*$AN85,BC$25*(1+BC$13)^$AN85)</f>
        <v>0</v>
      </c>
      <c r="BD85" s="69">
        <f t="shared" ca="1" si="32"/>
        <v>0</v>
      </c>
      <c r="BE85" s="69">
        <f t="shared" ca="1" si="33"/>
        <v>0</v>
      </c>
      <c r="BF85" s="69">
        <f t="shared" ca="1" si="34"/>
        <v>0</v>
      </c>
      <c r="BG85" s="69">
        <f t="shared" ca="1" si="35"/>
        <v>0</v>
      </c>
      <c r="BI85" s="69">
        <f t="shared" ca="1" si="36"/>
        <v>0</v>
      </c>
      <c r="BJ85" s="69">
        <f t="shared" ca="1" si="66"/>
        <v>0</v>
      </c>
      <c r="BK85" s="69">
        <f t="shared" si="66"/>
        <v>0</v>
      </c>
      <c r="BL85" s="69">
        <f t="shared" ca="1" si="66"/>
        <v>0</v>
      </c>
      <c r="BM85" s="69">
        <f t="shared" ca="1" si="64"/>
        <v>0</v>
      </c>
      <c r="BN85" s="69">
        <f t="shared" ca="1" si="64"/>
        <v>0</v>
      </c>
      <c r="BO85" s="69">
        <f t="shared" si="64"/>
        <v>0</v>
      </c>
      <c r="BP85" s="69">
        <f t="shared" ca="1" si="68"/>
        <v>0</v>
      </c>
      <c r="BQ85" s="69">
        <f t="shared" ca="1" si="38"/>
        <v>0</v>
      </c>
      <c r="BR85" s="69">
        <f t="shared" ca="1" si="69"/>
        <v>0</v>
      </c>
      <c r="BS85" s="69">
        <f ca="1">$AO85*IF(Auswahllisten!$G$150,BS$25+BS$25*BS$13*$AN85,BS$25*(1+BS$13)^$AN85)</f>
        <v>0</v>
      </c>
      <c r="BT85" s="69">
        <f ca="1">$AO85*IF(Auswahllisten!$G$150,BT$25+BT$25*BT$13*$AN85,BT$25*(1+BT$13)^$AN85)</f>
        <v>0</v>
      </c>
      <c r="BU85" s="69">
        <f ca="1">$AO85*IF(Auswahllisten!$G$150,BU$25+BU$25*BU$13*$AN85,BU$25*(1+BU$13)^$AN85)</f>
        <v>0</v>
      </c>
      <c r="BV85" s="69">
        <f ca="1">$AO85*IF(Auswahllisten!$G$150,BV$25+BV$25*BV$13*$AN85,BV$25*(1+BV$13)^$AN85)</f>
        <v>0</v>
      </c>
      <c r="BW85" s="69">
        <f t="shared" ca="1" si="39"/>
        <v>0</v>
      </c>
      <c r="BX85" s="69">
        <f t="shared" ca="1" si="40"/>
        <v>0</v>
      </c>
      <c r="BY85" s="69">
        <f t="shared" ca="1" si="70"/>
        <v>0</v>
      </c>
      <c r="BZ85" s="69">
        <f t="shared" ca="1" si="71"/>
        <v>0</v>
      </c>
    </row>
    <row r="86" spans="1:78">
      <c r="A86" s="305" t="s">
        <v>1215</v>
      </c>
      <c r="B86" s="126" t="s">
        <v>303</v>
      </c>
      <c r="C86" s="126" t="s">
        <v>966</v>
      </c>
      <c r="D86" s="26" t="str" cm="1">
        <f t="array" aca="1" ref="D86" ca="1">INDIRECT("Vergleich!"&amp;$G$2&amp;Z86)</f>
        <v>mittel</v>
      </c>
      <c r="E86" s="26" cm="1">
        <f t="array" aca="1" ref="E86" ca="1">INDIRECT("Investition_gewählt!"&amp;$I$5&amp;AA86)</f>
        <v>16500</v>
      </c>
      <c r="F86" s="25" cm="1">
        <f t="array" aca="1" ref="F86" ca="1">IF($C$5=0,0,INDEX(Faktoren!E72:GQ72,1,VLOOKUP($F$5,$L$2:$O$14,4,FALSE)+$C$9*5+VLOOKUP(D86,Auswahllisten!$E$25:$F$29,2,FALSE)))</f>
        <v>0</v>
      </c>
      <c r="G86" s="26">
        <f t="shared" ca="1" si="87"/>
        <v>0</v>
      </c>
      <c r="H86" s="26" cm="1">
        <f t="array" aca="1" ref="H86" ca="1">INDIRECT("Investition_gewählt!"&amp;$I$6&amp;AA86)</f>
        <v>16500</v>
      </c>
      <c r="I86" s="25" cm="1">
        <f t="array" aca="1" ref="I86" ca="1">IF($C$5=0,0,INDEX(Faktoren!E72:GQ72,1,VLOOKUP($F$6,$L$2:$O$14,4,FALSE)+$C$9*5+VLOOKUP(D86,Auswahllisten!$E$25:$F$29,2,FALSE)))</f>
        <v>0</v>
      </c>
      <c r="J86" s="26">
        <f t="shared" ca="1" si="88"/>
        <v>0</v>
      </c>
      <c r="K86" s="26">
        <f t="shared" ca="1" si="89"/>
        <v>0</v>
      </c>
      <c r="L86" s="16" t="b">
        <f t="shared" ca="1" si="82"/>
        <v>0</v>
      </c>
      <c r="M86" s="26">
        <f t="shared" ca="1" si="83"/>
        <v>0</v>
      </c>
      <c r="O86" s="16" t="str" cm="1">
        <f t="array" aca="1" ref="O86" ca="1">INDIRECT("Vergleich!"&amp;$Y$2&amp;Z86)</f>
        <v>gering</v>
      </c>
      <c r="P86" s="26" cm="1">
        <f t="array" aca="1" ref="P86" ca="1">INDIRECT("Investition_gewählt!"&amp;$AA$5&amp;AA86)</f>
        <v>16500</v>
      </c>
      <c r="Q86" s="16" cm="1">
        <f t="array" aca="1" ref="Q86" ca="1">IF($U$5=0,0,INDEX(Faktoren!E72:GQ72,1,VLOOKUP($X$5,$L$2:$O$14,4,FALSE)+$U$9*5+VLOOKUP(O86,Auswahllisten!$E$25:$F$29,2,FALSE)))</f>
        <v>0</v>
      </c>
      <c r="R86" s="26">
        <f t="shared" ca="1" si="84"/>
        <v>0</v>
      </c>
      <c r="S86" s="26" cm="1">
        <f t="array" aca="1" ref="S86" ca="1">INDIRECT("Investition_gewählt!"&amp;$AA$6&amp;AA86)</f>
        <v>16500</v>
      </c>
      <c r="T86" s="16" cm="1">
        <f t="array" aca="1" ref="T86" ca="1">IF($U$5=0,0,INDEX(Faktoren!E72:QG72,1,VLOOKUP($X$6,$L$3:$O$14,4,FALSE)+$U$9*5+VLOOKUP(O86,Auswahllisten!$E$25:$F$29,2,FALSE)))</f>
        <v>0</v>
      </c>
      <c r="U86" s="26">
        <f t="shared" ca="1" si="85"/>
        <v>0</v>
      </c>
      <c r="V86" s="26">
        <f t="shared" ca="1" si="91"/>
        <v>0</v>
      </c>
      <c r="W86" s="16" t="b">
        <f t="shared" ca="1" si="90"/>
        <v>0</v>
      </c>
      <c r="X86" s="26">
        <f t="shared" ca="1" si="86"/>
        <v>0</v>
      </c>
      <c r="Z86" s="1">
        <v>47</v>
      </c>
      <c r="AA86" s="1">
        <v>72</v>
      </c>
      <c r="AB86" s="1">
        <v>-2</v>
      </c>
      <c r="AN86" s="1">
        <v>61</v>
      </c>
      <c r="AO86" s="1">
        <f t="shared" si="67"/>
        <v>0</v>
      </c>
      <c r="AP86" s="69">
        <f t="shared" ref="AP86:AV102" ca="1" si="92">IFERROR($AO86*IF(MOD($AN86,AP$20)=0,AP$25,0)*(1+$AS$10)^$AN86*IF($AS$3=$AN86,0,1),0)</f>
        <v>0</v>
      </c>
      <c r="AQ86" s="69">
        <f t="shared" ca="1" si="92"/>
        <v>0</v>
      </c>
      <c r="AR86" s="69">
        <f t="shared" si="92"/>
        <v>0</v>
      </c>
      <c r="AS86" s="69">
        <f t="shared" ca="1" si="92"/>
        <v>0</v>
      </c>
      <c r="AT86" s="69">
        <f t="shared" ca="1" si="92"/>
        <v>0</v>
      </c>
      <c r="AU86" s="69">
        <f t="shared" ca="1" si="92"/>
        <v>0</v>
      </c>
      <c r="AV86" s="69">
        <f t="shared" si="92"/>
        <v>0</v>
      </c>
      <c r="AW86" s="69">
        <f t="shared" ca="1" si="29"/>
        <v>0</v>
      </c>
      <c r="AX86" s="69">
        <f t="shared" ca="1" si="30"/>
        <v>0</v>
      </c>
      <c r="AY86" s="69">
        <f t="shared" ca="1" si="31"/>
        <v>0</v>
      </c>
      <c r="AZ86" s="69">
        <f ca="1">$AO86*IF(Auswahllisten!$G$150,AZ$25+AZ$25*AZ$13*$AN86,AZ$25*(1+AZ$13)^$AN86)</f>
        <v>0</v>
      </c>
      <c r="BA86" s="69">
        <f ca="1">$AO86*IF(Auswahllisten!$G$150,BA$25+BA$25*BA$13*$AN86,BA$25*(1+BA$13)^$AN86)</f>
        <v>0</v>
      </c>
      <c r="BB86" s="69">
        <f ca="1">$AO86*IF(Auswahllisten!$G$150,BB$25+BB$25*BB$13*$AN86,BB$25*(1+BB$13)^$AN86)</f>
        <v>0</v>
      </c>
      <c r="BC86" s="69">
        <f ca="1">$AO86*IF(Auswahllisten!$G$150,BC$25+BC$25*BC$13*$AN86,BC$25*(1+BC$13)^$AN86)</f>
        <v>0</v>
      </c>
      <c r="BD86" s="69">
        <f t="shared" ca="1" si="32"/>
        <v>0</v>
      </c>
      <c r="BE86" s="69">
        <f t="shared" ca="1" si="33"/>
        <v>0</v>
      </c>
      <c r="BF86" s="69">
        <f t="shared" ca="1" si="34"/>
        <v>0</v>
      </c>
      <c r="BG86" s="69">
        <f t="shared" ca="1" si="35"/>
        <v>0</v>
      </c>
      <c r="BI86" s="69">
        <f t="shared" ca="1" si="36"/>
        <v>0</v>
      </c>
      <c r="BJ86" s="69">
        <f t="shared" ca="1" si="66"/>
        <v>0</v>
      </c>
      <c r="BK86" s="69">
        <f t="shared" si="66"/>
        <v>0</v>
      </c>
      <c r="BL86" s="69">
        <f t="shared" ca="1" si="66"/>
        <v>0</v>
      </c>
      <c r="BM86" s="69">
        <f t="shared" ca="1" si="64"/>
        <v>0</v>
      </c>
      <c r="BN86" s="69">
        <f t="shared" ca="1" si="64"/>
        <v>0</v>
      </c>
      <c r="BO86" s="69">
        <f t="shared" si="64"/>
        <v>0</v>
      </c>
      <c r="BP86" s="69">
        <f t="shared" ca="1" si="68"/>
        <v>0</v>
      </c>
      <c r="BQ86" s="69">
        <f t="shared" ca="1" si="38"/>
        <v>0</v>
      </c>
      <c r="BR86" s="69">
        <f t="shared" ca="1" si="69"/>
        <v>0</v>
      </c>
      <c r="BS86" s="69">
        <f ca="1">$AO86*IF(Auswahllisten!$G$150,BS$25+BS$25*BS$13*$AN86,BS$25*(1+BS$13)^$AN86)</f>
        <v>0</v>
      </c>
      <c r="BT86" s="69">
        <f ca="1">$AO86*IF(Auswahllisten!$G$150,BT$25+BT$25*BT$13*$AN86,BT$25*(1+BT$13)^$AN86)</f>
        <v>0</v>
      </c>
      <c r="BU86" s="69">
        <f ca="1">$AO86*IF(Auswahllisten!$G$150,BU$25+BU$25*BU$13*$AN86,BU$25*(1+BU$13)^$AN86)</f>
        <v>0</v>
      </c>
      <c r="BV86" s="69">
        <f ca="1">$AO86*IF(Auswahllisten!$G$150,BV$25+BV$25*BV$13*$AN86,BV$25*(1+BV$13)^$AN86)</f>
        <v>0</v>
      </c>
      <c r="BW86" s="69">
        <f t="shared" ca="1" si="39"/>
        <v>0</v>
      </c>
      <c r="BX86" s="69">
        <f t="shared" ca="1" si="40"/>
        <v>0</v>
      </c>
      <c r="BY86" s="69">
        <f t="shared" ca="1" si="70"/>
        <v>0</v>
      </c>
      <c r="BZ86" s="69">
        <f t="shared" ca="1" si="71"/>
        <v>0</v>
      </c>
    </row>
    <row r="87" spans="1:78">
      <c r="A87" s="305" t="s">
        <v>1244</v>
      </c>
      <c r="B87" s="126" t="s">
        <v>1245</v>
      </c>
      <c r="C87" s="126" t="s">
        <v>206</v>
      </c>
      <c r="D87" s="26" t="str" cm="1">
        <f t="array" aca="1" ref="D87" ca="1">INDIRECT("Vergleich!"&amp;$G$2&amp;Z87)</f>
        <v>mittel</v>
      </c>
      <c r="E87" s="26" cm="1">
        <f t="array" aca="1" ref="E87" ca="1">INDIRECT("Investition_gewählt!"&amp;$I$5&amp;AA87)</f>
        <v>0</v>
      </c>
      <c r="F87" s="25" cm="1">
        <f t="array" aca="1" ref="F87" ca="1">IF($C$5=0,0,INDEX(Faktoren!E73:GQ73,1,VLOOKUP($F$5,$L$2:$O$14,4,FALSE)+$C$9*5+VLOOKUP(D87,Auswahllisten!$E$25:$F$29,2,FALSE)))</f>
        <v>0</v>
      </c>
      <c r="G87" s="26">
        <f t="shared" ca="1" si="87"/>
        <v>0</v>
      </c>
      <c r="H87" s="26" cm="1">
        <f t="array" aca="1" ref="H87" ca="1">INDIRECT("Investition_gewählt!"&amp;$I$6&amp;AA87)</f>
        <v>0</v>
      </c>
      <c r="I87" s="25" cm="1">
        <f t="array" aca="1" ref="I87" ca="1">IF($C$5=0,0,INDEX(Faktoren!E73:GQ73,1,VLOOKUP($F$6,$L$2:$O$14,4,FALSE)+$C$9*5+VLOOKUP(D87,Auswahllisten!$E$25:$F$29,2,FALSE)))</f>
        <v>0</v>
      </c>
      <c r="J87" s="26">
        <f t="shared" ca="1" si="88"/>
        <v>0</v>
      </c>
      <c r="K87" s="26">
        <f t="shared" ca="1" si="89"/>
        <v>0</v>
      </c>
      <c r="L87" s="16" t="b">
        <f t="shared" ca="1" si="82"/>
        <v>0</v>
      </c>
      <c r="M87" s="26">
        <f t="shared" ca="1" si="83"/>
        <v>0</v>
      </c>
      <c r="O87" s="16" t="str" cm="1">
        <f t="array" aca="1" ref="O87" ca="1">INDIRECT("Vergleich!"&amp;$Y$2&amp;Z87)</f>
        <v>gering</v>
      </c>
      <c r="P87" s="26" cm="1">
        <f t="array" aca="1" ref="P87" ca="1">INDIRECT("Investition_gewählt!"&amp;$AA$5&amp;AA87)</f>
        <v>0</v>
      </c>
      <c r="Q87" s="16" cm="1">
        <f t="array" aca="1" ref="Q87" ca="1">IF($U$5=0,0,INDEX(Faktoren!E73:GQ73,1,VLOOKUP($X$5,$L$2:$O$14,4,FALSE)+$U$9*5+VLOOKUP(O87,Auswahllisten!$E$25:$F$29,2,FALSE)))</f>
        <v>0</v>
      </c>
      <c r="R87" s="26">
        <f t="shared" ca="1" si="84"/>
        <v>0</v>
      </c>
      <c r="S87" s="26" cm="1">
        <f t="array" aca="1" ref="S87" ca="1">INDIRECT("Investition_gewählt!"&amp;$AA$6&amp;AA87)</f>
        <v>0</v>
      </c>
      <c r="T87" s="16" cm="1">
        <f t="array" aca="1" ref="T87" ca="1">IF($U$5=0,0,INDEX(Faktoren!E73:QG73,1,VLOOKUP($X$6,$L$3:$O$14,4,FALSE)+$U$9*5+VLOOKUP(O87,Auswahllisten!$E$25:$F$29,2,FALSE)))</f>
        <v>0</v>
      </c>
      <c r="U87" s="26">
        <f t="shared" ca="1" si="85"/>
        <v>0</v>
      </c>
      <c r="V87" s="26">
        <f t="shared" ca="1" si="91"/>
        <v>0</v>
      </c>
      <c r="W87" s="16" t="b">
        <f t="shared" ca="1" si="90"/>
        <v>0</v>
      </c>
      <c r="X87" s="26">
        <f t="shared" ca="1" si="86"/>
        <v>0</v>
      </c>
      <c r="Z87" s="1">
        <v>51</v>
      </c>
      <c r="AA87" s="1">
        <v>73</v>
      </c>
      <c r="AB87" s="1">
        <v>-2</v>
      </c>
      <c r="AE87" s="64"/>
      <c r="AN87" s="1">
        <v>62</v>
      </c>
      <c r="AO87" s="1">
        <f t="shared" si="67"/>
        <v>0</v>
      </c>
      <c r="AP87" s="69">
        <f t="shared" ca="1" si="92"/>
        <v>0</v>
      </c>
      <c r="AQ87" s="69">
        <f t="shared" ca="1" si="92"/>
        <v>0</v>
      </c>
      <c r="AR87" s="69">
        <f t="shared" si="92"/>
        <v>0</v>
      </c>
      <c r="AS87" s="69">
        <f t="shared" ca="1" si="92"/>
        <v>0</v>
      </c>
      <c r="AT87" s="69">
        <f t="shared" ca="1" si="92"/>
        <v>0</v>
      </c>
      <c r="AU87" s="69">
        <f t="shared" ca="1" si="92"/>
        <v>0</v>
      </c>
      <c r="AV87" s="69">
        <f t="shared" si="92"/>
        <v>0</v>
      </c>
      <c r="AW87" s="69">
        <f t="shared" ca="1" si="29"/>
        <v>0</v>
      </c>
      <c r="AX87" s="69">
        <f t="shared" ca="1" si="30"/>
        <v>0</v>
      </c>
      <c r="AY87" s="69">
        <f t="shared" ca="1" si="31"/>
        <v>0</v>
      </c>
      <c r="AZ87" s="69">
        <f ca="1">$AO87*IF(Auswahllisten!$G$150,AZ$25+AZ$25*AZ$13*$AN87,AZ$25*(1+AZ$13)^$AN87)</f>
        <v>0</v>
      </c>
      <c r="BA87" s="69">
        <f ca="1">$AO87*IF(Auswahllisten!$G$150,BA$25+BA$25*BA$13*$AN87,BA$25*(1+BA$13)^$AN87)</f>
        <v>0</v>
      </c>
      <c r="BB87" s="69">
        <f ca="1">$AO87*IF(Auswahllisten!$G$150,BB$25+BB$25*BB$13*$AN87,BB$25*(1+BB$13)^$AN87)</f>
        <v>0</v>
      </c>
      <c r="BC87" s="69">
        <f ca="1">$AO87*IF(Auswahllisten!$G$150,BC$25+BC$25*BC$13*$AN87,BC$25*(1+BC$13)^$AN87)</f>
        <v>0</v>
      </c>
      <c r="BD87" s="69">
        <f t="shared" ca="1" si="32"/>
        <v>0</v>
      </c>
      <c r="BE87" s="69">
        <f t="shared" ca="1" si="33"/>
        <v>0</v>
      </c>
      <c r="BF87" s="69">
        <f t="shared" ca="1" si="34"/>
        <v>0</v>
      </c>
      <c r="BG87" s="69">
        <f t="shared" ca="1" si="35"/>
        <v>0</v>
      </c>
      <c r="BI87" s="69">
        <f t="shared" ca="1" si="36"/>
        <v>0</v>
      </c>
      <c r="BJ87" s="69">
        <f t="shared" ca="1" si="66"/>
        <v>0</v>
      </c>
      <c r="BK87" s="69">
        <f t="shared" si="66"/>
        <v>0</v>
      </c>
      <c r="BL87" s="69">
        <f t="shared" ca="1" si="66"/>
        <v>0</v>
      </c>
      <c r="BM87" s="69">
        <f t="shared" ca="1" si="66"/>
        <v>0</v>
      </c>
      <c r="BN87" s="69">
        <f t="shared" ca="1" si="66"/>
        <v>0</v>
      </c>
      <c r="BO87" s="69">
        <f t="shared" si="66"/>
        <v>0</v>
      </c>
      <c r="BP87" s="69">
        <f t="shared" ca="1" si="68"/>
        <v>0</v>
      </c>
      <c r="BQ87" s="69">
        <f t="shared" ca="1" si="38"/>
        <v>0</v>
      </c>
      <c r="BR87" s="69">
        <f t="shared" ca="1" si="69"/>
        <v>0</v>
      </c>
      <c r="BS87" s="69">
        <f ca="1">$AO87*IF(Auswahllisten!$G$150,BS$25+BS$25*BS$13*$AN87,BS$25*(1+BS$13)^$AN87)</f>
        <v>0</v>
      </c>
      <c r="BT87" s="69">
        <f ca="1">$AO87*IF(Auswahllisten!$G$150,BT$25+BT$25*BT$13*$AN87,BT$25*(1+BT$13)^$AN87)</f>
        <v>0</v>
      </c>
      <c r="BU87" s="69">
        <f ca="1">$AO87*IF(Auswahllisten!$G$150,BU$25+BU$25*BU$13*$AN87,BU$25*(1+BU$13)^$AN87)</f>
        <v>0</v>
      </c>
      <c r="BV87" s="69">
        <f ca="1">$AO87*IF(Auswahllisten!$G$150,BV$25+BV$25*BV$13*$AN87,BV$25*(1+BV$13)^$AN87)</f>
        <v>0</v>
      </c>
      <c r="BW87" s="69">
        <f t="shared" ca="1" si="39"/>
        <v>0</v>
      </c>
      <c r="BX87" s="69">
        <f t="shared" ca="1" si="40"/>
        <v>0</v>
      </c>
      <c r="BY87" s="69">
        <f t="shared" ca="1" si="70"/>
        <v>0</v>
      </c>
      <c r="BZ87" s="69">
        <f t="shared" ca="1" si="71"/>
        <v>0</v>
      </c>
    </row>
    <row r="88" spans="1:78">
      <c r="A88" s="305" t="s">
        <v>1244</v>
      </c>
      <c r="B88" s="126" t="s">
        <v>1245</v>
      </c>
      <c r="C88" s="126" t="s">
        <v>967</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IF($C$5=0,0,INDEX(Faktoren!E74:GQ74,1,VLOOKUP($F$5,$L$2:$O$14,4,FALSE)+$C$9*5+VLOOKUP(D88,Auswahllisten!$E$25:$F$29,2,FALSE)))</f>
        <v>0</v>
      </c>
      <c r="G88" s="26">
        <f t="shared" ca="1" si="87"/>
        <v>0</v>
      </c>
      <c r="H88" s="26" cm="1">
        <f t="array" aca="1" ref="H88" ca="1">INDIRECT("Investition_gewählt!"&amp;$I$6&amp;AA88)</f>
        <v>0</v>
      </c>
      <c r="I88" s="25" cm="1">
        <f t="array" aca="1" ref="I88" ca="1">IF($C$5=0,0,INDEX(Faktoren!E74:GQ74,1,VLOOKUP($F$6,$L$2:$O$14,4,FALSE)+$C$9*5+VLOOKUP(D88,Auswahllisten!$E$25:$F$29,2,FALSE)))</f>
        <v>0</v>
      </c>
      <c r="J88" s="26">
        <f t="shared" ca="1" si="88"/>
        <v>0</v>
      </c>
      <c r="K88" s="26">
        <f t="shared" ca="1" si="89"/>
        <v>0</v>
      </c>
      <c r="L88" s="16" t="b">
        <f t="shared" ca="1" si="82"/>
        <v>0</v>
      </c>
      <c r="M88" s="26">
        <f t="shared" ca="1" si="83"/>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IF($U$5=0,0,INDEX(Faktoren!E74:GQ74,1,VLOOKUP($X$5,$L$2:$O$14,4,FALSE)+$U$9*5+VLOOKUP(O88,Auswahllisten!$E$25:$F$29,2,FALSE)))</f>
        <v>0</v>
      </c>
      <c r="R88" s="26">
        <f t="shared" ca="1" si="84"/>
        <v>0</v>
      </c>
      <c r="S88" s="26" cm="1">
        <f t="array" aca="1" ref="S88" ca="1">INDIRECT("Investition_gewählt!"&amp;$AA$6&amp;AA88)</f>
        <v>0</v>
      </c>
      <c r="T88" s="16" cm="1">
        <f t="array" aca="1" ref="T88" ca="1">IF($U$5=0,0,INDEX(Faktoren!E74:QG74,1,VLOOKUP($X$6,$L$3:$O$14,4,FALSE)+$U$9*5+VLOOKUP(O88,Auswahllisten!$E$25:$F$29,2,FALSE)))</f>
        <v>0</v>
      </c>
      <c r="U88" s="26">
        <f t="shared" ca="1" si="85"/>
        <v>0</v>
      </c>
      <c r="V88" s="26">
        <f t="shared" ca="1" si="91"/>
        <v>0</v>
      </c>
      <c r="W88" s="16" t="b">
        <f t="shared" ca="1" si="90"/>
        <v>0</v>
      </c>
      <c r="X88" s="26">
        <f t="shared" ca="1" si="86"/>
        <v>0</v>
      </c>
      <c r="Z88" s="1">
        <v>49</v>
      </c>
      <c r="AA88" s="1">
        <v>74</v>
      </c>
      <c r="AB88" s="1">
        <v>-2</v>
      </c>
      <c r="AE88" s="64"/>
      <c r="AN88" s="1">
        <v>63</v>
      </c>
      <c r="AO88" s="1">
        <f t="shared" si="67"/>
        <v>0</v>
      </c>
      <c r="AP88" s="69">
        <f t="shared" ca="1" si="92"/>
        <v>0</v>
      </c>
      <c r="AQ88" s="69">
        <f t="shared" ca="1" si="92"/>
        <v>0</v>
      </c>
      <c r="AR88" s="69">
        <f t="shared" si="92"/>
        <v>0</v>
      </c>
      <c r="AS88" s="69">
        <f t="shared" ca="1" si="92"/>
        <v>0</v>
      </c>
      <c r="AT88" s="69">
        <f t="shared" ca="1" si="92"/>
        <v>0</v>
      </c>
      <c r="AU88" s="69">
        <f t="shared" ca="1" si="92"/>
        <v>0</v>
      </c>
      <c r="AV88" s="69">
        <f t="shared" si="92"/>
        <v>0</v>
      </c>
      <c r="AW88" s="69">
        <f t="shared" ca="1" si="29"/>
        <v>0</v>
      </c>
      <c r="AX88" s="69">
        <f t="shared" ca="1" si="30"/>
        <v>0</v>
      </c>
      <c r="AY88" s="69">
        <f t="shared" ca="1" si="31"/>
        <v>0</v>
      </c>
      <c r="AZ88" s="69">
        <f ca="1">$AO88*IF(Auswahllisten!$G$150,AZ$25+AZ$25*AZ$13*$AN88,AZ$25*(1+AZ$13)^$AN88)</f>
        <v>0</v>
      </c>
      <c r="BA88" s="69">
        <f ca="1">$AO88*IF(Auswahllisten!$G$150,BA$25+BA$25*BA$13*$AN88,BA$25*(1+BA$13)^$AN88)</f>
        <v>0</v>
      </c>
      <c r="BB88" s="69">
        <f ca="1">$AO88*IF(Auswahllisten!$G$150,BB$25+BB$25*BB$13*$AN88,BB$25*(1+BB$13)^$AN88)</f>
        <v>0</v>
      </c>
      <c r="BC88" s="69">
        <f ca="1">$AO88*IF(Auswahllisten!$G$150,BC$25+BC$25*BC$13*$AN88,BC$25*(1+BC$13)^$AN88)</f>
        <v>0</v>
      </c>
      <c r="BD88" s="69">
        <f t="shared" ca="1" si="32"/>
        <v>0</v>
      </c>
      <c r="BE88" s="69">
        <f t="shared" ca="1" si="33"/>
        <v>0</v>
      </c>
      <c r="BF88" s="69">
        <f t="shared" ca="1" si="34"/>
        <v>0</v>
      </c>
      <c r="BG88" s="69">
        <f t="shared" ca="1" si="35"/>
        <v>0</v>
      </c>
      <c r="BI88" s="69">
        <f t="shared" ca="1" si="36"/>
        <v>0</v>
      </c>
      <c r="BJ88" s="69">
        <f t="shared" ref="BJ88:BO120" ca="1" si="93">IFERROR($AO88*IF(MOD($AN88,BJ$20)=0,BJ$25,0)*(1+$AS$10)^$AN88*IF($AS$3=$AN88,0,1),0)</f>
        <v>0</v>
      </c>
      <c r="BK88" s="69">
        <f t="shared" si="93"/>
        <v>0</v>
      </c>
      <c r="BL88" s="69">
        <f t="shared" ca="1" si="93"/>
        <v>0</v>
      </c>
      <c r="BM88" s="69">
        <f t="shared" ca="1" si="93"/>
        <v>0</v>
      </c>
      <c r="BN88" s="69">
        <f t="shared" ca="1" si="93"/>
        <v>0</v>
      </c>
      <c r="BO88" s="69">
        <f t="shared" si="93"/>
        <v>0</v>
      </c>
      <c r="BP88" s="69">
        <f t="shared" ca="1" si="68"/>
        <v>0</v>
      </c>
      <c r="BQ88" s="69">
        <f t="shared" ca="1" si="38"/>
        <v>0</v>
      </c>
      <c r="BR88" s="69">
        <f t="shared" ca="1" si="69"/>
        <v>0</v>
      </c>
      <c r="BS88" s="69">
        <f ca="1">$AO88*IF(Auswahllisten!$G$150,BS$25+BS$25*BS$13*$AN88,BS$25*(1+BS$13)^$AN88)</f>
        <v>0</v>
      </c>
      <c r="BT88" s="69">
        <f ca="1">$AO88*IF(Auswahllisten!$G$150,BT$25+BT$25*BT$13*$AN88,BT$25*(1+BT$13)^$AN88)</f>
        <v>0</v>
      </c>
      <c r="BU88" s="69">
        <f ca="1">$AO88*IF(Auswahllisten!$G$150,BU$25+BU$25*BU$13*$AN88,BU$25*(1+BU$13)^$AN88)</f>
        <v>0</v>
      </c>
      <c r="BV88" s="69">
        <f ca="1">$AO88*IF(Auswahllisten!$G$150,BV$25+BV$25*BV$13*$AN88,BV$25*(1+BV$13)^$AN88)</f>
        <v>0</v>
      </c>
      <c r="BW88" s="69">
        <f t="shared" ca="1" si="39"/>
        <v>0</v>
      </c>
      <c r="BX88" s="69">
        <f t="shared" ca="1" si="40"/>
        <v>0</v>
      </c>
      <c r="BY88" s="69">
        <f t="shared" ca="1" si="70"/>
        <v>0</v>
      </c>
      <c r="BZ88" s="69">
        <f t="shared" ca="1" si="71"/>
        <v>0</v>
      </c>
    </row>
    <row r="89" spans="1:78">
      <c r="A89" s="307" t="s">
        <v>1244</v>
      </c>
      <c r="B89" s="297" t="s">
        <v>1245</v>
      </c>
      <c r="C89" s="134" t="s">
        <v>359</v>
      </c>
      <c r="D89" s="163" t="str" cm="1">
        <f t="array" aca="1" ref="D89" ca="1">INDIRECT("Vergleich!"&amp;$G$2&amp;Z89)</f>
        <v>mittel</v>
      </c>
      <c r="E89" s="163" cm="1">
        <f t="array" aca="1" ref="E89" ca="1">INDIRECT("Investition_gewählt!"&amp;$I$5&amp;AA89)</f>
        <v>4500</v>
      </c>
      <c r="F89" s="61" cm="1">
        <f t="array" aca="1" ref="F89" ca="1">IF($C$5=0,0,INDEX(Faktoren!E75:GQ75,1,VLOOKUP($F$5,$L$2:$O$14,4,FALSE)+$C$9*5+VLOOKUP(D89,Auswahllisten!$E$25:$F$29,2,FALSE)))</f>
        <v>0</v>
      </c>
      <c r="G89" s="296">
        <f t="shared" ca="1" si="87"/>
        <v>0</v>
      </c>
      <c r="H89" s="296" cm="1">
        <f t="array" aca="1" ref="H89" ca="1">INDIRECT("Investition_gewählt!"&amp;$I$6&amp;AA89)</f>
        <v>4500</v>
      </c>
      <c r="I89" s="61" cm="1">
        <f t="array" aca="1" ref="I89" ca="1">IF($C$5=0,0,INDEX(Faktoren!E75:GQ75,1,VLOOKUP($F$6,$L$2:$O$14,4,FALSE)+$C$9*5+VLOOKUP(D89,Auswahllisten!$E$25:$F$29,2,FALSE)))</f>
        <v>0</v>
      </c>
      <c r="J89" s="163">
        <f t="shared" ca="1" si="88"/>
        <v>0</v>
      </c>
      <c r="K89" s="163">
        <f t="shared" ca="1" si="89"/>
        <v>0</v>
      </c>
      <c r="L89" s="93" t="b">
        <f t="shared" ca="1" si="82"/>
        <v>0</v>
      </c>
      <c r="M89" s="163">
        <f t="shared" ca="1" si="83"/>
        <v>0</v>
      </c>
      <c r="O89" s="93" t="str" cm="1">
        <f t="array" aca="1" ref="O89" ca="1">INDIRECT("Vergleich!"&amp;$Y$2&amp;Z89)</f>
        <v>gering</v>
      </c>
      <c r="P89" s="163" cm="1">
        <f t="array" aca="1" ref="P89" ca="1">INDIRECT("Investition_gewählt!"&amp;$AA$5&amp;AA89)</f>
        <v>4500</v>
      </c>
      <c r="Q89" s="93" cm="1">
        <f t="array" aca="1" ref="Q89" ca="1">IF($U$5=0,0,INDEX(Faktoren!E75:GQ75,1,VLOOKUP($X$5,$L$2:$O$14,4,FALSE)+$U$9*5+VLOOKUP(O89,Auswahllisten!$E$25:$F$29,2,FALSE)))</f>
        <v>0</v>
      </c>
      <c r="R89" s="163">
        <f t="shared" ca="1" si="84"/>
        <v>0</v>
      </c>
      <c r="S89" s="163" cm="1">
        <f t="array" aca="1" ref="S89" ca="1">INDIRECT("Investition_gewählt!"&amp;$AA$6&amp;AA89)</f>
        <v>4500</v>
      </c>
      <c r="T89" s="93" cm="1">
        <f t="array" aca="1" ref="T89" ca="1">IF($U$5=0,0,INDEX(Faktoren!E75:QG75,1,VLOOKUP($X$6,$L$3:$O$14,4,FALSE)+$U$9*5+VLOOKUP(O89,Auswahllisten!$E$25:$F$29,2,FALSE)))</f>
        <v>0</v>
      </c>
      <c r="U89" s="163">
        <f t="shared" ca="1" si="85"/>
        <v>0</v>
      </c>
      <c r="V89" s="163">
        <f t="shared" ca="1" si="91"/>
        <v>0</v>
      </c>
      <c r="W89" s="93" t="b">
        <f t="shared" ca="1" si="90"/>
        <v>0</v>
      </c>
      <c r="X89" s="163">
        <f t="shared" ca="1" si="86"/>
        <v>0</v>
      </c>
      <c r="Z89" s="1">
        <v>50</v>
      </c>
      <c r="AA89" s="1">
        <v>75</v>
      </c>
      <c r="AB89" s="1">
        <v>-2</v>
      </c>
      <c r="AE89" s="64"/>
      <c r="AN89" s="1">
        <v>64</v>
      </c>
      <c r="AO89" s="1">
        <f t="shared" si="67"/>
        <v>0</v>
      </c>
      <c r="AP89" s="69">
        <f t="shared" ca="1" si="92"/>
        <v>0</v>
      </c>
      <c r="AQ89" s="69">
        <f t="shared" ca="1" si="92"/>
        <v>0</v>
      </c>
      <c r="AR89" s="69">
        <f t="shared" si="92"/>
        <v>0</v>
      </c>
      <c r="AS89" s="69">
        <f t="shared" ca="1" si="92"/>
        <v>0</v>
      </c>
      <c r="AT89" s="69">
        <f t="shared" ca="1" si="92"/>
        <v>0</v>
      </c>
      <c r="AU89" s="69">
        <f t="shared" ca="1" si="92"/>
        <v>0</v>
      </c>
      <c r="AV89" s="69">
        <f t="shared" si="92"/>
        <v>0</v>
      </c>
      <c r="AW89" s="69">
        <f t="shared" ca="1" si="29"/>
        <v>0</v>
      </c>
      <c r="AX89" s="69">
        <f t="shared" ca="1" si="30"/>
        <v>0</v>
      </c>
      <c r="AY89" s="69">
        <f t="shared" ca="1" si="31"/>
        <v>0</v>
      </c>
      <c r="AZ89" s="69">
        <f ca="1">$AO89*IF(Auswahllisten!$G$150,AZ$25+AZ$25*AZ$13*$AN89,AZ$25*(1+AZ$13)^$AN89)</f>
        <v>0</v>
      </c>
      <c r="BA89" s="69">
        <f ca="1">$AO89*IF(Auswahllisten!$G$150,BA$25+BA$25*BA$13*$AN89,BA$25*(1+BA$13)^$AN89)</f>
        <v>0</v>
      </c>
      <c r="BB89" s="69">
        <f ca="1">$AO89*IF(Auswahllisten!$G$150,BB$25+BB$25*BB$13*$AN89,BB$25*(1+BB$13)^$AN89)</f>
        <v>0</v>
      </c>
      <c r="BC89" s="69">
        <f ca="1">$AO89*IF(Auswahllisten!$G$150,BC$25+BC$25*BC$13*$AN89,BC$25*(1+BC$13)^$AN89)</f>
        <v>0</v>
      </c>
      <c r="BD89" s="69">
        <f t="shared" ca="1" si="32"/>
        <v>0</v>
      </c>
      <c r="BE89" s="69">
        <f t="shared" ca="1" si="33"/>
        <v>0</v>
      </c>
      <c r="BF89" s="69">
        <f t="shared" ca="1" si="34"/>
        <v>0</v>
      </c>
      <c r="BG89" s="69">
        <f t="shared" ca="1" si="35"/>
        <v>0</v>
      </c>
      <c r="BI89" s="69">
        <f t="shared" ca="1" si="36"/>
        <v>0</v>
      </c>
      <c r="BJ89" s="69">
        <f t="shared" ca="1" si="93"/>
        <v>0</v>
      </c>
      <c r="BK89" s="69">
        <f t="shared" si="93"/>
        <v>0</v>
      </c>
      <c r="BL89" s="69">
        <f t="shared" ca="1" si="93"/>
        <v>0</v>
      </c>
      <c r="BM89" s="69">
        <f t="shared" ca="1" si="93"/>
        <v>0</v>
      </c>
      <c r="BN89" s="69">
        <f t="shared" ca="1" si="93"/>
        <v>0</v>
      </c>
      <c r="BO89" s="69">
        <f t="shared" si="93"/>
        <v>0</v>
      </c>
      <c r="BP89" s="69">
        <f t="shared" ca="1" si="68"/>
        <v>0</v>
      </c>
      <c r="BQ89" s="69">
        <f t="shared" ca="1" si="38"/>
        <v>0</v>
      </c>
      <c r="BR89" s="69">
        <f t="shared" ca="1" si="69"/>
        <v>0</v>
      </c>
      <c r="BS89" s="69">
        <f ca="1">$AO89*IF(Auswahllisten!$G$150,BS$25+BS$25*BS$13*$AN89,BS$25*(1+BS$13)^$AN89)</f>
        <v>0</v>
      </c>
      <c r="BT89" s="69">
        <f ca="1">$AO89*IF(Auswahllisten!$G$150,BT$25+BT$25*BT$13*$AN89,BT$25*(1+BT$13)^$AN89)</f>
        <v>0</v>
      </c>
      <c r="BU89" s="69">
        <f ca="1">$AO89*IF(Auswahllisten!$G$150,BU$25+BU$25*BU$13*$AN89,BU$25*(1+BU$13)^$AN89)</f>
        <v>0</v>
      </c>
      <c r="BV89" s="69">
        <f ca="1">$AO89*IF(Auswahllisten!$G$150,BV$25+BV$25*BV$13*$AN89,BV$25*(1+BV$13)^$AN89)</f>
        <v>0</v>
      </c>
      <c r="BW89" s="69">
        <f t="shared" ca="1" si="39"/>
        <v>0</v>
      </c>
      <c r="BX89" s="69">
        <f t="shared" ca="1" si="40"/>
        <v>0</v>
      </c>
      <c r="BY89" s="69">
        <f t="shared" ca="1" si="70"/>
        <v>0</v>
      </c>
      <c r="BZ89" s="69">
        <f t="shared" ca="1" si="71"/>
        <v>0</v>
      </c>
    </row>
    <row r="90" spans="1:78">
      <c r="D90" s="69"/>
      <c r="E90" s="69"/>
      <c r="G90" s="69"/>
      <c r="H90" s="69"/>
      <c r="J90" s="69"/>
      <c r="K90" s="69"/>
      <c r="M90" s="69"/>
      <c r="P90" s="69"/>
      <c r="R90" s="69"/>
      <c r="S90" s="69"/>
      <c r="U90" s="69"/>
      <c r="V90" s="69"/>
      <c r="X90" s="69"/>
      <c r="AA90" s="1">
        <v>76</v>
      </c>
      <c r="AB90" s="1">
        <v>-2</v>
      </c>
      <c r="AE90" s="64"/>
      <c r="AN90" s="1">
        <v>65</v>
      </c>
      <c r="AO90" s="1">
        <f t="shared" ref="AO90:AO96" si="94">IF($AS$3&lt;AN90,0,1)</f>
        <v>0</v>
      </c>
      <c r="AP90" s="69">
        <f t="shared" ca="1" si="92"/>
        <v>0</v>
      </c>
      <c r="AQ90" s="69">
        <f t="shared" ca="1" si="92"/>
        <v>0</v>
      </c>
      <c r="AR90" s="69">
        <f t="shared" si="92"/>
        <v>0</v>
      </c>
      <c r="AS90" s="69">
        <f t="shared" ca="1" si="92"/>
        <v>0</v>
      </c>
      <c r="AT90" s="69">
        <f t="shared" ca="1" si="92"/>
        <v>0</v>
      </c>
      <c r="AU90" s="69">
        <f t="shared" ca="1" si="92"/>
        <v>0</v>
      </c>
      <c r="AV90" s="69">
        <f t="shared" si="92"/>
        <v>0</v>
      </c>
      <c r="AW90" s="69">
        <f t="shared" ca="1" si="29"/>
        <v>0</v>
      </c>
      <c r="AX90" s="69">
        <f t="shared" ca="1" si="30"/>
        <v>0</v>
      </c>
      <c r="AY90" s="69">
        <f t="shared" ca="1" si="31"/>
        <v>0</v>
      </c>
      <c r="AZ90" s="69">
        <f ca="1">$AO90*IF(Auswahllisten!$G$150,AZ$25+AZ$25*AZ$13*$AN90,AZ$25*(1+AZ$13)^$AN90)</f>
        <v>0</v>
      </c>
      <c r="BA90" s="69">
        <f ca="1">$AO90*IF(Auswahllisten!$G$150,BA$25+BA$25*BA$13*$AN90,BA$25*(1+BA$13)^$AN90)</f>
        <v>0</v>
      </c>
      <c r="BB90" s="69">
        <f ca="1">$AO90*IF(Auswahllisten!$G$150,BB$25+BB$25*BB$13*$AN90,BB$25*(1+BB$13)^$AN90)</f>
        <v>0</v>
      </c>
      <c r="BC90" s="69">
        <f ca="1">$AO90*IF(Auswahllisten!$G$150,BC$25+BC$25*BC$13*$AN90,BC$25*(1+BC$13)^$AN90)</f>
        <v>0</v>
      </c>
      <c r="BD90" s="69">
        <f t="shared" ca="1" si="32"/>
        <v>0</v>
      </c>
      <c r="BE90" s="69">
        <f t="shared" ca="1" si="33"/>
        <v>0</v>
      </c>
      <c r="BF90" s="69">
        <f t="shared" ca="1" si="34"/>
        <v>0</v>
      </c>
      <c r="BG90" s="69">
        <f t="shared" ca="1" si="35"/>
        <v>0</v>
      </c>
      <c r="BI90" s="69">
        <f t="shared" ca="1" si="36"/>
        <v>0</v>
      </c>
      <c r="BJ90" s="69">
        <f t="shared" ca="1" si="93"/>
        <v>0</v>
      </c>
      <c r="BK90" s="69">
        <f t="shared" si="93"/>
        <v>0</v>
      </c>
      <c r="BL90" s="69">
        <f t="shared" ca="1" si="93"/>
        <v>0</v>
      </c>
      <c r="BM90" s="69">
        <f t="shared" ca="1" si="93"/>
        <v>0</v>
      </c>
      <c r="BN90" s="69">
        <f t="shared" ca="1" si="93"/>
        <v>0</v>
      </c>
      <c r="BO90" s="69">
        <f t="shared" si="93"/>
        <v>0</v>
      </c>
      <c r="BP90" s="69">
        <f t="shared" ref="BP90:BP122" ca="1" si="95">SUM(BI90:BO90)/(1+$AS$11)^AN90</f>
        <v>0</v>
      </c>
      <c r="BQ90" s="69">
        <f t="shared" ca="1" si="38"/>
        <v>0</v>
      </c>
      <c r="BR90" s="69">
        <f t="shared" ref="BR90:BR122" ca="1" si="96">SUM(BQ90)/(1+$AS$11)^AN90</f>
        <v>0</v>
      </c>
      <c r="BS90" s="69">
        <f ca="1">$AO90*IF(Auswahllisten!$G$150,BS$25+BS$25*BS$13*$AN90,BS$25*(1+BS$13)^$AN90)</f>
        <v>0</v>
      </c>
      <c r="BT90" s="69">
        <f ca="1">$AO90*IF(Auswahllisten!$G$150,BT$25+BT$25*BT$13*$AN90,BT$25*(1+BT$13)^$AN90)</f>
        <v>0</v>
      </c>
      <c r="BU90" s="69">
        <f ca="1">$AO90*IF(Auswahllisten!$G$150,BU$25+BU$25*BU$13*$AN90,BU$25*(1+BU$13)^$AN90)</f>
        <v>0</v>
      </c>
      <c r="BV90" s="69">
        <f ca="1">$AO90*IF(Auswahllisten!$G$150,BV$25+BV$25*BV$13*$AN90,BV$25*(1+BV$13)^$AN90)</f>
        <v>0</v>
      </c>
      <c r="BW90" s="69">
        <f t="shared" ca="1" si="39"/>
        <v>0</v>
      </c>
      <c r="BX90" s="69">
        <f t="shared" ca="1" si="40"/>
        <v>0</v>
      </c>
      <c r="BY90" s="69">
        <f t="shared" ref="BY90:BY125" ca="1" si="97">BX90/(1+$AS$11)^AN90</f>
        <v>0</v>
      </c>
      <c r="BZ90" s="69">
        <f t="shared" ref="BZ90:BZ125" ca="1" si="98">BZ89+BP90+BR90+BW90+BY90+IF(AN90=$AS$3,$BY$22,0)</f>
        <v>0</v>
      </c>
    </row>
    <row r="91" spans="1:78">
      <c r="A91" s="125" t="s">
        <v>1002</v>
      </c>
      <c r="B91" s="125" t="s">
        <v>32</v>
      </c>
      <c r="C91" s="125"/>
      <c r="D91" s="69"/>
      <c r="E91" s="69"/>
      <c r="G91" s="69"/>
      <c r="H91" s="69"/>
      <c r="J91" s="69"/>
      <c r="K91" s="69"/>
      <c r="M91" s="69"/>
      <c r="P91" s="69"/>
      <c r="R91" s="69"/>
      <c r="S91" s="69"/>
      <c r="U91" s="69"/>
      <c r="V91" s="69"/>
      <c r="X91" s="69"/>
      <c r="AA91" s="1">
        <v>77</v>
      </c>
      <c r="AB91" s="1">
        <v>-2</v>
      </c>
      <c r="AE91" s="64"/>
      <c r="AN91" s="1">
        <v>66</v>
      </c>
      <c r="AO91" s="1">
        <f t="shared" si="94"/>
        <v>0</v>
      </c>
      <c r="AP91" s="69">
        <f t="shared" ca="1" si="92"/>
        <v>0</v>
      </c>
      <c r="AQ91" s="69">
        <f t="shared" ca="1" si="92"/>
        <v>0</v>
      </c>
      <c r="AR91" s="69">
        <f t="shared" si="92"/>
        <v>0</v>
      </c>
      <c r="AS91" s="69">
        <f t="shared" ca="1" si="92"/>
        <v>0</v>
      </c>
      <c r="AT91" s="69">
        <f t="shared" ca="1" si="92"/>
        <v>0</v>
      </c>
      <c r="AU91" s="69">
        <f t="shared" ca="1" si="92"/>
        <v>0</v>
      </c>
      <c r="AV91" s="69">
        <f t="shared" si="92"/>
        <v>0</v>
      </c>
      <c r="AW91" s="69">
        <f t="shared" ref="AW91:AW96" ca="1" si="99">SUM(AP91:AV91)/(1+$AS$11)^AN91</f>
        <v>0</v>
      </c>
      <c r="AX91" s="69">
        <f t="shared" ref="AX91:AX125" ca="1" si="100">$AO91*AX$25*(1+$AS$9)^$AN91</f>
        <v>0</v>
      </c>
      <c r="AY91" s="69">
        <f t="shared" ref="AY91:AY96" ca="1" si="101">SUM(AX91)/(1+$AS$11)^AN91</f>
        <v>0</v>
      </c>
      <c r="AZ91" s="69">
        <f ca="1">$AO91*IF(Auswahllisten!$G$150,AZ$25+AZ$25*AZ$13*$AN91,AZ$25*(1+AZ$13)^$AN91)</f>
        <v>0</v>
      </c>
      <c r="BA91" s="69">
        <f ca="1">$AO91*IF(Auswahllisten!$G$150,BA$25+BA$25*BA$13*$AN91,BA$25*(1+BA$13)^$AN91)</f>
        <v>0</v>
      </c>
      <c r="BB91" s="69">
        <f ca="1">$AO91*IF(Auswahllisten!$G$150,BB$25+BB$25*BB$13*$AN91,BB$25*(1+BB$13)^$AN91)</f>
        <v>0</v>
      </c>
      <c r="BC91" s="69">
        <f ca="1">$AO91*IF(Auswahllisten!$G$150,BC$25+BC$25*BC$13*$AN91,BC$25*(1+BC$13)^$AN91)</f>
        <v>0</v>
      </c>
      <c r="BD91" s="69">
        <f t="shared" ref="BD91:BD125" ca="1" si="102">SUM(AZ91:BC91)/(1+$AS$11)^AN91</f>
        <v>0</v>
      </c>
      <c r="BE91" s="69">
        <f t="shared" ref="BE91:BE96" ca="1" si="103">AO91*$BE$25*(1+$AS$8)^AN91</f>
        <v>0</v>
      </c>
      <c r="BF91" s="69">
        <f t="shared" ref="BF91:BF96" ca="1" si="104">BE91/(1+$AS$11)^AN91</f>
        <v>0</v>
      </c>
      <c r="BG91" s="69">
        <f t="shared" ref="BG91:BG125" ca="1" si="105">BG90+AW91+AY91+BD91+BF91+IF(AN91=$AS$3,$BF$22,0)</f>
        <v>0</v>
      </c>
      <c r="BI91" s="69">
        <f t="shared" ref="BI91:BO125" ca="1" si="106">IFERROR($AO91*IF(MOD($AN91,BI$20)=0,BI$25,0)*(1+$AS$10)^$AN91*IF($AS$3=$AN91,0,1),0)</f>
        <v>0</v>
      </c>
      <c r="BJ91" s="69">
        <f t="shared" ca="1" si="93"/>
        <v>0</v>
      </c>
      <c r="BK91" s="69">
        <f t="shared" si="93"/>
        <v>0</v>
      </c>
      <c r="BL91" s="69">
        <f t="shared" ca="1" si="93"/>
        <v>0</v>
      </c>
      <c r="BM91" s="69">
        <f t="shared" ca="1" si="93"/>
        <v>0</v>
      </c>
      <c r="BN91" s="69">
        <f t="shared" ca="1" si="93"/>
        <v>0</v>
      </c>
      <c r="BO91" s="69">
        <f t="shared" si="93"/>
        <v>0</v>
      </c>
      <c r="BP91" s="69">
        <f t="shared" ca="1" si="95"/>
        <v>0</v>
      </c>
      <c r="BQ91" s="69">
        <f t="shared" ref="BQ91:BQ125" ca="1" si="107">$AO91*BQ$25*(1+$AS$9)^$AN91</f>
        <v>0</v>
      </c>
      <c r="BR91" s="69">
        <f t="shared" ca="1" si="96"/>
        <v>0</v>
      </c>
      <c r="BS91" s="69">
        <f ca="1">$AO91*IF(Auswahllisten!$G$150,BS$25+BS$25*BS$13*$AN91,BS$25*(1+BS$13)^$AN91)</f>
        <v>0</v>
      </c>
      <c r="BT91" s="69">
        <f ca="1">$AO91*IF(Auswahllisten!$G$150,BT$25+BT$25*BT$13*$AN91,BT$25*(1+BT$13)^$AN91)</f>
        <v>0</v>
      </c>
      <c r="BU91" s="69">
        <f ca="1">$AO91*IF(Auswahllisten!$G$150,BU$25+BU$25*BU$13*$AN91,BU$25*(1+BU$13)^$AN91)</f>
        <v>0</v>
      </c>
      <c r="BV91" s="69">
        <f ca="1">$AO91*IF(Auswahllisten!$G$150,BV$25+BV$25*BV$13*$AN91,BV$25*(1+BV$13)^$AN91)</f>
        <v>0</v>
      </c>
      <c r="BW91" s="69">
        <f t="shared" ref="BW91:BW125" ca="1" si="108">SUM(BS91:BV91)/(1+$AS$11)^AN91</f>
        <v>0</v>
      </c>
      <c r="BX91" s="69">
        <f t="shared" ref="BX91:BX125" ca="1" si="109">AO91*$BX$25*(1+$AS$8)^AN91</f>
        <v>0</v>
      </c>
      <c r="BY91" s="69">
        <f t="shared" ca="1" si="97"/>
        <v>0</v>
      </c>
      <c r="BZ91" s="69">
        <f t="shared" ca="1" si="98"/>
        <v>0</v>
      </c>
    </row>
    <row r="92" spans="1:78">
      <c r="A92" s="304" t="s">
        <v>1217</v>
      </c>
      <c r="B92" s="131" t="s">
        <v>1242</v>
      </c>
      <c r="C92" s="131" t="s">
        <v>206</v>
      </c>
      <c r="D92" s="162" t="str" cm="1">
        <f t="array" aca="1" ref="D92" ca="1">INDIRECT("Vergleich!"&amp;$G$2&amp;Z92)</f>
        <v>mittel</v>
      </c>
      <c r="E92" s="162" cm="1">
        <f t="array" aca="1" ref="E92" ca="1">INDIRECT("Investition_gewählt!"&amp;$I$5&amp;AA92)</f>
        <v>5100</v>
      </c>
      <c r="F92" s="25" cm="1">
        <f t="array" aca="1" ref="F92" ca="1">IF($C$5=0,0,INDEX(Faktoren!E78:GQ78,1,VLOOKUP($F$5,$L$2:$O$14,4,FALSE)+$C$9*5+VLOOKUP(D92,Auswahllisten!$E$25:$F$29,2,FALSE)))</f>
        <v>0</v>
      </c>
      <c r="G92" s="162">
        <f ca="1">E92*F92</f>
        <v>0</v>
      </c>
      <c r="H92" s="162" cm="1">
        <f t="array" aca="1" ref="H92" ca="1">INDIRECT("Investition_gewählt!"&amp;$I$6&amp;AA92)</f>
        <v>5100</v>
      </c>
      <c r="I92" s="25" cm="1">
        <f t="array" aca="1" ref="I92" ca="1">IF($C$5=0,0,INDEX(Faktoren!E78:GQ78,1,VLOOKUP($F$6,$L$2:$O$14,4,FALSE)+$C$9*5+VLOOKUP(D92,Auswahllisten!$E$25:$F$29,2,FALSE)))</f>
        <v>0</v>
      </c>
      <c r="J92" s="162">
        <f ca="1">H92*I92</f>
        <v>0</v>
      </c>
      <c r="K92" s="162">
        <f ca="1">IF($C$5=0,0,G92+(J92-G92)*($C$6-$F$5)/($F$6-$F$5))</f>
        <v>0</v>
      </c>
      <c r="L92" s="25" t="b">
        <f ca="1">(OR($C$5=10,$C$5=11,$C$5=12,$C$5=13))</f>
        <v>0</v>
      </c>
      <c r="M92" s="162">
        <f ca="1">IFERROR(ROUND(K92*L92,AB92),0)</f>
        <v>0</v>
      </c>
      <c r="O92" s="25" t="str" cm="1">
        <f t="array" aca="1" ref="O92" ca="1">INDIRECT("Vergleich!"&amp;$Y$2&amp;Z92)</f>
        <v>gering</v>
      </c>
      <c r="P92" s="162" cm="1">
        <f t="array" aca="1" ref="P92" ca="1">INDIRECT("Investition_gewählt!"&amp;$AA$5&amp;AA92)</f>
        <v>5100</v>
      </c>
      <c r="Q92" s="25" cm="1">
        <f t="array" aca="1" ref="Q92" ca="1">IF($U$5=0,0,INDEX(Faktoren!E78:GQ78,1,VLOOKUP($X$5,$L$2:$O$14,4,FALSE)+$U$9*5+VLOOKUP(O92,Auswahllisten!$E$25:$F$29,2,FALSE)))</f>
        <v>0</v>
      </c>
      <c r="R92" s="162">
        <f ca="1">P92*Q92</f>
        <v>0</v>
      </c>
      <c r="S92" s="162" cm="1">
        <f t="array" aca="1" ref="S92" ca="1">INDIRECT("Investition_gewählt!"&amp;$AA$6&amp;AA92)</f>
        <v>5100</v>
      </c>
      <c r="T92" s="25" cm="1">
        <f t="array" aca="1" ref="T92" ca="1">IF($U$5=0,0,INDEX(Faktoren!E78:QG78,1,VLOOKUP($X$6,$L$3:$O$14,4,FALSE)+$U$9*5+VLOOKUP(O92,Auswahllisten!$E$25:$F$29,2,FALSE)))</f>
        <v>0</v>
      </c>
      <c r="U92" s="162">
        <f ca="1">S92*T92</f>
        <v>0</v>
      </c>
      <c r="V92" s="162">
        <f t="shared" ca="1" si="91"/>
        <v>0</v>
      </c>
      <c r="W92" s="25" t="b">
        <f ca="1">(OR($U$5=10,$U$5=11,$U$5=12,$U$5=13))</f>
        <v>0</v>
      </c>
      <c r="X92" s="162">
        <f ca="1">IFERROR(ROUND(V92*W92,AB92),0)</f>
        <v>0</v>
      </c>
      <c r="Z92" s="1">
        <v>38</v>
      </c>
      <c r="AA92" s="1">
        <v>78</v>
      </c>
      <c r="AB92" s="1">
        <v>-2</v>
      </c>
      <c r="AE92" s="64"/>
      <c r="AN92" s="1">
        <v>67</v>
      </c>
      <c r="AO92" s="1">
        <f t="shared" si="94"/>
        <v>0</v>
      </c>
      <c r="AP92" s="69">
        <f t="shared" ca="1" si="92"/>
        <v>0</v>
      </c>
      <c r="AQ92" s="69">
        <f t="shared" ca="1" si="92"/>
        <v>0</v>
      </c>
      <c r="AR92" s="69">
        <f t="shared" si="92"/>
        <v>0</v>
      </c>
      <c r="AS92" s="69">
        <f t="shared" ca="1" si="92"/>
        <v>0</v>
      </c>
      <c r="AT92" s="69">
        <f t="shared" ca="1" si="92"/>
        <v>0</v>
      </c>
      <c r="AU92" s="69">
        <f t="shared" ca="1" si="92"/>
        <v>0</v>
      </c>
      <c r="AV92" s="69">
        <f t="shared" si="92"/>
        <v>0</v>
      </c>
      <c r="AW92" s="69">
        <f t="shared" ca="1" si="99"/>
        <v>0</v>
      </c>
      <c r="AX92" s="69">
        <f t="shared" ca="1" si="100"/>
        <v>0</v>
      </c>
      <c r="AY92" s="69">
        <f t="shared" ca="1" si="101"/>
        <v>0</v>
      </c>
      <c r="AZ92" s="69">
        <f ca="1">$AO92*IF(Auswahllisten!$G$150,AZ$25+AZ$25*AZ$13*$AN92,AZ$25*(1+AZ$13)^$AN92)</f>
        <v>0</v>
      </c>
      <c r="BA92" s="69">
        <f ca="1">$AO92*IF(Auswahllisten!$G$150,BA$25+BA$25*BA$13*$AN92,BA$25*(1+BA$13)^$AN92)</f>
        <v>0</v>
      </c>
      <c r="BB92" s="69">
        <f ca="1">$AO92*IF(Auswahllisten!$G$150,BB$25+BB$25*BB$13*$AN92,BB$25*(1+BB$13)^$AN92)</f>
        <v>0</v>
      </c>
      <c r="BC92" s="69">
        <f ca="1">$AO92*IF(Auswahllisten!$G$150,BC$25+BC$25*BC$13*$AN92,BC$25*(1+BC$13)^$AN92)</f>
        <v>0</v>
      </c>
      <c r="BD92" s="69">
        <f t="shared" ca="1" si="102"/>
        <v>0</v>
      </c>
      <c r="BE92" s="69">
        <f t="shared" ca="1" si="103"/>
        <v>0</v>
      </c>
      <c r="BF92" s="69">
        <f t="shared" ca="1" si="104"/>
        <v>0</v>
      </c>
      <c r="BG92" s="69">
        <f t="shared" ca="1" si="105"/>
        <v>0</v>
      </c>
      <c r="BI92" s="69">
        <f t="shared" ca="1" si="106"/>
        <v>0</v>
      </c>
      <c r="BJ92" s="69">
        <f t="shared" ca="1" si="93"/>
        <v>0</v>
      </c>
      <c r="BK92" s="69">
        <f t="shared" si="93"/>
        <v>0</v>
      </c>
      <c r="BL92" s="69">
        <f t="shared" ca="1" si="93"/>
        <v>0</v>
      </c>
      <c r="BM92" s="69">
        <f t="shared" ca="1" si="93"/>
        <v>0</v>
      </c>
      <c r="BN92" s="69">
        <f t="shared" ca="1" si="93"/>
        <v>0</v>
      </c>
      <c r="BO92" s="69">
        <f t="shared" si="93"/>
        <v>0</v>
      </c>
      <c r="BP92" s="69">
        <f t="shared" ca="1" si="95"/>
        <v>0</v>
      </c>
      <c r="BQ92" s="69">
        <f t="shared" ca="1" si="107"/>
        <v>0</v>
      </c>
      <c r="BR92" s="69">
        <f t="shared" ca="1" si="96"/>
        <v>0</v>
      </c>
      <c r="BS92" s="69">
        <f ca="1">$AO92*IF(Auswahllisten!$G$150,BS$25+BS$25*BS$13*$AN92,BS$25*(1+BS$13)^$AN92)</f>
        <v>0</v>
      </c>
      <c r="BT92" s="69">
        <f ca="1">$AO92*IF(Auswahllisten!$G$150,BT$25+BT$25*BT$13*$AN92,BT$25*(1+BT$13)^$AN92)</f>
        <v>0</v>
      </c>
      <c r="BU92" s="69">
        <f ca="1">$AO92*IF(Auswahllisten!$G$150,BU$25+BU$25*BU$13*$AN92,BU$25*(1+BU$13)^$AN92)</f>
        <v>0</v>
      </c>
      <c r="BV92" s="69">
        <f ca="1">$AO92*IF(Auswahllisten!$G$150,BV$25+BV$25*BV$13*$AN92,BV$25*(1+BV$13)^$AN92)</f>
        <v>0</v>
      </c>
      <c r="BW92" s="69">
        <f t="shared" ca="1" si="108"/>
        <v>0</v>
      </c>
      <c r="BX92" s="69">
        <f t="shared" ca="1" si="109"/>
        <v>0</v>
      </c>
      <c r="BY92" s="69">
        <f t="shared" ca="1" si="97"/>
        <v>0</v>
      </c>
      <c r="BZ92" s="69">
        <f t="shared" ca="1" si="98"/>
        <v>0</v>
      </c>
    </row>
    <row r="93" spans="1:78">
      <c r="A93" s="305" t="s">
        <v>1215</v>
      </c>
      <c r="B93" s="126" t="s">
        <v>303</v>
      </c>
      <c r="C93" s="126" t="s">
        <v>241</v>
      </c>
      <c r="D93" s="26" t="str" cm="1">
        <f t="array" aca="1" ref="D93" ca="1">INDIRECT("Vergleich!"&amp;$G$2&amp;Z93)</f>
        <v>mittel</v>
      </c>
      <c r="E93" s="26" cm="1">
        <f t="array" aca="1" ref="E93" ca="1">INDIRECT("Investition_gewählt!"&amp;$I$5&amp;AA93)</f>
        <v>7000</v>
      </c>
      <c r="F93" s="25" cm="1">
        <f t="array" aca="1" ref="F93" ca="1">IF($C$5=0,0,INDEX(Faktoren!E79:GQ79,1,VLOOKUP($F$5,$L$2:$O$14,4,FALSE)+$C$9*5+VLOOKUP(D93,Auswahllisten!$E$25:$F$29,2,FALSE)))</f>
        <v>0</v>
      </c>
      <c r="G93" s="26">
        <f t="shared" ref="G93:G94" ca="1" si="110">E93*F93</f>
        <v>0</v>
      </c>
      <c r="H93" s="26" cm="1">
        <f t="array" aca="1" ref="H93" ca="1">INDIRECT("Investition_gewählt!"&amp;$I$6&amp;AA93)</f>
        <v>7000</v>
      </c>
      <c r="I93" s="25" cm="1">
        <f t="array" aca="1" ref="I93" ca="1">IF($C$5=0,0,INDEX(Faktoren!E79:GQ79,1,VLOOKUP($F$6,$L$2:$O$14,4,FALSE)+$C$9*5+VLOOKUP(D93,Auswahllisten!$E$25:$F$29,2,FALSE)))</f>
        <v>0</v>
      </c>
      <c r="J93" s="26">
        <f t="shared" ref="J93:J94" ca="1" si="111">H93*I93</f>
        <v>0</v>
      </c>
      <c r="K93" s="26">
        <f ca="1">IF($C$5=0,0,G93+(J93-G93)*($C$6-$F$5)/($F$6-$F$5))</f>
        <v>0</v>
      </c>
      <c r="L93" s="16" t="b">
        <f ca="1">(OR($C$5=10,$C$5=11,$C$5=12,$C$5=13))</f>
        <v>0</v>
      </c>
      <c r="M93" s="26">
        <f ca="1">IFERROR(ROUND(K93*L93,AB93),0)</f>
        <v>0</v>
      </c>
      <c r="O93" s="16" t="str" cm="1">
        <f t="array" aca="1" ref="O93" ca="1">INDIRECT("Vergleich!"&amp;$Y$2&amp;Z93)</f>
        <v>gering</v>
      </c>
      <c r="P93" s="26" cm="1">
        <f t="array" aca="1" ref="P93" ca="1">INDIRECT("Investition_gewählt!"&amp;$AA$5&amp;AA93)</f>
        <v>7000</v>
      </c>
      <c r="Q93" s="16" cm="1">
        <f t="array" aca="1" ref="Q93" ca="1">IF($U$5=0,0,INDEX(Faktoren!E79:GQ79,1,VLOOKUP($X$5,$L$2:$O$14,4,FALSE)+$U$9*5+VLOOKUP(O93,Auswahllisten!$E$25:$F$29,2,FALSE)))</f>
        <v>0</v>
      </c>
      <c r="R93" s="26">
        <f ca="1">P93*Q93</f>
        <v>0</v>
      </c>
      <c r="S93" s="26" cm="1">
        <f t="array" aca="1" ref="S93" ca="1">INDIRECT("Investition_gewählt!"&amp;$AA$6&amp;AA93)</f>
        <v>7000</v>
      </c>
      <c r="T93" s="16" cm="1">
        <f t="array" aca="1" ref="T93" ca="1">IF($U$5=0,0,INDEX(Faktoren!E79:QG79,1,VLOOKUP($X$6,$L$3:$O$14,4,FALSE)+$U$9*5+VLOOKUP(O93,Auswahllisten!$E$25:$F$29,2,FALSE)))</f>
        <v>0</v>
      </c>
      <c r="U93" s="26">
        <f ca="1">S93*T93</f>
        <v>0</v>
      </c>
      <c r="V93" s="26">
        <f t="shared" ca="1" si="91"/>
        <v>0</v>
      </c>
      <c r="W93" s="25" t="b">
        <f ca="1">(OR($U$5=10,$U$5=11,$U$5=12,$U$5=13))</f>
        <v>0</v>
      </c>
      <c r="X93" s="26">
        <f ca="1">IFERROR(ROUND(V93*W93,AB93),0)</f>
        <v>0</v>
      </c>
      <c r="Z93" s="1">
        <v>43</v>
      </c>
      <c r="AA93" s="1">
        <v>79</v>
      </c>
      <c r="AB93" s="1">
        <v>-2</v>
      </c>
      <c r="AE93" s="64"/>
      <c r="AN93" s="1">
        <v>68</v>
      </c>
      <c r="AO93" s="1">
        <f t="shared" si="94"/>
        <v>0</v>
      </c>
      <c r="AP93" s="69">
        <f t="shared" ca="1" si="92"/>
        <v>0</v>
      </c>
      <c r="AQ93" s="69">
        <f t="shared" ca="1" si="92"/>
        <v>0</v>
      </c>
      <c r="AR93" s="69">
        <f t="shared" si="92"/>
        <v>0</v>
      </c>
      <c r="AS93" s="69">
        <f t="shared" ca="1" si="92"/>
        <v>0</v>
      </c>
      <c r="AT93" s="69">
        <f t="shared" ca="1" si="92"/>
        <v>0</v>
      </c>
      <c r="AU93" s="69">
        <f t="shared" ca="1" si="92"/>
        <v>0</v>
      </c>
      <c r="AV93" s="69">
        <f t="shared" si="92"/>
        <v>0</v>
      </c>
      <c r="AW93" s="69">
        <f t="shared" ca="1" si="99"/>
        <v>0</v>
      </c>
      <c r="AX93" s="69">
        <f t="shared" ca="1" si="100"/>
        <v>0</v>
      </c>
      <c r="AY93" s="69">
        <f t="shared" ca="1" si="101"/>
        <v>0</v>
      </c>
      <c r="AZ93" s="69">
        <f ca="1">$AO93*IF(Auswahllisten!$G$150,AZ$25+AZ$25*AZ$13*$AN93,AZ$25*(1+AZ$13)^$AN93)</f>
        <v>0</v>
      </c>
      <c r="BA93" s="69">
        <f ca="1">$AO93*IF(Auswahllisten!$G$150,BA$25+BA$25*BA$13*$AN93,BA$25*(1+BA$13)^$AN93)</f>
        <v>0</v>
      </c>
      <c r="BB93" s="69">
        <f ca="1">$AO93*IF(Auswahllisten!$G$150,BB$25+BB$25*BB$13*$AN93,BB$25*(1+BB$13)^$AN93)</f>
        <v>0</v>
      </c>
      <c r="BC93" s="69">
        <f ca="1">$AO93*IF(Auswahllisten!$G$150,BC$25+BC$25*BC$13*$AN93,BC$25*(1+BC$13)^$AN93)</f>
        <v>0</v>
      </c>
      <c r="BD93" s="69">
        <f t="shared" ca="1" si="102"/>
        <v>0</v>
      </c>
      <c r="BE93" s="69">
        <f t="shared" ca="1" si="103"/>
        <v>0</v>
      </c>
      <c r="BF93" s="69">
        <f t="shared" ca="1" si="104"/>
        <v>0</v>
      </c>
      <c r="BG93" s="69">
        <f t="shared" ca="1" si="105"/>
        <v>0</v>
      </c>
      <c r="BI93" s="69">
        <f t="shared" ca="1" si="106"/>
        <v>0</v>
      </c>
      <c r="BJ93" s="69">
        <f t="shared" ca="1" si="93"/>
        <v>0</v>
      </c>
      <c r="BK93" s="69">
        <f t="shared" si="93"/>
        <v>0</v>
      </c>
      <c r="BL93" s="69">
        <f t="shared" ca="1" si="93"/>
        <v>0</v>
      </c>
      <c r="BM93" s="69">
        <f t="shared" ca="1" si="93"/>
        <v>0</v>
      </c>
      <c r="BN93" s="69">
        <f t="shared" ca="1" si="93"/>
        <v>0</v>
      </c>
      <c r="BO93" s="69">
        <f t="shared" si="93"/>
        <v>0</v>
      </c>
      <c r="BP93" s="69">
        <f t="shared" ca="1" si="95"/>
        <v>0</v>
      </c>
      <c r="BQ93" s="69">
        <f t="shared" ca="1" si="107"/>
        <v>0</v>
      </c>
      <c r="BR93" s="69">
        <f t="shared" ca="1" si="96"/>
        <v>0</v>
      </c>
      <c r="BS93" s="69">
        <f ca="1">$AO93*IF(Auswahllisten!$G$150,BS$25+BS$25*BS$13*$AN93,BS$25*(1+BS$13)^$AN93)</f>
        <v>0</v>
      </c>
      <c r="BT93" s="69">
        <f ca="1">$AO93*IF(Auswahllisten!$G$150,BT$25+BT$25*BT$13*$AN93,BT$25*(1+BT$13)^$AN93)</f>
        <v>0</v>
      </c>
      <c r="BU93" s="69">
        <f ca="1">$AO93*IF(Auswahllisten!$G$150,BU$25+BU$25*BU$13*$AN93,BU$25*(1+BU$13)^$AN93)</f>
        <v>0</v>
      </c>
      <c r="BV93" s="69">
        <f ca="1">$AO93*IF(Auswahllisten!$G$150,BV$25+BV$25*BV$13*$AN93,BV$25*(1+BV$13)^$AN93)</f>
        <v>0</v>
      </c>
      <c r="BW93" s="69">
        <f t="shared" ca="1" si="108"/>
        <v>0</v>
      </c>
      <c r="BX93" s="69">
        <f t="shared" ca="1" si="109"/>
        <v>0</v>
      </c>
      <c r="BY93" s="69">
        <f t="shared" ca="1" si="97"/>
        <v>0</v>
      </c>
      <c r="BZ93" s="69">
        <f t="shared" ca="1" si="98"/>
        <v>0</v>
      </c>
    </row>
    <row r="94" spans="1:78">
      <c r="A94" s="307" t="s">
        <v>1215</v>
      </c>
      <c r="B94" s="297" t="s">
        <v>303</v>
      </c>
      <c r="C94" s="134" t="s">
        <v>966</v>
      </c>
      <c r="D94" s="163" t="str" cm="1">
        <f t="array" aca="1" ref="D94" ca="1">INDIRECT("Vergleich!"&amp;$G$2&amp;Z94)</f>
        <v>mittel</v>
      </c>
      <c r="E94" s="163" cm="1">
        <f t="array" aca="1" ref="E94" ca="1">INDIRECT("Investition_gewählt!"&amp;$I$5&amp;AA94)</f>
        <v>2500</v>
      </c>
      <c r="F94" s="61" cm="1">
        <f t="array" aca="1" ref="F94" ca="1">IF($C$5=0,0,INDEX(Faktoren!E80:GQ80,1,VLOOKUP($F$5,$L$2:$O$14,4,FALSE)+$C$9*5+VLOOKUP(D94,Auswahllisten!$E$25:$F$29,2,FALSE)))</f>
        <v>0</v>
      </c>
      <c r="G94" s="296">
        <f t="shared" ca="1" si="110"/>
        <v>0</v>
      </c>
      <c r="H94" s="296" cm="1">
        <f t="array" aca="1" ref="H94" ca="1">INDIRECT("Investition_gewählt!"&amp;$I$6&amp;AA94)</f>
        <v>2500</v>
      </c>
      <c r="I94" s="61" cm="1">
        <f t="array" aca="1" ref="I94" ca="1">IF($C$5=0,0,INDEX(Faktoren!E80:GQ80,1,VLOOKUP($F$6,$L$2:$O$14,4,FALSE)+$C$9*5+VLOOKUP(D94,Auswahllisten!$E$25:$F$29,2,FALSE)))</f>
        <v>0</v>
      </c>
      <c r="J94" s="163">
        <f t="shared" ca="1" si="111"/>
        <v>0</v>
      </c>
      <c r="K94" s="163">
        <f t="shared" ref="K94:K133" ca="1" si="112">IF($C$5=0,0,G94+(J94-G94)*($C$6-$F$5)/($F$6-$F$5))</f>
        <v>0</v>
      </c>
      <c r="L94" s="93" t="b">
        <f ca="1">(OR($C$5=10,$C$5=11,$C$5=12,$C$5=13))</f>
        <v>0</v>
      </c>
      <c r="M94" s="163">
        <f t="shared" ref="M94:M106" ca="1" si="113">IFERROR(ROUND(K94*L94,AB94),0)</f>
        <v>0</v>
      </c>
      <c r="O94" s="93" t="str" cm="1">
        <f t="array" aca="1" ref="O94" ca="1">INDIRECT("Vergleich!"&amp;$Y$2&amp;Z94)</f>
        <v>gering</v>
      </c>
      <c r="P94" s="163" cm="1">
        <f t="array" aca="1" ref="P94" ca="1">INDIRECT("Investition_gewählt!"&amp;$AA$5&amp;AA94)</f>
        <v>2500</v>
      </c>
      <c r="Q94" s="93" cm="1">
        <f t="array" aca="1" ref="Q94" ca="1">IF($U$5=0,0,INDEX(Faktoren!E80:GQ80,1,VLOOKUP($X$5,$L$2:$O$14,4,FALSE)+$U$9*5+VLOOKUP(O94,Auswahllisten!$E$25:$F$29,2,FALSE)))</f>
        <v>0</v>
      </c>
      <c r="R94" s="163">
        <f t="shared" ref="R94:R134" ca="1" si="114">P94*Q94</f>
        <v>0</v>
      </c>
      <c r="S94" s="163" cm="1">
        <f t="array" aca="1" ref="S94" ca="1">INDIRECT("Investition_gewählt!"&amp;$AA$6&amp;AA94)</f>
        <v>2500</v>
      </c>
      <c r="T94" s="93" cm="1">
        <f t="array" aca="1" ref="T94" ca="1">IF($U$5=0,0,INDEX(Faktoren!E80:QG80,1,VLOOKUP($X$6,$L$3:$O$14,4,FALSE)+$U$9*5+VLOOKUP(O94,Auswahllisten!$E$25:$F$29,2,FALSE)))</f>
        <v>0</v>
      </c>
      <c r="U94" s="163">
        <f t="shared" ref="U94:U134" ca="1" si="115">S94*T94</f>
        <v>0</v>
      </c>
      <c r="V94" s="163">
        <f t="shared" ca="1" si="91"/>
        <v>0</v>
      </c>
      <c r="W94" s="61" t="b">
        <f ca="1">(OR($U$5=10,$U$5=11,$U$5=12,$U$5=13))</f>
        <v>0</v>
      </c>
      <c r="X94" s="163">
        <f t="shared" ref="X94:X106" ca="1" si="116">IFERROR(ROUND(V94*W94,AB94),0)</f>
        <v>0</v>
      </c>
      <c r="Z94" s="1">
        <v>47</v>
      </c>
      <c r="AA94" s="1">
        <v>80</v>
      </c>
      <c r="AB94" s="1">
        <v>-2</v>
      </c>
      <c r="AE94" s="64"/>
      <c r="AN94" s="1">
        <v>69</v>
      </c>
      <c r="AO94" s="1">
        <f t="shared" si="94"/>
        <v>0</v>
      </c>
      <c r="AP94" s="69">
        <f t="shared" ca="1" si="92"/>
        <v>0</v>
      </c>
      <c r="AQ94" s="69">
        <f t="shared" ca="1" si="92"/>
        <v>0</v>
      </c>
      <c r="AR94" s="69">
        <f t="shared" si="92"/>
        <v>0</v>
      </c>
      <c r="AS94" s="69">
        <f t="shared" ca="1" si="92"/>
        <v>0</v>
      </c>
      <c r="AT94" s="69">
        <f t="shared" ca="1" si="92"/>
        <v>0</v>
      </c>
      <c r="AU94" s="69">
        <f t="shared" ca="1" si="92"/>
        <v>0</v>
      </c>
      <c r="AV94" s="69">
        <f t="shared" si="92"/>
        <v>0</v>
      </c>
      <c r="AW94" s="69">
        <f t="shared" ca="1" si="99"/>
        <v>0</v>
      </c>
      <c r="AX94" s="69">
        <f t="shared" ca="1" si="100"/>
        <v>0</v>
      </c>
      <c r="AY94" s="69">
        <f t="shared" ca="1" si="101"/>
        <v>0</v>
      </c>
      <c r="AZ94" s="69">
        <f ca="1">$AO94*IF(Auswahllisten!$G$150,AZ$25+AZ$25*AZ$13*$AN94,AZ$25*(1+AZ$13)^$AN94)</f>
        <v>0</v>
      </c>
      <c r="BA94" s="69">
        <f ca="1">$AO94*IF(Auswahllisten!$G$150,BA$25+BA$25*BA$13*$AN94,BA$25*(1+BA$13)^$AN94)</f>
        <v>0</v>
      </c>
      <c r="BB94" s="69">
        <f ca="1">$AO94*IF(Auswahllisten!$G$150,BB$25+BB$25*BB$13*$AN94,BB$25*(1+BB$13)^$AN94)</f>
        <v>0</v>
      </c>
      <c r="BC94" s="69">
        <f ca="1">$AO94*IF(Auswahllisten!$G$150,BC$25+BC$25*BC$13*$AN94,BC$25*(1+BC$13)^$AN94)</f>
        <v>0</v>
      </c>
      <c r="BD94" s="69">
        <f t="shared" ca="1" si="102"/>
        <v>0</v>
      </c>
      <c r="BE94" s="69">
        <f t="shared" ca="1" si="103"/>
        <v>0</v>
      </c>
      <c r="BF94" s="69">
        <f t="shared" ca="1" si="104"/>
        <v>0</v>
      </c>
      <c r="BG94" s="69">
        <f t="shared" ca="1" si="105"/>
        <v>0</v>
      </c>
      <c r="BI94" s="69">
        <f t="shared" ca="1" si="106"/>
        <v>0</v>
      </c>
      <c r="BJ94" s="69">
        <f t="shared" ca="1" si="93"/>
        <v>0</v>
      </c>
      <c r="BK94" s="69">
        <f t="shared" si="93"/>
        <v>0</v>
      </c>
      <c r="BL94" s="69">
        <f t="shared" ca="1" si="93"/>
        <v>0</v>
      </c>
      <c r="BM94" s="69">
        <f t="shared" ca="1" si="93"/>
        <v>0</v>
      </c>
      <c r="BN94" s="69">
        <f t="shared" ca="1" si="93"/>
        <v>0</v>
      </c>
      <c r="BO94" s="69">
        <f t="shared" si="93"/>
        <v>0</v>
      </c>
      <c r="BP94" s="69">
        <f t="shared" ca="1" si="95"/>
        <v>0</v>
      </c>
      <c r="BQ94" s="69">
        <f t="shared" ca="1" si="107"/>
        <v>0</v>
      </c>
      <c r="BR94" s="69">
        <f t="shared" ca="1" si="96"/>
        <v>0</v>
      </c>
      <c r="BS94" s="69">
        <f ca="1">$AO94*IF(Auswahllisten!$G$150,BS$25+BS$25*BS$13*$AN94,BS$25*(1+BS$13)^$AN94)</f>
        <v>0</v>
      </c>
      <c r="BT94" s="69">
        <f ca="1">$AO94*IF(Auswahllisten!$G$150,BT$25+BT$25*BT$13*$AN94,BT$25*(1+BT$13)^$AN94)</f>
        <v>0</v>
      </c>
      <c r="BU94" s="69">
        <f ca="1">$AO94*IF(Auswahllisten!$G$150,BU$25+BU$25*BU$13*$AN94,BU$25*(1+BU$13)^$AN94)</f>
        <v>0</v>
      </c>
      <c r="BV94" s="69">
        <f ca="1">$AO94*IF(Auswahllisten!$G$150,BV$25+BV$25*BV$13*$AN94,BV$25*(1+BV$13)^$AN94)</f>
        <v>0</v>
      </c>
      <c r="BW94" s="69">
        <f t="shared" ca="1" si="108"/>
        <v>0</v>
      </c>
      <c r="BX94" s="69">
        <f t="shared" ca="1" si="109"/>
        <v>0</v>
      </c>
      <c r="BY94" s="69">
        <f t="shared" ca="1" si="97"/>
        <v>0</v>
      </c>
      <c r="BZ94" s="69">
        <f t="shared" ca="1" si="98"/>
        <v>0</v>
      </c>
    </row>
    <row r="95" spans="1:78">
      <c r="D95" s="69"/>
      <c r="G95" s="69"/>
      <c r="H95" s="69"/>
      <c r="M95" s="69"/>
      <c r="X95" s="69"/>
      <c r="AA95" s="1">
        <v>81</v>
      </c>
      <c r="AB95" s="1">
        <v>-2</v>
      </c>
      <c r="AE95" s="64"/>
      <c r="AN95" s="1">
        <v>70</v>
      </c>
      <c r="AO95" s="1">
        <f t="shared" si="94"/>
        <v>0</v>
      </c>
      <c r="AP95" s="69">
        <f t="shared" ca="1" si="92"/>
        <v>0</v>
      </c>
      <c r="AQ95" s="69">
        <f t="shared" ca="1" si="92"/>
        <v>0</v>
      </c>
      <c r="AR95" s="69">
        <f t="shared" si="92"/>
        <v>0</v>
      </c>
      <c r="AS95" s="69">
        <f t="shared" ca="1" si="92"/>
        <v>0</v>
      </c>
      <c r="AT95" s="69">
        <f t="shared" ca="1" si="92"/>
        <v>0</v>
      </c>
      <c r="AU95" s="69">
        <f t="shared" ca="1" si="92"/>
        <v>0</v>
      </c>
      <c r="AV95" s="69">
        <f t="shared" si="92"/>
        <v>0</v>
      </c>
      <c r="AW95" s="69">
        <f t="shared" ca="1" si="99"/>
        <v>0</v>
      </c>
      <c r="AX95" s="69">
        <f t="shared" ca="1" si="100"/>
        <v>0</v>
      </c>
      <c r="AY95" s="69">
        <f t="shared" ca="1" si="101"/>
        <v>0</v>
      </c>
      <c r="AZ95" s="69">
        <f ca="1">$AO95*IF(Auswahllisten!$G$150,AZ$25+AZ$25*AZ$13*$AN95,AZ$25*(1+AZ$13)^$AN95)</f>
        <v>0</v>
      </c>
      <c r="BA95" s="69">
        <f ca="1">$AO95*IF(Auswahllisten!$G$150,BA$25+BA$25*BA$13*$AN95,BA$25*(1+BA$13)^$AN95)</f>
        <v>0</v>
      </c>
      <c r="BB95" s="69">
        <f ca="1">$AO95*IF(Auswahllisten!$G$150,BB$25+BB$25*BB$13*$AN95,BB$25*(1+BB$13)^$AN95)</f>
        <v>0</v>
      </c>
      <c r="BC95" s="69">
        <f ca="1">$AO95*IF(Auswahllisten!$G$150,BC$25+BC$25*BC$13*$AN95,BC$25*(1+BC$13)^$AN95)</f>
        <v>0</v>
      </c>
      <c r="BD95" s="69">
        <f t="shared" ca="1" si="102"/>
        <v>0</v>
      </c>
      <c r="BE95" s="69">
        <f t="shared" ca="1" si="103"/>
        <v>0</v>
      </c>
      <c r="BF95" s="69">
        <f t="shared" ca="1" si="104"/>
        <v>0</v>
      </c>
      <c r="BG95" s="69">
        <f t="shared" ca="1" si="105"/>
        <v>0</v>
      </c>
      <c r="BI95" s="69">
        <f t="shared" ca="1" si="106"/>
        <v>0</v>
      </c>
      <c r="BJ95" s="69">
        <f t="shared" ca="1" si="93"/>
        <v>0</v>
      </c>
      <c r="BK95" s="69">
        <f t="shared" si="93"/>
        <v>0</v>
      </c>
      <c r="BL95" s="69">
        <f t="shared" ca="1" si="93"/>
        <v>0</v>
      </c>
      <c r="BM95" s="69">
        <f t="shared" ca="1" si="93"/>
        <v>0</v>
      </c>
      <c r="BN95" s="69">
        <f t="shared" ca="1" si="93"/>
        <v>0</v>
      </c>
      <c r="BO95" s="69">
        <f t="shared" si="93"/>
        <v>0</v>
      </c>
      <c r="BP95" s="69">
        <f t="shared" ca="1" si="95"/>
        <v>0</v>
      </c>
      <c r="BQ95" s="69">
        <f t="shared" ca="1" si="107"/>
        <v>0</v>
      </c>
      <c r="BR95" s="69">
        <f t="shared" ca="1" si="96"/>
        <v>0</v>
      </c>
      <c r="BS95" s="69">
        <f ca="1">$AO95*IF(Auswahllisten!$G$150,BS$25+BS$25*BS$13*$AN95,BS$25*(1+BS$13)^$AN95)</f>
        <v>0</v>
      </c>
      <c r="BT95" s="69">
        <f ca="1">$AO95*IF(Auswahllisten!$G$150,BT$25+BT$25*BT$13*$AN95,BT$25*(1+BT$13)^$AN95)</f>
        <v>0</v>
      </c>
      <c r="BU95" s="69">
        <f ca="1">$AO95*IF(Auswahllisten!$G$150,BU$25+BU$25*BU$13*$AN95,BU$25*(1+BU$13)^$AN95)</f>
        <v>0</v>
      </c>
      <c r="BV95" s="69">
        <f ca="1">$AO95*IF(Auswahllisten!$G$150,BV$25+BV$25*BV$13*$AN95,BV$25*(1+BV$13)^$AN95)</f>
        <v>0</v>
      </c>
      <c r="BW95" s="69">
        <f t="shared" ca="1" si="108"/>
        <v>0</v>
      </c>
      <c r="BX95" s="69">
        <f t="shared" ca="1" si="109"/>
        <v>0</v>
      </c>
      <c r="BY95" s="69">
        <f t="shared" ca="1" si="97"/>
        <v>0</v>
      </c>
      <c r="BZ95" s="69">
        <f t="shared" ca="1" si="98"/>
        <v>0</v>
      </c>
    </row>
    <row r="96" spans="1:78">
      <c r="A96" s="125" t="s">
        <v>1003</v>
      </c>
      <c r="B96" s="125" t="s">
        <v>1188</v>
      </c>
      <c r="C96" s="64"/>
      <c r="D96" s="69"/>
      <c r="M96" s="69"/>
      <c r="X96" s="69"/>
      <c r="AA96" s="1">
        <v>82</v>
      </c>
      <c r="AB96" s="1">
        <v>-2</v>
      </c>
      <c r="AE96" s="64"/>
      <c r="AN96" s="1">
        <v>71</v>
      </c>
      <c r="AO96" s="1">
        <f t="shared" si="94"/>
        <v>0</v>
      </c>
      <c r="AP96" s="69">
        <f t="shared" ca="1" si="92"/>
        <v>0</v>
      </c>
      <c r="AQ96" s="69">
        <f t="shared" ca="1" si="92"/>
        <v>0</v>
      </c>
      <c r="AR96" s="69">
        <f t="shared" si="92"/>
        <v>0</v>
      </c>
      <c r="AS96" s="69">
        <f t="shared" ca="1" si="92"/>
        <v>0</v>
      </c>
      <c r="AT96" s="69">
        <f t="shared" ca="1" si="92"/>
        <v>0</v>
      </c>
      <c r="AU96" s="69">
        <f t="shared" ca="1" si="92"/>
        <v>0</v>
      </c>
      <c r="AV96" s="69">
        <f t="shared" si="92"/>
        <v>0</v>
      </c>
      <c r="AW96" s="69">
        <f t="shared" ca="1" si="99"/>
        <v>0</v>
      </c>
      <c r="AX96" s="69">
        <f t="shared" ca="1" si="100"/>
        <v>0</v>
      </c>
      <c r="AY96" s="69">
        <f t="shared" ca="1" si="101"/>
        <v>0</v>
      </c>
      <c r="AZ96" s="69">
        <f ca="1">$AO96*IF(Auswahllisten!$G$150,AZ$25+AZ$25*AZ$13*$AN96,AZ$25*(1+AZ$13)^$AN96)</f>
        <v>0</v>
      </c>
      <c r="BA96" s="69">
        <f ca="1">$AO96*IF(Auswahllisten!$G$150,BA$25+BA$25*BA$13*$AN96,BA$25*(1+BA$13)^$AN96)</f>
        <v>0</v>
      </c>
      <c r="BB96" s="69">
        <f ca="1">$AO96*IF(Auswahllisten!$G$150,BB$25+BB$25*BB$13*$AN96,BB$25*(1+BB$13)^$AN96)</f>
        <v>0</v>
      </c>
      <c r="BC96" s="69">
        <f ca="1">$AO96*IF(Auswahllisten!$G$150,BC$25+BC$25*BC$13*$AN96,BC$25*(1+BC$13)^$AN96)</f>
        <v>0</v>
      </c>
      <c r="BD96" s="69">
        <f t="shared" ca="1" si="102"/>
        <v>0</v>
      </c>
      <c r="BE96" s="69">
        <f t="shared" ca="1" si="103"/>
        <v>0</v>
      </c>
      <c r="BF96" s="69">
        <f t="shared" ca="1" si="104"/>
        <v>0</v>
      </c>
      <c r="BG96" s="69">
        <f t="shared" ca="1" si="105"/>
        <v>0</v>
      </c>
      <c r="BI96" s="69">
        <f t="shared" ca="1" si="106"/>
        <v>0</v>
      </c>
      <c r="BJ96" s="69">
        <f t="shared" ca="1" si="93"/>
        <v>0</v>
      </c>
      <c r="BK96" s="69">
        <f t="shared" si="93"/>
        <v>0</v>
      </c>
      <c r="BL96" s="69">
        <f t="shared" ca="1" si="93"/>
        <v>0</v>
      </c>
      <c r="BM96" s="69">
        <f t="shared" ca="1" si="93"/>
        <v>0</v>
      </c>
      <c r="BN96" s="69">
        <f t="shared" ca="1" si="93"/>
        <v>0</v>
      </c>
      <c r="BO96" s="69">
        <f t="shared" si="93"/>
        <v>0</v>
      </c>
      <c r="BP96" s="69">
        <f t="shared" ca="1" si="95"/>
        <v>0</v>
      </c>
      <c r="BQ96" s="69">
        <f t="shared" ca="1" si="107"/>
        <v>0</v>
      </c>
      <c r="BR96" s="69">
        <f t="shared" ca="1" si="96"/>
        <v>0</v>
      </c>
      <c r="BS96" s="69">
        <f ca="1">$AO96*IF(Auswahllisten!$G$150,BS$25+BS$25*BS$13*$AN96,BS$25*(1+BS$13)^$AN96)</f>
        <v>0</v>
      </c>
      <c r="BT96" s="69">
        <f ca="1">$AO96*IF(Auswahllisten!$G$150,BT$25+BT$25*BT$13*$AN96,BT$25*(1+BT$13)^$AN96)</f>
        <v>0</v>
      </c>
      <c r="BU96" s="69">
        <f ca="1">$AO96*IF(Auswahllisten!$G$150,BU$25+BU$25*BU$13*$AN96,BU$25*(1+BU$13)^$AN96)</f>
        <v>0</v>
      </c>
      <c r="BV96" s="69">
        <f ca="1">$AO96*IF(Auswahllisten!$G$150,BV$25+BV$25*BV$13*$AN96,BV$25*(1+BV$13)^$AN96)</f>
        <v>0</v>
      </c>
      <c r="BW96" s="69">
        <f t="shared" ca="1" si="108"/>
        <v>0</v>
      </c>
      <c r="BX96" s="69">
        <f t="shared" ca="1" si="109"/>
        <v>0</v>
      </c>
      <c r="BY96" s="69">
        <f t="shared" ca="1" si="97"/>
        <v>0</v>
      </c>
      <c r="BZ96" s="69">
        <f t="shared" ca="1" si="98"/>
        <v>0</v>
      </c>
    </row>
    <row r="97" spans="1:78">
      <c r="A97" s="304" t="s">
        <v>1217</v>
      </c>
      <c r="B97" s="131" t="s">
        <v>1242</v>
      </c>
      <c r="C97" s="131" t="s">
        <v>206</v>
      </c>
      <c r="D97" s="162" t="str" cm="1">
        <f t="array" aca="1" ref="D97" ca="1">INDIRECT("Vergleich!"&amp;$G$2&amp;Z97)</f>
        <v>mittel</v>
      </c>
      <c r="E97" s="162" cm="1">
        <f t="array" aca="1" ref="E97" ca="1">INDIRECT("Investition_gewählt!"&amp;$I$5&amp;AA97)</f>
        <v>0</v>
      </c>
      <c r="F97" s="25" cm="1">
        <f t="array" aca="1" ref="F97" ca="1">IF($C$5=0,0,INDEX(Faktoren!E83:GQ83,1,VLOOKUP($F$5,$L$2:$O$14,4,FALSE)+$C$9*5+VLOOKUP(D97,Auswahllisten!$E$25:$F$29,2,FALSE)))</f>
        <v>0</v>
      </c>
      <c r="G97" s="162">
        <f ca="1">E97*F97</f>
        <v>0</v>
      </c>
      <c r="H97" s="162" cm="1">
        <f t="array" aca="1" ref="H97" ca="1">INDIRECT("Investition_gewählt!"&amp;$I$6&amp;AA97)</f>
        <v>0</v>
      </c>
      <c r="I97" s="25" cm="1">
        <f t="array" aca="1" ref="I97" ca="1">IF($C$5=0,0,INDEX(Faktoren!E83:GQ83,1,VLOOKUP($F$6,$L$2:$O$14,4,FALSE)+$C$9*5+VLOOKUP(D97,Auswahllisten!$E$25:$F$29,2,FALSE)))</f>
        <v>0</v>
      </c>
      <c r="J97" s="162">
        <f ca="1">H97*I97</f>
        <v>0</v>
      </c>
      <c r="K97" s="162">
        <f t="shared" ca="1" si="112"/>
        <v>0</v>
      </c>
      <c r="L97" s="25" t="b">
        <f ca="1">(OR($C$5=8,$C$5=9))</f>
        <v>0</v>
      </c>
      <c r="M97" s="162">
        <f t="shared" ca="1" si="113"/>
        <v>0</v>
      </c>
      <c r="O97" s="25" t="str" cm="1">
        <f t="array" aca="1" ref="O97" ca="1">INDIRECT("Vergleich!"&amp;$Y$2&amp;Z97)</f>
        <v>gering</v>
      </c>
      <c r="P97" s="162" cm="1">
        <f t="array" aca="1" ref="P97" ca="1">INDIRECT("Investition_gewählt!"&amp;$AA$5&amp;AA97)</f>
        <v>0</v>
      </c>
      <c r="Q97" s="25" cm="1">
        <f t="array" aca="1" ref="Q97" ca="1">IF($U$5=0,0,INDEX(Faktoren!E83:GQ83,1,VLOOKUP($X$5,$L$2:$O$14,4,FALSE)+$U$9*5+VLOOKUP(O97,Auswahllisten!$E$25:$F$29,2,FALSE)))</f>
        <v>0</v>
      </c>
      <c r="R97" s="162">
        <f t="shared" ca="1" si="114"/>
        <v>0</v>
      </c>
      <c r="S97" s="162" cm="1">
        <f t="array" aca="1" ref="S97" ca="1">INDIRECT("Investition_gewählt!"&amp;$AA$6&amp;AA97)</f>
        <v>0</v>
      </c>
      <c r="T97" s="25" cm="1">
        <f t="array" aca="1" ref="T97" ca="1">IF($U$5=0,0,INDEX(Faktoren!E83:QG83,1,VLOOKUP($X$6,$L$3:$O$14,4,FALSE)+$U$9*5+VLOOKUP(O97,Auswahllisten!$E$25:$F$29,2,FALSE)))</f>
        <v>0</v>
      </c>
      <c r="U97" s="162">
        <f t="shared" ca="1" si="115"/>
        <v>0</v>
      </c>
      <c r="V97" s="162">
        <f t="shared" ca="1" si="91"/>
        <v>0</v>
      </c>
      <c r="W97" s="25" t="b">
        <f t="shared" ref="W97:W106" ca="1" si="117">(OR($U$5=8,$U$5=9))</f>
        <v>0</v>
      </c>
      <c r="X97" s="162">
        <f t="shared" ca="1" si="116"/>
        <v>0</v>
      </c>
      <c r="Z97" s="1">
        <v>38</v>
      </c>
      <c r="AA97" s="1">
        <v>83</v>
      </c>
      <c r="AB97" s="1">
        <v>-2</v>
      </c>
      <c r="AC97" s="82"/>
      <c r="AD97" s="64"/>
      <c r="AN97" s="1">
        <v>72</v>
      </c>
      <c r="AO97" s="1">
        <f t="shared" ref="AO97:AO125" si="118">IF($AS$3&lt;AN97,0,1)</f>
        <v>0</v>
      </c>
      <c r="AP97" s="69">
        <f t="shared" ca="1" si="92"/>
        <v>0</v>
      </c>
      <c r="AQ97" s="69">
        <f t="shared" ca="1" si="92"/>
        <v>0</v>
      </c>
      <c r="AR97" s="69">
        <f t="shared" si="92"/>
        <v>0</v>
      </c>
      <c r="AS97" s="69">
        <f t="shared" ca="1" si="92"/>
        <v>0</v>
      </c>
      <c r="AT97" s="69">
        <f t="shared" ca="1" si="92"/>
        <v>0</v>
      </c>
      <c r="AU97" s="69">
        <f t="shared" ca="1" si="92"/>
        <v>0</v>
      </c>
      <c r="AV97" s="69">
        <f t="shared" si="92"/>
        <v>0</v>
      </c>
      <c r="AW97" s="69">
        <f t="shared" ref="AW97:AW125" ca="1" si="119">SUM(AP97:AV97)/(1+$AS$11)^AN97</f>
        <v>0</v>
      </c>
      <c r="AX97" s="69">
        <f t="shared" ca="1" si="100"/>
        <v>0</v>
      </c>
      <c r="AY97" s="69">
        <f t="shared" ref="AY97:AY125" ca="1" si="120">SUM(AX97)/(1+$AS$11)^AN97</f>
        <v>0</v>
      </c>
      <c r="AZ97" s="69">
        <f ca="1">$AO97*IF(Auswahllisten!$G$150,AZ$25+AZ$25*AZ$13*$AN97,AZ$25*(1+AZ$13)^$AN97)</f>
        <v>0</v>
      </c>
      <c r="BA97" s="69">
        <f ca="1">$AO97*IF(Auswahllisten!$G$150,BA$25+BA$25*BA$13*$AN97,BA$25*(1+BA$13)^$AN97)</f>
        <v>0</v>
      </c>
      <c r="BB97" s="69">
        <f ca="1">$AO97*IF(Auswahllisten!$G$150,BB$25+BB$25*BB$13*$AN97,BB$25*(1+BB$13)^$AN97)</f>
        <v>0</v>
      </c>
      <c r="BC97" s="69">
        <f ca="1">$AO97*IF(Auswahllisten!$G$150,BC$25+BC$25*BC$13*$AN97,BC$25*(1+BC$13)^$AN97)</f>
        <v>0</v>
      </c>
      <c r="BD97" s="69">
        <f t="shared" ca="1" si="102"/>
        <v>0</v>
      </c>
      <c r="BE97" s="69">
        <f t="shared" ref="BE97:BE125" ca="1" si="121">AO97*$BE$25*(1+$AS$8)^AN97</f>
        <v>0</v>
      </c>
      <c r="BF97" s="69">
        <f t="shared" ref="BF97:BF125" ca="1" si="122">BE97/(1+$AS$11)^AN97</f>
        <v>0</v>
      </c>
      <c r="BG97" s="69">
        <f t="shared" ca="1" si="105"/>
        <v>0</v>
      </c>
      <c r="BI97" s="69">
        <f t="shared" ca="1" si="106"/>
        <v>0</v>
      </c>
      <c r="BJ97" s="69">
        <f t="shared" ca="1" si="93"/>
        <v>0</v>
      </c>
      <c r="BK97" s="69">
        <f t="shared" si="93"/>
        <v>0</v>
      </c>
      <c r="BL97" s="69">
        <f t="shared" ca="1" si="93"/>
        <v>0</v>
      </c>
      <c r="BM97" s="69">
        <f t="shared" ca="1" si="93"/>
        <v>0</v>
      </c>
      <c r="BN97" s="69">
        <f t="shared" ca="1" si="93"/>
        <v>0</v>
      </c>
      <c r="BO97" s="69">
        <f t="shared" si="93"/>
        <v>0</v>
      </c>
      <c r="BP97" s="69">
        <f t="shared" ca="1" si="95"/>
        <v>0</v>
      </c>
      <c r="BQ97" s="69">
        <f t="shared" ca="1" si="107"/>
        <v>0</v>
      </c>
      <c r="BR97" s="69">
        <f t="shared" ca="1" si="96"/>
        <v>0</v>
      </c>
      <c r="BS97" s="69">
        <f ca="1">$AO97*IF(Auswahllisten!$G$150,BS$25+BS$25*BS$13*$AN97,BS$25*(1+BS$13)^$AN97)</f>
        <v>0</v>
      </c>
      <c r="BT97" s="69">
        <f ca="1">$AO97*IF(Auswahllisten!$G$150,BT$25+BT$25*BT$13*$AN97,BT$25*(1+BT$13)^$AN97)</f>
        <v>0</v>
      </c>
      <c r="BU97" s="69">
        <f ca="1">$AO97*IF(Auswahllisten!$G$150,BU$25+BU$25*BU$13*$AN97,BU$25*(1+BU$13)^$AN97)</f>
        <v>0</v>
      </c>
      <c r="BV97" s="69">
        <f ca="1">$AO97*IF(Auswahllisten!$G$150,BV$25+BV$25*BV$13*$AN97,BV$25*(1+BV$13)^$AN97)</f>
        <v>0</v>
      </c>
      <c r="BW97" s="69">
        <f t="shared" ca="1" si="108"/>
        <v>0</v>
      </c>
      <c r="BX97" s="69">
        <f t="shared" ca="1" si="109"/>
        <v>0</v>
      </c>
      <c r="BY97" s="69">
        <f t="shared" ca="1" si="97"/>
        <v>0</v>
      </c>
      <c r="BZ97" s="69">
        <f t="shared" ca="1" si="98"/>
        <v>0</v>
      </c>
    </row>
    <row r="98" spans="1:78">
      <c r="A98" s="305" t="s">
        <v>1215</v>
      </c>
      <c r="B98" s="126" t="s">
        <v>303</v>
      </c>
      <c r="C98" s="126" t="s">
        <v>1336</v>
      </c>
      <c r="D98" s="26" t="str" cm="1">
        <f t="array" aca="1" ref="D98" ca="1">INDIRECT("Vergleich!"&amp;$G$2&amp;Z98)</f>
        <v>mittel</v>
      </c>
      <c r="E98" s="26" cm="1">
        <f t="array" aca="1" ref="E98" ca="1">INDIRECT("Investition_gewählt!"&amp;$I$5&amp;AA98)</f>
        <v>0</v>
      </c>
      <c r="F98" s="25" cm="1">
        <f t="array" aca="1" ref="F98" ca="1">IF($C$5=0,0,INDEX(Faktoren!E84:GQ84,1,VLOOKUP($F$5,$L$2:$O$14,4,FALSE)+$C$9*5+VLOOKUP(D98,Auswahllisten!$E$25:$F$29,2,FALSE)))</f>
        <v>0</v>
      </c>
      <c r="G98" s="162">
        <f t="shared" ref="G98:G105" ca="1" si="123">E98*F98</f>
        <v>0</v>
      </c>
      <c r="H98" s="26" cm="1">
        <f t="array" aca="1" ref="H98" ca="1">INDIRECT("Investition_gewählt!"&amp;$I$6&amp;AA98)</f>
        <v>0</v>
      </c>
      <c r="I98" s="25" cm="1">
        <f t="array" aca="1" ref="I98" ca="1">IF($C$5=0,0,INDEX(Faktoren!E84:GQ84,1,VLOOKUP($F$6,$L$2:$O$14,4,FALSE)+$C$9*5+VLOOKUP(D98,Auswahllisten!$E$25:$F$29,2,FALSE)))</f>
        <v>0</v>
      </c>
      <c r="J98" s="162">
        <f t="shared" ref="J98:J105" ca="1" si="124">H98*I98</f>
        <v>0</v>
      </c>
      <c r="K98" s="26">
        <f t="shared" ca="1" si="112"/>
        <v>0</v>
      </c>
      <c r="L98" s="25" t="b">
        <f t="shared" ref="L98:L106" ca="1" si="125">(OR($C$5=8,$C$5=9))</f>
        <v>0</v>
      </c>
      <c r="M98" s="26">
        <f t="shared" ca="1" si="113"/>
        <v>0</v>
      </c>
      <c r="O98" s="16" t="str" cm="1">
        <f t="array" aca="1" ref="O98" ca="1">INDIRECT("Vergleich!"&amp;$Y$2&amp;Z98)</f>
        <v>gering</v>
      </c>
      <c r="P98" s="26" cm="1">
        <f t="array" aca="1" ref="P98" ca="1">INDIRECT("Investition_gewählt!"&amp;$AA$5&amp;AA98)</f>
        <v>0</v>
      </c>
      <c r="Q98" s="16" cm="1">
        <f t="array" aca="1" ref="Q98" ca="1">IF($U$5=0,0,INDEX(Faktoren!E84:GQ84,1,VLOOKUP($X$5,$L$2:$O$14,4,FALSE)+$U$9*5+VLOOKUP(O98,Auswahllisten!$E$25:$F$29,2,FALSE)))</f>
        <v>0</v>
      </c>
      <c r="R98" s="26">
        <f t="shared" ca="1" si="114"/>
        <v>0</v>
      </c>
      <c r="S98" s="26" cm="1">
        <f t="array" aca="1" ref="S98" ca="1">INDIRECT("Investition_gewählt!"&amp;$AA$6&amp;AA98)</f>
        <v>0</v>
      </c>
      <c r="T98" s="16" cm="1">
        <f t="array" aca="1" ref="T98" ca="1">IF($U$5=0,0,INDEX(Faktoren!E84:QG84,1,VLOOKUP($X$6,$L$3:$O$14,4,FALSE)+$U$9*5+VLOOKUP(O98,Auswahllisten!$E$25:$F$29,2,FALSE)))</f>
        <v>0</v>
      </c>
      <c r="U98" s="26">
        <f t="shared" ca="1" si="115"/>
        <v>0</v>
      </c>
      <c r="V98" s="26">
        <f t="shared" ca="1" si="91"/>
        <v>0</v>
      </c>
      <c r="W98" s="16" t="b">
        <f t="shared" ca="1" si="117"/>
        <v>0</v>
      </c>
      <c r="X98" s="26">
        <f t="shared" ca="1" si="116"/>
        <v>0</v>
      </c>
      <c r="Z98" s="1">
        <v>40</v>
      </c>
      <c r="AA98" s="1">
        <v>84</v>
      </c>
      <c r="AB98" s="1">
        <v>-2</v>
      </c>
      <c r="AC98" s="82"/>
      <c r="AD98" s="64"/>
      <c r="AN98" s="1">
        <v>73</v>
      </c>
      <c r="AO98" s="1">
        <f t="shared" si="118"/>
        <v>0</v>
      </c>
      <c r="AP98" s="69">
        <f t="shared" ca="1" si="92"/>
        <v>0</v>
      </c>
      <c r="AQ98" s="69">
        <f t="shared" ca="1" si="92"/>
        <v>0</v>
      </c>
      <c r="AR98" s="69">
        <f t="shared" si="92"/>
        <v>0</v>
      </c>
      <c r="AS98" s="69">
        <f t="shared" ca="1" si="92"/>
        <v>0</v>
      </c>
      <c r="AT98" s="69">
        <f t="shared" ca="1" si="92"/>
        <v>0</v>
      </c>
      <c r="AU98" s="69">
        <f t="shared" ca="1" si="92"/>
        <v>0</v>
      </c>
      <c r="AV98" s="69">
        <f t="shared" si="92"/>
        <v>0</v>
      </c>
      <c r="AW98" s="69">
        <f t="shared" ca="1" si="119"/>
        <v>0</v>
      </c>
      <c r="AX98" s="69">
        <f t="shared" ca="1" si="100"/>
        <v>0</v>
      </c>
      <c r="AY98" s="69">
        <f t="shared" ca="1" si="120"/>
        <v>0</v>
      </c>
      <c r="AZ98" s="69">
        <f ca="1">$AO98*IF(Auswahllisten!$G$150,AZ$25+AZ$25*AZ$13*$AN98,AZ$25*(1+AZ$13)^$AN98)</f>
        <v>0</v>
      </c>
      <c r="BA98" s="69">
        <f ca="1">$AO98*IF(Auswahllisten!$G$150,BA$25+BA$25*BA$13*$AN98,BA$25*(1+BA$13)^$AN98)</f>
        <v>0</v>
      </c>
      <c r="BB98" s="69">
        <f ca="1">$AO98*IF(Auswahllisten!$G$150,BB$25+BB$25*BB$13*$AN98,BB$25*(1+BB$13)^$AN98)</f>
        <v>0</v>
      </c>
      <c r="BC98" s="69">
        <f ca="1">$AO98*IF(Auswahllisten!$G$150,BC$25+BC$25*BC$13*$AN98,BC$25*(1+BC$13)^$AN98)</f>
        <v>0</v>
      </c>
      <c r="BD98" s="69">
        <f t="shared" ca="1" si="102"/>
        <v>0</v>
      </c>
      <c r="BE98" s="69">
        <f t="shared" ca="1" si="121"/>
        <v>0</v>
      </c>
      <c r="BF98" s="69">
        <f t="shared" ca="1" si="122"/>
        <v>0</v>
      </c>
      <c r="BG98" s="69">
        <f t="shared" ca="1" si="105"/>
        <v>0</v>
      </c>
      <c r="BI98" s="69">
        <f t="shared" ca="1" si="106"/>
        <v>0</v>
      </c>
      <c r="BJ98" s="69">
        <f t="shared" ca="1" si="93"/>
        <v>0</v>
      </c>
      <c r="BK98" s="69">
        <f t="shared" si="93"/>
        <v>0</v>
      </c>
      <c r="BL98" s="69">
        <f t="shared" ca="1" si="93"/>
        <v>0</v>
      </c>
      <c r="BM98" s="69">
        <f t="shared" ca="1" si="93"/>
        <v>0</v>
      </c>
      <c r="BN98" s="69">
        <f t="shared" ca="1" si="93"/>
        <v>0</v>
      </c>
      <c r="BO98" s="69">
        <f t="shared" si="93"/>
        <v>0</v>
      </c>
      <c r="BP98" s="69">
        <f t="shared" ca="1" si="95"/>
        <v>0</v>
      </c>
      <c r="BQ98" s="69">
        <f t="shared" ca="1" si="107"/>
        <v>0</v>
      </c>
      <c r="BR98" s="69">
        <f t="shared" ca="1" si="96"/>
        <v>0</v>
      </c>
      <c r="BS98" s="69">
        <f ca="1">$AO98*IF(Auswahllisten!$G$150,BS$25+BS$25*BS$13*$AN98,BS$25*(1+BS$13)^$AN98)</f>
        <v>0</v>
      </c>
      <c r="BT98" s="69">
        <f ca="1">$AO98*IF(Auswahllisten!$G$150,BT$25+BT$25*BT$13*$AN98,BT$25*(1+BT$13)^$AN98)</f>
        <v>0</v>
      </c>
      <c r="BU98" s="69">
        <f ca="1">$AO98*IF(Auswahllisten!$G$150,BU$25+BU$25*BU$13*$AN98,BU$25*(1+BU$13)^$AN98)</f>
        <v>0</v>
      </c>
      <c r="BV98" s="69">
        <f ca="1">$AO98*IF(Auswahllisten!$G$150,BV$25+BV$25*BV$13*$AN98,BV$25*(1+BV$13)^$AN98)</f>
        <v>0</v>
      </c>
      <c r="BW98" s="69">
        <f t="shared" ca="1" si="108"/>
        <v>0</v>
      </c>
      <c r="BX98" s="69">
        <f t="shared" ca="1" si="109"/>
        <v>0</v>
      </c>
      <c r="BY98" s="69">
        <f t="shared" ca="1" si="97"/>
        <v>0</v>
      </c>
      <c r="BZ98" s="69">
        <f t="shared" ca="1" si="98"/>
        <v>0</v>
      </c>
    </row>
    <row r="99" spans="1:78">
      <c r="A99" s="305" t="s">
        <v>1215</v>
      </c>
      <c r="B99" s="126" t="s">
        <v>303</v>
      </c>
      <c r="C99" s="126" t="s">
        <v>965</v>
      </c>
      <c r="D99" s="26" t="str" cm="1">
        <f t="array" aca="1" ref="D99" ca="1">INDIRECT("Vergleich!"&amp;$G$2&amp;Z99)</f>
        <v>mittel</v>
      </c>
      <c r="E99" s="26" cm="1">
        <f t="array" aca="1" ref="E99" ca="1">INDIRECT("Investition_gewählt!"&amp;$I$5&amp;AA99)</f>
        <v>0</v>
      </c>
      <c r="F99" s="25" cm="1">
        <f t="array" aca="1" ref="F99" ca="1">IF($C$5=0,0,INDEX(Faktoren!E85:GQ85,1,VLOOKUP($F$5,$L$2:$O$14,4,FALSE)+$C$9*5+VLOOKUP(D99,Auswahllisten!$E$25:$F$29,2,FALSE)))</f>
        <v>0</v>
      </c>
      <c r="G99" s="162">
        <f t="shared" ca="1" si="123"/>
        <v>0</v>
      </c>
      <c r="H99" s="26" cm="1">
        <f t="array" aca="1" ref="H99" ca="1">INDIRECT("Investition_gewählt!"&amp;$I$6&amp;AA99)</f>
        <v>0</v>
      </c>
      <c r="I99" s="25" cm="1">
        <f t="array" aca="1" ref="I99" ca="1">IF($C$5=0,0,INDEX(Faktoren!E85:GQ85,1,VLOOKUP($F$6,$L$2:$O$14,4,FALSE)+$C$9*5+VLOOKUP(D99,Auswahllisten!$E$25:$F$29,2,FALSE)))</f>
        <v>0</v>
      </c>
      <c r="J99" s="162">
        <f t="shared" ca="1" si="124"/>
        <v>0</v>
      </c>
      <c r="K99" s="26">
        <f t="shared" ca="1" si="112"/>
        <v>0</v>
      </c>
      <c r="L99" s="25" t="b">
        <f t="shared" ca="1" si="125"/>
        <v>0</v>
      </c>
      <c r="M99" s="26">
        <f t="shared" ca="1" si="113"/>
        <v>0</v>
      </c>
      <c r="O99" s="16" t="str" cm="1">
        <f t="array" aca="1" ref="O99" ca="1">INDIRECT("Vergleich!"&amp;$Y$2&amp;Z99)</f>
        <v>gering</v>
      </c>
      <c r="P99" s="26" cm="1">
        <f t="array" aca="1" ref="P99" ca="1">INDIRECT("Investition_gewählt!"&amp;$AA$5&amp;AA99)</f>
        <v>0</v>
      </c>
      <c r="Q99" s="16" cm="1">
        <f t="array" aca="1" ref="Q99" ca="1">IF($U$5=0,0,INDEX(Faktoren!E85:GQ85,1,VLOOKUP($X$5,$L$2:$O$14,4,FALSE)+$U$9*5+VLOOKUP(O99,Auswahllisten!$E$25:$F$29,2,FALSE)))</f>
        <v>0</v>
      </c>
      <c r="R99" s="26">
        <f t="shared" ca="1" si="114"/>
        <v>0</v>
      </c>
      <c r="S99" s="26" cm="1">
        <f t="array" aca="1" ref="S99" ca="1">INDIRECT("Investition_gewählt!"&amp;$AA$6&amp;AA99)</f>
        <v>0</v>
      </c>
      <c r="T99" s="16" cm="1">
        <f t="array" aca="1" ref="T99" ca="1">IF($U$5=0,0,INDEX(Faktoren!E85:QG85,1,VLOOKUP($X$6,$L$3:$O$14,4,FALSE)+$U$9*5+VLOOKUP(O99,Auswahllisten!$E$25:$F$29,2,FALSE)))</f>
        <v>0</v>
      </c>
      <c r="U99" s="26">
        <f t="shared" ca="1" si="115"/>
        <v>0</v>
      </c>
      <c r="V99" s="26">
        <f t="shared" ca="1" si="91"/>
        <v>0</v>
      </c>
      <c r="W99" s="16" t="b">
        <f t="shared" ca="1" si="117"/>
        <v>0</v>
      </c>
      <c r="X99" s="26">
        <f t="shared" ca="1" si="116"/>
        <v>0</v>
      </c>
      <c r="Z99" s="1">
        <v>42</v>
      </c>
      <c r="AA99" s="1">
        <v>85</v>
      </c>
      <c r="AB99" s="1">
        <v>-2</v>
      </c>
      <c r="AC99" s="82"/>
      <c r="AD99" s="64"/>
      <c r="AN99" s="1">
        <v>74</v>
      </c>
      <c r="AO99" s="1">
        <f t="shared" si="118"/>
        <v>0</v>
      </c>
      <c r="AP99" s="69">
        <f t="shared" ca="1" si="92"/>
        <v>0</v>
      </c>
      <c r="AQ99" s="69">
        <f t="shared" ca="1" si="92"/>
        <v>0</v>
      </c>
      <c r="AR99" s="69">
        <f t="shared" si="92"/>
        <v>0</v>
      </c>
      <c r="AS99" s="69">
        <f t="shared" ca="1" si="92"/>
        <v>0</v>
      </c>
      <c r="AT99" s="69">
        <f t="shared" ca="1" si="92"/>
        <v>0</v>
      </c>
      <c r="AU99" s="69">
        <f t="shared" ca="1" si="92"/>
        <v>0</v>
      </c>
      <c r="AV99" s="69">
        <f t="shared" si="92"/>
        <v>0</v>
      </c>
      <c r="AW99" s="69">
        <f t="shared" ca="1" si="119"/>
        <v>0</v>
      </c>
      <c r="AX99" s="69">
        <f t="shared" ca="1" si="100"/>
        <v>0</v>
      </c>
      <c r="AY99" s="69">
        <f t="shared" ca="1" si="120"/>
        <v>0</v>
      </c>
      <c r="AZ99" s="69">
        <f ca="1">$AO99*IF(Auswahllisten!$G$150,AZ$25+AZ$25*AZ$13*$AN99,AZ$25*(1+AZ$13)^$AN99)</f>
        <v>0</v>
      </c>
      <c r="BA99" s="69">
        <f ca="1">$AO99*IF(Auswahllisten!$G$150,BA$25+BA$25*BA$13*$AN99,BA$25*(1+BA$13)^$AN99)</f>
        <v>0</v>
      </c>
      <c r="BB99" s="69">
        <f ca="1">$AO99*IF(Auswahllisten!$G$150,BB$25+BB$25*BB$13*$AN99,BB$25*(1+BB$13)^$AN99)</f>
        <v>0</v>
      </c>
      <c r="BC99" s="69">
        <f ca="1">$AO99*IF(Auswahllisten!$G$150,BC$25+BC$25*BC$13*$AN99,BC$25*(1+BC$13)^$AN99)</f>
        <v>0</v>
      </c>
      <c r="BD99" s="69">
        <f t="shared" ca="1" si="102"/>
        <v>0</v>
      </c>
      <c r="BE99" s="69">
        <f t="shared" ca="1" si="121"/>
        <v>0</v>
      </c>
      <c r="BF99" s="69">
        <f t="shared" ca="1" si="122"/>
        <v>0</v>
      </c>
      <c r="BG99" s="69">
        <f t="shared" ca="1" si="105"/>
        <v>0</v>
      </c>
      <c r="BI99" s="69">
        <f t="shared" ca="1" si="106"/>
        <v>0</v>
      </c>
      <c r="BJ99" s="69">
        <f t="shared" ca="1" si="93"/>
        <v>0</v>
      </c>
      <c r="BK99" s="69">
        <f t="shared" si="93"/>
        <v>0</v>
      </c>
      <c r="BL99" s="69">
        <f t="shared" ca="1" si="93"/>
        <v>0</v>
      </c>
      <c r="BM99" s="69">
        <f t="shared" ca="1" si="93"/>
        <v>0</v>
      </c>
      <c r="BN99" s="69">
        <f t="shared" ca="1" si="93"/>
        <v>0</v>
      </c>
      <c r="BO99" s="69">
        <f t="shared" si="93"/>
        <v>0</v>
      </c>
      <c r="BP99" s="69">
        <f t="shared" ca="1" si="95"/>
        <v>0</v>
      </c>
      <c r="BQ99" s="69">
        <f t="shared" ca="1" si="107"/>
        <v>0</v>
      </c>
      <c r="BR99" s="69">
        <f t="shared" ca="1" si="96"/>
        <v>0</v>
      </c>
      <c r="BS99" s="69">
        <f ca="1">$AO99*IF(Auswahllisten!$G$150,BS$25+BS$25*BS$13*$AN99,BS$25*(1+BS$13)^$AN99)</f>
        <v>0</v>
      </c>
      <c r="BT99" s="69">
        <f ca="1">$AO99*IF(Auswahllisten!$G$150,BT$25+BT$25*BT$13*$AN99,BT$25*(1+BT$13)^$AN99)</f>
        <v>0</v>
      </c>
      <c r="BU99" s="69">
        <f ca="1">$AO99*IF(Auswahllisten!$G$150,BU$25+BU$25*BU$13*$AN99,BU$25*(1+BU$13)^$AN99)</f>
        <v>0</v>
      </c>
      <c r="BV99" s="69">
        <f ca="1">$AO99*IF(Auswahllisten!$G$150,BV$25+BV$25*BV$13*$AN99,BV$25*(1+BV$13)^$AN99)</f>
        <v>0</v>
      </c>
      <c r="BW99" s="69">
        <f t="shared" ca="1" si="108"/>
        <v>0</v>
      </c>
      <c r="BX99" s="69">
        <f t="shared" ca="1" si="109"/>
        <v>0</v>
      </c>
      <c r="BY99" s="69">
        <f t="shared" ca="1" si="97"/>
        <v>0</v>
      </c>
      <c r="BZ99" s="69">
        <f t="shared" ca="1" si="98"/>
        <v>0</v>
      </c>
    </row>
    <row r="100" spans="1:78">
      <c r="A100" s="305" t="s">
        <v>1218</v>
      </c>
      <c r="B100" s="126" t="s">
        <v>1243</v>
      </c>
      <c r="C100" s="185" t="s">
        <v>231</v>
      </c>
      <c r="D100" s="26" t="str" cm="1">
        <f t="array" aca="1" ref="D100" ca="1">INDIRECT("Vergleich!"&amp;$G$2&amp;Z100)</f>
        <v>mittel</v>
      </c>
      <c r="E100" s="26" cm="1">
        <f t="array" aca="1" ref="E100" ca="1">INDIRECT("Investition_gewählt!"&amp;$I$5&amp;AA100)</f>
        <v>0</v>
      </c>
      <c r="F100" s="25" cm="1">
        <f t="array" aca="1" ref="F100" ca="1">IF($C$5=0,0,INDEX(Faktoren!E86:GQ86,1,VLOOKUP($F$5,$L$2:$O$14,4,FALSE)+$C$9*5+VLOOKUP(D100,Auswahllisten!$E$25:$F$29,2,FALSE)))</f>
        <v>0</v>
      </c>
      <c r="G100" s="162">
        <f t="shared" ref="G100" ca="1" si="126">E100*F100</f>
        <v>0</v>
      </c>
      <c r="H100" s="26" cm="1">
        <f t="array" aca="1" ref="H100" ca="1">INDIRECT("Investition_gewählt!"&amp;$I$6&amp;AA100)</f>
        <v>0</v>
      </c>
      <c r="I100" s="25" cm="1">
        <f t="array" aca="1" ref="I100" ca="1">IF($C$5=0,0,INDEX(Faktoren!E86:GQ86,1,VLOOKUP($F$6,$L$2:$O$14,4,FALSE)+$C$9*5+VLOOKUP(D100,Auswahllisten!$E$25:$F$29,2,FALSE)))</f>
        <v>0</v>
      </c>
      <c r="J100" s="162">
        <f t="shared" ref="J100" ca="1" si="127">H100*I100</f>
        <v>0</v>
      </c>
      <c r="K100" s="26">
        <f t="shared" ca="1" si="112"/>
        <v>0</v>
      </c>
      <c r="L100" s="25" t="b">
        <f t="shared" ca="1" si="125"/>
        <v>0</v>
      </c>
      <c r="M100" s="26">
        <f t="shared" ca="1" si="113"/>
        <v>0</v>
      </c>
      <c r="O100" s="16" t="str" cm="1">
        <f t="array" aca="1" ref="O100" ca="1">INDIRECT("Vergleich!"&amp;$Y$2&amp;Z100)</f>
        <v>gering</v>
      </c>
      <c r="P100" s="26" cm="1">
        <f t="array" aca="1" ref="P100" ca="1">INDIRECT("Investition_gewählt!"&amp;$AA$5&amp;AA100)</f>
        <v>0</v>
      </c>
      <c r="Q100" s="16" cm="1">
        <f t="array" aca="1" ref="Q100" ca="1">IF($U$5=0,0,INDEX(Faktoren!E86:GQ86,1,VLOOKUP($X$5,$L$2:$O$14,4,FALSE)+$U$9*5+VLOOKUP(O100,Auswahllisten!$E$25:$F$29,2,FALSE)))</f>
        <v>0</v>
      </c>
      <c r="R100" s="26">
        <f t="shared" ca="1" si="114"/>
        <v>0</v>
      </c>
      <c r="S100" s="26" cm="1">
        <f t="array" aca="1" ref="S100" ca="1">INDIRECT("Investition_gewählt!"&amp;$AA$6&amp;AA100)</f>
        <v>0</v>
      </c>
      <c r="T100" s="16" cm="1">
        <f t="array" aca="1" ref="T100" ca="1">IF($U$5=0,0,INDEX(Faktoren!E86:QG86,1,VLOOKUP($X$6,$L$3:$O$14,4,FALSE)+$U$9*5+VLOOKUP(O100,Auswahllisten!$E$25:$F$29,2,FALSE)))</f>
        <v>0</v>
      </c>
      <c r="U100" s="26">
        <f t="shared" ca="1" si="115"/>
        <v>0</v>
      </c>
      <c r="V100" s="26">
        <f t="shared" ca="1" si="91"/>
        <v>0</v>
      </c>
      <c r="W100" s="16" t="b">
        <f t="shared" ca="1" si="117"/>
        <v>0</v>
      </c>
      <c r="X100" s="26">
        <f t="shared" ca="1" si="116"/>
        <v>0</v>
      </c>
      <c r="Z100" s="1">
        <v>41</v>
      </c>
      <c r="AA100" s="1">
        <v>86</v>
      </c>
      <c r="AB100" s="1">
        <v>-2</v>
      </c>
      <c r="AC100" s="82"/>
      <c r="AD100" s="64"/>
      <c r="AN100" s="1">
        <v>75</v>
      </c>
      <c r="AO100" s="1">
        <f t="shared" si="118"/>
        <v>0</v>
      </c>
      <c r="AP100" s="69">
        <f t="shared" ca="1" si="92"/>
        <v>0</v>
      </c>
      <c r="AQ100" s="69">
        <f t="shared" ca="1" si="92"/>
        <v>0</v>
      </c>
      <c r="AR100" s="69">
        <f t="shared" si="92"/>
        <v>0</v>
      </c>
      <c r="AS100" s="69">
        <f t="shared" ca="1" si="92"/>
        <v>0</v>
      </c>
      <c r="AT100" s="69">
        <f t="shared" ca="1" si="92"/>
        <v>0</v>
      </c>
      <c r="AU100" s="69">
        <f t="shared" ca="1" si="92"/>
        <v>0</v>
      </c>
      <c r="AV100" s="69">
        <f t="shared" si="92"/>
        <v>0</v>
      </c>
      <c r="AW100" s="69">
        <f t="shared" ca="1" si="119"/>
        <v>0</v>
      </c>
      <c r="AX100" s="69">
        <f t="shared" ca="1" si="100"/>
        <v>0</v>
      </c>
      <c r="AY100" s="69">
        <f t="shared" ca="1" si="120"/>
        <v>0</v>
      </c>
      <c r="AZ100" s="69">
        <f ca="1">$AO100*IF(Auswahllisten!$G$150,AZ$25+AZ$25*AZ$13*$AN100,AZ$25*(1+AZ$13)^$AN100)</f>
        <v>0</v>
      </c>
      <c r="BA100" s="69">
        <f ca="1">$AO100*IF(Auswahllisten!$G$150,BA$25+BA$25*BA$13*$AN100,BA$25*(1+BA$13)^$AN100)</f>
        <v>0</v>
      </c>
      <c r="BB100" s="69">
        <f ca="1">$AO100*IF(Auswahllisten!$G$150,BB$25+BB$25*BB$13*$AN100,BB$25*(1+BB$13)^$AN100)</f>
        <v>0</v>
      </c>
      <c r="BC100" s="69">
        <f ca="1">$AO100*IF(Auswahllisten!$G$150,BC$25+BC$25*BC$13*$AN100,BC$25*(1+BC$13)^$AN100)</f>
        <v>0</v>
      </c>
      <c r="BD100" s="69">
        <f t="shared" ca="1" si="102"/>
        <v>0</v>
      </c>
      <c r="BE100" s="69">
        <f t="shared" ca="1" si="121"/>
        <v>0</v>
      </c>
      <c r="BF100" s="69">
        <f t="shared" ca="1" si="122"/>
        <v>0</v>
      </c>
      <c r="BG100" s="69">
        <f t="shared" ca="1" si="105"/>
        <v>0</v>
      </c>
      <c r="BI100" s="69">
        <f t="shared" ca="1" si="106"/>
        <v>0</v>
      </c>
      <c r="BJ100" s="69">
        <f t="shared" ca="1" si="93"/>
        <v>0</v>
      </c>
      <c r="BK100" s="69">
        <f t="shared" si="93"/>
        <v>0</v>
      </c>
      <c r="BL100" s="69">
        <f t="shared" ca="1" si="93"/>
        <v>0</v>
      </c>
      <c r="BM100" s="69">
        <f t="shared" ca="1" si="93"/>
        <v>0</v>
      </c>
      <c r="BN100" s="69">
        <f t="shared" ca="1" si="93"/>
        <v>0</v>
      </c>
      <c r="BO100" s="69">
        <f t="shared" si="93"/>
        <v>0</v>
      </c>
      <c r="BP100" s="69">
        <f t="shared" ca="1" si="95"/>
        <v>0</v>
      </c>
      <c r="BQ100" s="69">
        <f t="shared" ca="1" si="107"/>
        <v>0</v>
      </c>
      <c r="BR100" s="69">
        <f t="shared" ca="1" si="96"/>
        <v>0</v>
      </c>
      <c r="BS100" s="69">
        <f ca="1">$AO100*IF(Auswahllisten!$G$150,BS$25+BS$25*BS$13*$AN100,BS$25*(1+BS$13)^$AN100)</f>
        <v>0</v>
      </c>
      <c r="BT100" s="69">
        <f ca="1">$AO100*IF(Auswahllisten!$G$150,BT$25+BT$25*BT$13*$AN100,BT$25*(1+BT$13)^$AN100)</f>
        <v>0</v>
      </c>
      <c r="BU100" s="69">
        <f ca="1">$AO100*IF(Auswahllisten!$G$150,BU$25+BU$25*BU$13*$AN100,BU$25*(1+BU$13)^$AN100)</f>
        <v>0</v>
      </c>
      <c r="BV100" s="69">
        <f ca="1">$AO100*IF(Auswahllisten!$G$150,BV$25+BV$25*BV$13*$AN100,BV$25*(1+BV$13)^$AN100)</f>
        <v>0</v>
      </c>
      <c r="BW100" s="69">
        <f t="shared" ca="1" si="108"/>
        <v>0</v>
      </c>
      <c r="BX100" s="69">
        <f t="shared" ca="1" si="109"/>
        <v>0</v>
      </c>
      <c r="BY100" s="69">
        <f t="shared" ca="1" si="97"/>
        <v>0</v>
      </c>
      <c r="BZ100" s="69">
        <f t="shared" ca="1" si="98"/>
        <v>0</v>
      </c>
    </row>
    <row r="101" spans="1:78">
      <c r="A101" s="305" t="s">
        <v>1215</v>
      </c>
      <c r="B101" s="126" t="s">
        <v>303</v>
      </c>
      <c r="C101" s="126" t="s">
        <v>966</v>
      </c>
      <c r="D101" s="26" t="str" cm="1">
        <f t="array" aca="1" ref="D101" ca="1">INDIRECT("Vergleich!"&amp;$G$2&amp;Z101)</f>
        <v>mittel</v>
      </c>
      <c r="E101" s="26" cm="1">
        <f t="array" aca="1" ref="E101" ca="1">INDIRECT("Investition_gewählt!"&amp;$I$5&amp;AA101)</f>
        <v>0</v>
      </c>
      <c r="F101" s="25" cm="1">
        <f t="array" aca="1" ref="F101" ca="1">IF($C$5=0,0,INDEX(Faktoren!E87:GQ87,1,VLOOKUP($F$5,$L$2:$O$14,4,FALSE)+$C$9*5+VLOOKUP(D101,Auswahllisten!$E$25:$F$29,2,FALSE)))</f>
        <v>0</v>
      </c>
      <c r="G101" s="162">
        <f t="shared" ca="1" si="123"/>
        <v>0</v>
      </c>
      <c r="H101" s="26" cm="1">
        <f t="array" aca="1" ref="H101" ca="1">INDIRECT("Investition_gewählt!"&amp;$I$6&amp;AA101)</f>
        <v>0</v>
      </c>
      <c r="I101" s="25" cm="1">
        <f t="array" aca="1" ref="I101" ca="1">IF($C$5=0,0,INDEX(Faktoren!E87:GQ87,1,VLOOKUP($F$6,$L$2:$O$14,4,FALSE)+$C$9*5+VLOOKUP(D101,Auswahllisten!$E$25:$F$29,2,FALSE)))</f>
        <v>0</v>
      </c>
      <c r="J101" s="162">
        <f t="shared" ca="1" si="124"/>
        <v>0</v>
      </c>
      <c r="K101" s="26">
        <f t="shared" ca="1" si="112"/>
        <v>0</v>
      </c>
      <c r="L101" s="25" t="b">
        <f t="shared" ca="1" si="125"/>
        <v>0</v>
      </c>
      <c r="M101" s="26">
        <f t="shared" ca="1" si="113"/>
        <v>0</v>
      </c>
      <c r="O101" s="16" t="str" cm="1">
        <f t="array" aca="1" ref="O101" ca="1">INDIRECT("Vergleich!"&amp;$Y$2&amp;Z101)</f>
        <v>gering</v>
      </c>
      <c r="P101" s="26" cm="1">
        <f t="array" aca="1" ref="P101" ca="1">INDIRECT("Investition_gewählt!"&amp;$AA$5&amp;AA101)</f>
        <v>0</v>
      </c>
      <c r="Q101" s="16" cm="1">
        <f t="array" aca="1" ref="Q101" ca="1">IF($U$5=0,0,INDEX(Faktoren!E87:GQ87,1,VLOOKUP($X$5,$L$2:$O$14,4,FALSE)+$U$9*5+VLOOKUP(O101,Auswahllisten!$E$25:$F$29,2,FALSE)))</f>
        <v>0</v>
      </c>
      <c r="R101" s="26">
        <f t="shared" ca="1" si="114"/>
        <v>0</v>
      </c>
      <c r="S101" s="26" cm="1">
        <f t="array" aca="1" ref="S101" ca="1">INDIRECT("Investition_gewählt!"&amp;$AA$6&amp;AA101)</f>
        <v>0</v>
      </c>
      <c r="T101" s="16" cm="1">
        <f t="array" aca="1" ref="T101" ca="1">IF($U$5=0,0,INDEX(Faktoren!E87:QG87,1,VLOOKUP($X$6,$L$3:$O$14,4,FALSE)+$U$9*5+VLOOKUP(O101,Auswahllisten!$E$25:$F$29,2,FALSE)))</f>
        <v>0</v>
      </c>
      <c r="U101" s="26">
        <f t="shared" ca="1" si="115"/>
        <v>0</v>
      </c>
      <c r="V101" s="26">
        <f t="shared" ca="1" si="91"/>
        <v>0</v>
      </c>
      <c r="W101" s="16" t="b">
        <f t="shared" ca="1" si="117"/>
        <v>0</v>
      </c>
      <c r="X101" s="26">
        <f t="shared" ca="1" si="116"/>
        <v>0</v>
      </c>
      <c r="Z101" s="1">
        <v>47</v>
      </c>
      <c r="AA101" s="1">
        <v>87</v>
      </c>
      <c r="AB101" s="1">
        <v>-2</v>
      </c>
      <c r="AC101" s="82"/>
      <c r="AD101" s="64"/>
      <c r="AN101" s="1">
        <v>76</v>
      </c>
      <c r="AO101" s="1">
        <f t="shared" si="118"/>
        <v>0</v>
      </c>
      <c r="AP101" s="69">
        <f t="shared" ca="1" si="92"/>
        <v>0</v>
      </c>
      <c r="AQ101" s="69">
        <f t="shared" ca="1" si="92"/>
        <v>0</v>
      </c>
      <c r="AR101" s="69">
        <f t="shared" si="92"/>
        <v>0</v>
      </c>
      <c r="AS101" s="69">
        <f t="shared" ca="1" si="92"/>
        <v>0</v>
      </c>
      <c r="AT101" s="69">
        <f t="shared" ca="1" si="92"/>
        <v>0</v>
      </c>
      <c r="AU101" s="69">
        <f t="shared" ca="1" si="92"/>
        <v>0</v>
      </c>
      <c r="AV101" s="69">
        <f t="shared" si="92"/>
        <v>0</v>
      </c>
      <c r="AW101" s="69">
        <f t="shared" ca="1" si="119"/>
        <v>0</v>
      </c>
      <c r="AX101" s="69">
        <f t="shared" ca="1" si="100"/>
        <v>0</v>
      </c>
      <c r="AY101" s="69">
        <f t="shared" ca="1" si="120"/>
        <v>0</v>
      </c>
      <c r="AZ101" s="69">
        <f ca="1">$AO101*IF(Auswahllisten!$G$150,AZ$25+AZ$25*AZ$13*$AN101,AZ$25*(1+AZ$13)^$AN101)</f>
        <v>0</v>
      </c>
      <c r="BA101" s="69">
        <f ca="1">$AO101*IF(Auswahllisten!$G$150,BA$25+BA$25*BA$13*$AN101,BA$25*(1+BA$13)^$AN101)</f>
        <v>0</v>
      </c>
      <c r="BB101" s="69">
        <f ca="1">$AO101*IF(Auswahllisten!$G$150,BB$25+BB$25*BB$13*$AN101,BB$25*(1+BB$13)^$AN101)</f>
        <v>0</v>
      </c>
      <c r="BC101" s="69">
        <f ca="1">$AO101*IF(Auswahllisten!$G$150,BC$25+BC$25*BC$13*$AN101,BC$25*(1+BC$13)^$AN101)</f>
        <v>0</v>
      </c>
      <c r="BD101" s="69">
        <f t="shared" ca="1" si="102"/>
        <v>0</v>
      </c>
      <c r="BE101" s="69">
        <f t="shared" ca="1" si="121"/>
        <v>0</v>
      </c>
      <c r="BF101" s="69">
        <f t="shared" ca="1" si="122"/>
        <v>0</v>
      </c>
      <c r="BG101" s="69">
        <f t="shared" ca="1" si="105"/>
        <v>0</v>
      </c>
      <c r="BI101" s="69">
        <f t="shared" ca="1" si="106"/>
        <v>0</v>
      </c>
      <c r="BJ101" s="69">
        <f t="shared" ca="1" si="93"/>
        <v>0</v>
      </c>
      <c r="BK101" s="69">
        <f t="shared" si="93"/>
        <v>0</v>
      </c>
      <c r="BL101" s="69">
        <f t="shared" ca="1" si="93"/>
        <v>0</v>
      </c>
      <c r="BM101" s="69">
        <f t="shared" ca="1" si="93"/>
        <v>0</v>
      </c>
      <c r="BN101" s="69">
        <f t="shared" ca="1" si="93"/>
        <v>0</v>
      </c>
      <c r="BO101" s="69">
        <f t="shared" si="93"/>
        <v>0</v>
      </c>
      <c r="BP101" s="69">
        <f t="shared" ca="1" si="95"/>
        <v>0</v>
      </c>
      <c r="BQ101" s="69">
        <f t="shared" ca="1" si="107"/>
        <v>0</v>
      </c>
      <c r="BR101" s="69">
        <f t="shared" ca="1" si="96"/>
        <v>0</v>
      </c>
      <c r="BS101" s="69">
        <f ca="1">$AO101*IF(Auswahllisten!$G$150,BS$25+BS$25*BS$13*$AN101,BS$25*(1+BS$13)^$AN101)</f>
        <v>0</v>
      </c>
      <c r="BT101" s="69">
        <f ca="1">$AO101*IF(Auswahllisten!$G$150,BT$25+BT$25*BT$13*$AN101,BT$25*(1+BT$13)^$AN101)</f>
        <v>0</v>
      </c>
      <c r="BU101" s="69">
        <f ca="1">$AO101*IF(Auswahllisten!$G$150,BU$25+BU$25*BU$13*$AN101,BU$25*(1+BU$13)^$AN101)</f>
        <v>0</v>
      </c>
      <c r="BV101" s="69">
        <f ca="1">$AO101*IF(Auswahllisten!$G$150,BV$25+BV$25*BV$13*$AN101,BV$25*(1+BV$13)^$AN101)</f>
        <v>0</v>
      </c>
      <c r="BW101" s="69">
        <f t="shared" ca="1" si="108"/>
        <v>0</v>
      </c>
      <c r="BX101" s="69">
        <f t="shared" ca="1" si="109"/>
        <v>0</v>
      </c>
      <c r="BY101" s="69">
        <f t="shared" ca="1" si="97"/>
        <v>0</v>
      </c>
      <c r="BZ101" s="69">
        <f t="shared" ca="1" si="98"/>
        <v>0</v>
      </c>
    </row>
    <row r="102" spans="1:78">
      <c r="A102" s="305" t="s">
        <v>1244</v>
      </c>
      <c r="B102" s="126" t="s">
        <v>1245</v>
      </c>
      <c r="C102" s="134" t="s">
        <v>1341</v>
      </c>
      <c r="D102" s="26" t="str" cm="1">
        <f t="array" aca="1" ref="D102" ca="1">INDIRECT("Vergleich!"&amp;$G$2&amp;Z102)</f>
        <v>mittel</v>
      </c>
      <c r="E102" s="26" cm="1">
        <f t="array" aca="1" ref="E102" ca="1">INDIRECT("Investition_gewählt!"&amp;$I$5&amp;AA102)</f>
        <v>0</v>
      </c>
      <c r="F102" s="25" cm="1">
        <f t="array" aca="1" ref="F102" ca="1">IF($C$5=0,0,INDEX(Faktoren!E88:GQ88,1,VLOOKUP($F$5,$L$2:$O$14,4,FALSE)+$C$9*5+VLOOKUP(D102,Auswahllisten!$E$25:$F$29,2,FALSE)))</f>
        <v>0</v>
      </c>
      <c r="G102" s="162">
        <f t="shared" ca="1" si="123"/>
        <v>0</v>
      </c>
      <c r="H102" s="26" cm="1">
        <f t="array" aca="1" ref="H102" ca="1">INDIRECT("Investition_gewählt!"&amp;$I$6&amp;AA102)</f>
        <v>0</v>
      </c>
      <c r="I102" s="25" cm="1">
        <f t="array" aca="1" ref="I102" ca="1">IF($C$5=0,0,INDEX(Faktoren!E88:GQ88,1,VLOOKUP($F$6,$L$2:$O$14,4,FALSE)+$C$9*5+VLOOKUP(D102,Auswahllisten!$E$25:$F$29,2,FALSE)))</f>
        <v>0</v>
      </c>
      <c r="J102" s="162">
        <f t="shared" ca="1" si="124"/>
        <v>0</v>
      </c>
      <c r="K102" s="26">
        <f t="shared" ca="1" si="112"/>
        <v>0</v>
      </c>
      <c r="L102" s="25" t="b">
        <f t="shared" ca="1" si="125"/>
        <v>0</v>
      </c>
      <c r="M102" s="26">
        <f t="shared" ca="1" si="113"/>
        <v>0</v>
      </c>
      <c r="O102" s="16" t="str" cm="1">
        <f t="array" aca="1" ref="O102" ca="1">INDIRECT("Vergleich!"&amp;$Y$2&amp;Z102)</f>
        <v>gering</v>
      </c>
      <c r="P102" s="26" cm="1">
        <f t="array" aca="1" ref="P102" ca="1">INDIRECT("Investition_gewählt!"&amp;$AA$5&amp;AA102)</f>
        <v>0</v>
      </c>
      <c r="Q102" s="16" cm="1">
        <f t="array" aca="1" ref="Q102" ca="1">IF($U$5=0,0,INDEX(Faktoren!E88:GQ88,1,VLOOKUP($X$5,$L$2:$O$14,4,FALSE)+$U$9*5+VLOOKUP(O102,Auswahllisten!$E$25:$F$29,2,FALSE)))</f>
        <v>0</v>
      </c>
      <c r="R102" s="26">
        <f t="shared" ca="1" si="114"/>
        <v>0</v>
      </c>
      <c r="S102" s="26" cm="1">
        <f t="array" aca="1" ref="S102" ca="1">INDIRECT("Investition_gewählt!"&amp;$AA$6&amp;AA102)</f>
        <v>0</v>
      </c>
      <c r="T102" s="16" cm="1">
        <f t="array" aca="1" ref="T102" ca="1">IF($U$5=0,0,INDEX(Faktoren!E88:QG88,1,VLOOKUP($X$6,$L$3:$O$14,4,FALSE)+$U$9*5+VLOOKUP(O102,Auswahllisten!$E$25:$F$29,2,FALSE)))</f>
        <v>0</v>
      </c>
      <c r="U102" s="26">
        <f t="shared" ca="1" si="115"/>
        <v>0</v>
      </c>
      <c r="V102" s="26">
        <f t="shared" ca="1" si="91"/>
        <v>0</v>
      </c>
      <c r="W102" s="16" t="b">
        <f t="shared" ca="1" si="117"/>
        <v>0</v>
      </c>
      <c r="X102" s="26">
        <f t="shared" ca="1" si="116"/>
        <v>0</v>
      </c>
      <c r="Z102" s="1">
        <v>49</v>
      </c>
      <c r="AA102" s="1">
        <v>88</v>
      </c>
      <c r="AB102" s="1">
        <v>-2</v>
      </c>
      <c r="AC102" s="82"/>
      <c r="AD102" s="64"/>
      <c r="AN102" s="1">
        <v>77</v>
      </c>
      <c r="AO102" s="1">
        <f t="shared" si="118"/>
        <v>0</v>
      </c>
      <c r="AP102" s="69">
        <f t="shared" ca="1" si="92"/>
        <v>0</v>
      </c>
      <c r="AQ102" s="69">
        <f t="shared" ca="1" si="92"/>
        <v>0</v>
      </c>
      <c r="AR102" s="69">
        <f t="shared" si="92"/>
        <v>0</v>
      </c>
      <c r="AS102" s="69">
        <f t="shared" ca="1" si="92"/>
        <v>0</v>
      </c>
      <c r="AT102" s="69">
        <f t="shared" ca="1" si="92"/>
        <v>0</v>
      </c>
      <c r="AU102" s="69">
        <f t="shared" ca="1" si="92"/>
        <v>0</v>
      </c>
      <c r="AV102" s="69">
        <f t="shared" si="92"/>
        <v>0</v>
      </c>
      <c r="AW102" s="69">
        <f t="shared" ca="1" si="119"/>
        <v>0</v>
      </c>
      <c r="AX102" s="69">
        <f t="shared" ca="1" si="100"/>
        <v>0</v>
      </c>
      <c r="AY102" s="69">
        <f t="shared" ca="1" si="120"/>
        <v>0</v>
      </c>
      <c r="AZ102" s="69">
        <f ca="1">$AO102*IF(Auswahllisten!$G$150,AZ$25+AZ$25*AZ$13*$AN102,AZ$25*(1+AZ$13)^$AN102)</f>
        <v>0</v>
      </c>
      <c r="BA102" s="69">
        <f ca="1">$AO102*IF(Auswahllisten!$G$150,BA$25+BA$25*BA$13*$AN102,BA$25*(1+BA$13)^$AN102)</f>
        <v>0</v>
      </c>
      <c r="BB102" s="69">
        <f ca="1">$AO102*IF(Auswahllisten!$G$150,BB$25+BB$25*BB$13*$AN102,BB$25*(1+BB$13)^$AN102)</f>
        <v>0</v>
      </c>
      <c r="BC102" s="69">
        <f ca="1">$AO102*IF(Auswahllisten!$G$150,BC$25+BC$25*BC$13*$AN102,BC$25*(1+BC$13)^$AN102)</f>
        <v>0</v>
      </c>
      <c r="BD102" s="69">
        <f t="shared" ca="1" si="102"/>
        <v>0</v>
      </c>
      <c r="BE102" s="69">
        <f t="shared" ca="1" si="121"/>
        <v>0</v>
      </c>
      <c r="BF102" s="69">
        <f t="shared" ca="1" si="122"/>
        <v>0</v>
      </c>
      <c r="BG102" s="69">
        <f t="shared" ca="1" si="105"/>
        <v>0</v>
      </c>
      <c r="BI102" s="69">
        <f t="shared" ca="1" si="106"/>
        <v>0</v>
      </c>
      <c r="BJ102" s="69">
        <f t="shared" ca="1" si="93"/>
        <v>0</v>
      </c>
      <c r="BK102" s="69">
        <f t="shared" si="93"/>
        <v>0</v>
      </c>
      <c r="BL102" s="69">
        <f t="shared" ca="1" si="93"/>
        <v>0</v>
      </c>
      <c r="BM102" s="69">
        <f t="shared" ca="1" si="93"/>
        <v>0</v>
      </c>
      <c r="BN102" s="69">
        <f t="shared" ca="1" si="93"/>
        <v>0</v>
      </c>
      <c r="BO102" s="69">
        <f t="shared" si="93"/>
        <v>0</v>
      </c>
      <c r="BP102" s="69">
        <f t="shared" ca="1" si="95"/>
        <v>0</v>
      </c>
      <c r="BQ102" s="69">
        <f t="shared" ca="1" si="107"/>
        <v>0</v>
      </c>
      <c r="BR102" s="69">
        <f t="shared" ca="1" si="96"/>
        <v>0</v>
      </c>
      <c r="BS102" s="69">
        <f ca="1">$AO102*IF(Auswahllisten!$G$150,BS$25+BS$25*BS$13*$AN102,BS$25*(1+BS$13)^$AN102)</f>
        <v>0</v>
      </c>
      <c r="BT102" s="69">
        <f ca="1">$AO102*IF(Auswahllisten!$G$150,BT$25+BT$25*BT$13*$AN102,BT$25*(1+BT$13)^$AN102)</f>
        <v>0</v>
      </c>
      <c r="BU102" s="69">
        <f ca="1">$AO102*IF(Auswahllisten!$G$150,BU$25+BU$25*BU$13*$AN102,BU$25*(1+BU$13)^$AN102)</f>
        <v>0</v>
      </c>
      <c r="BV102" s="69">
        <f ca="1">$AO102*IF(Auswahllisten!$G$150,BV$25+BV$25*BV$13*$AN102,BV$25*(1+BV$13)^$AN102)</f>
        <v>0</v>
      </c>
      <c r="BW102" s="69">
        <f t="shared" ca="1" si="108"/>
        <v>0</v>
      </c>
      <c r="BX102" s="69">
        <f t="shared" ca="1" si="109"/>
        <v>0</v>
      </c>
      <c r="BY102" s="69">
        <f t="shared" ca="1" si="97"/>
        <v>0</v>
      </c>
      <c r="BZ102" s="69">
        <f t="shared" ca="1" si="98"/>
        <v>0</v>
      </c>
    </row>
    <row r="103" spans="1:78">
      <c r="A103" s="305" t="s">
        <v>1215</v>
      </c>
      <c r="B103" s="126" t="s">
        <v>303</v>
      </c>
      <c r="C103" s="126" t="s">
        <v>1340</v>
      </c>
      <c r="D103" s="26" t="str" cm="1">
        <f t="array" aca="1" ref="D103" ca="1">INDIRECT("Vergleich!"&amp;$G$2&amp;Z103)</f>
        <v>mittel</v>
      </c>
      <c r="E103" s="26" cm="1">
        <f t="array" aca="1" ref="E103" ca="1">INDIRECT("Investition_gewählt!"&amp;$I$5&amp;AA103)</f>
        <v>0</v>
      </c>
      <c r="F103" s="25" cm="1">
        <f t="array" aca="1" ref="F103" ca="1">IF($C$5=0,0,INDEX(Faktoren!E89:GQ89,1,VLOOKUP($F$5,$L$2:$O$14,4,FALSE)+$C$9*5+VLOOKUP(D103,Auswahllisten!$E$25:$F$29,2,FALSE)))</f>
        <v>0</v>
      </c>
      <c r="G103" s="162">
        <f t="shared" ca="1" si="123"/>
        <v>0</v>
      </c>
      <c r="H103" s="26" cm="1">
        <f t="array" aca="1" ref="H103" ca="1">INDIRECT("Investition_gewählt!"&amp;$I$6&amp;AA103)</f>
        <v>0</v>
      </c>
      <c r="I103" s="25" cm="1">
        <f t="array" aca="1" ref="I103" ca="1">IF($C$5=0,0,INDEX(Faktoren!E89:GQ89,1,VLOOKUP($F$6,$L$2:$O$14,4,FALSE)+$C$9*5+VLOOKUP(D103,Auswahllisten!$E$25:$F$29,2,FALSE)))</f>
        <v>0</v>
      </c>
      <c r="J103" s="162">
        <f t="shared" ca="1" si="124"/>
        <v>0</v>
      </c>
      <c r="K103" s="26">
        <f t="shared" ca="1" si="112"/>
        <v>0</v>
      </c>
      <c r="L103" s="25" t="b">
        <f t="shared" ca="1" si="125"/>
        <v>0</v>
      </c>
      <c r="M103" s="26">
        <f t="shared" ca="1" si="113"/>
        <v>0</v>
      </c>
      <c r="O103" s="16" t="str" cm="1">
        <f t="array" aca="1" ref="O103" ca="1">INDIRECT("Vergleich!"&amp;$Y$2&amp;Z103)</f>
        <v>gering</v>
      </c>
      <c r="P103" s="26" cm="1">
        <f t="array" aca="1" ref="P103" ca="1">INDIRECT("Investition_gewählt!"&amp;$AA$5&amp;AA103)</f>
        <v>0</v>
      </c>
      <c r="Q103" s="16" cm="1">
        <f t="array" aca="1" ref="Q103" ca="1">IF($U$5=0,0,INDEX(Faktoren!E89:GQ89,1,VLOOKUP($X$5,$L$2:$O$14,4,FALSE)+$U$9*5+VLOOKUP(O103,Auswahllisten!$E$25:$F$29,2,FALSE)))</f>
        <v>0</v>
      </c>
      <c r="R103" s="26">
        <f t="shared" ca="1" si="114"/>
        <v>0</v>
      </c>
      <c r="S103" s="26" cm="1">
        <f t="array" aca="1" ref="S103" ca="1">INDIRECT("Investition_gewählt!"&amp;$AA$6&amp;AA103)</f>
        <v>0</v>
      </c>
      <c r="T103" s="16" cm="1">
        <f t="array" aca="1" ref="T103" ca="1">IF($U$5=0,0,INDEX(Faktoren!E89:QG89,1,VLOOKUP($X$6,$L$3:$O$14,4,FALSE)+$U$9*5+VLOOKUP(O103,Auswahllisten!$E$25:$F$29,2,FALSE)))</f>
        <v>0</v>
      </c>
      <c r="U103" s="26">
        <f t="shared" ca="1" si="115"/>
        <v>0</v>
      </c>
      <c r="V103" s="26">
        <f t="shared" ca="1" si="91"/>
        <v>0</v>
      </c>
      <c r="W103" s="16" t="b">
        <f t="shared" ca="1" si="117"/>
        <v>0</v>
      </c>
      <c r="X103" s="26">
        <f t="shared" ca="1" si="116"/>
        <v>0</v>
      </c>
      <c r="Z103" s="1">
        <v>44</v>
      </c>
      <c r="AA103" s="1">
        <v>89</v>
      </c>
      <c r="AB103" s="1">
        <v>-2</v>
      </c>
      <c r="AC103" s="82"/>
      <c r="AD103" s="64"/>
      <c r="AN103" s="1">
        <v>78</v>
      </c>
      <c r="AO103" s="1">
        <f t="shared" si="118"/>
        <v>0</v>
      </c>
      <c r="AP103" s="69">
        <f t="shared" ref="AP103:AV125" ca="1" si="128">IFERROR($AO103*IF(MOD($AN103,AP$20)=0,AP$25,0)*(1+$AS$10)^$AN103*IF($AS$3=$AN103,0,1),0)</f>
        <v>0</v>
      </c>
      <c r="AQ103" s="69">
        <f t="shared" ca="1" si="128"/>
        <v>0</v>
      </c>
      <c r="AR103" s="69">
        <f t="shared" si="128"/>
        <v>0</v>
      </c>
      <c r="AS103" s="69">
        <f t="shared" ca="1" si="128"/>
        <v>0</v>
      </c>
      <c r="AT103" s="69">
        <f t="shared" ca="1" si="128"/>
        <v>0</v>
      </c>
      <c r="AU103" s="69">
        <f t="shared" ca="1" si="128"/>
        <v>0</v>
      </c>
      <c r="AV103" s="69">
        <f t="shared" si="128"/>
        <v>0</v>
      </c>
      <c r="AW103" s="69">
        <f t="shared" ca="1" si="119"/>
        <v>0</v>
      </c>
      <c r="AX103" s="69">
        <f t="shared" ca="1" si="100"/>
        <v>0</v>
      </c>
      <c r="AY103" s="69">
        <f t="shared" ca="1" si="120"/>
        <v>0</v>
      </c>
      <c r="AZ103" s="69">
        <f ca="1">$AO103*IF(Auswahllisten!$G$150,AZ$25+AZ$25*AZ$13*$AN103,AZ$25*(1+AZ$13)^$AN103)</f>
        <v>0</v>
      </c>
      <c r="BA103" s="69">
        <f ca="1">$AO103*IF(Auswahllisten!$G$150,BA$25+BA$25*BA$13*$AN103,BA$25*(1+BA$13)^$AN103)</f>
        <v>0</v>
      </c>
      <c r="BB103" s="69">
        <f ca="1">$AO103*IF(Auswahllisten!$G$150,BB$25+BB$25*BB$13*$AN103,BB$25*(1+BB$13)^$AN103)</f>
        <v>0</v>
      </c>
      <c r="BC103" s="69">
        <f ca="1">$AO103*IF(Auswahllisten!$G$150,BC$25+BC$25*BC$13*$AN103,BC$25*(1+BC$13)^$AN103)</f>
        <v>0</v>
      </c>
      <c r="BD103" s="69">
        <f t="shared" ca="1" si="102"/>
        <v>0</v>
      </c>
      <c r="BE103" s="69">
        <f t="shared" ca="1" si="121"/>
        <v>0</v>
      </c>
      <c r="BF103" s="69">
        <f t="shared" ca="1" si="122"/>
        <v>0</v>
      </c>
      <c r="BG103" s="69">
        <f t="shared" ca="1" si="105"/>
        <v>0</v>
      </c>
      <c r="BI103" s="69">
        <f t="shared" ca="1" si="106"/>
        <v>0</v>
      </c>
      <c r="BJ103" s="69">
        <f t="shared" ca="1" si="93"/>
        <v>0</v>
      </c>
      <c r="BK103" s="69">
        <f t="shared" si="93"/>
        <v>0</v>
      </c>
      <c r="BL103" s="69">
        <f t="shared" ca="1" si="93"/>
        <v>0</v>
      </c>
      <c r="BM103" s="69">
        <f t="shared" ca="1" si="93"/>
        <v>0</v>
      </c>
      <c r="BN103" s="69">
        <f t="shared" ca="1" si="93"/>
        <v>0</v>
      </c>
      <c r="BO103" s="69">
        <f t="shared" si="93"/>
        <v>0</v>
      </c>
      <c r="BP103" s="69">
        <f t="shared" ca="1" si="95"/>
        <v>0</v>
      </c>
      <c r="BQ103" s="69">
        <f t="shared" ca="1" si="107"/>
        <v>0</v>
      </c>
      <c r="BR103" s="69">
        <f t="shared" ca="1" si="96"/>
        <v>0</v>
      </c>
      <c r="BS103" s="69">
        <f ca="1">$AO103*IF(Auswahllisten!$G$150,BS$25+BS$25*BS$13*$AN103,BS$25*(1+BS$13)^$AN103)</f>
        <v>0</v>
      </c>
      <c r="BT103" s="69">
        <f ca="1">$AO103*IF(Auswahllisten!$G$150,BT$25+BT$25*BT$13*$AN103,BT$25*(1+BT$13)^$AN103)</f>
        <v>0</v>
      </c>
      <c r="BU103" s="69">
        <f ca="1">$AO103*IF(Auswahllisten!$G$150,BU$25+BU$25*BU$13*$AN103,BU$25*(1+BU$13)^$AN103)</f>
        <v>0</v>
      </c>
      <c r="BV103" s="69">
        <f ca="1">$AO103*IF(Auswahllisten!$G$150,BV$25+BV$25*BV$13*$AN103,BV$25*(1+BV$13)^$AN103)</f>
        <v>0</v>
      </c>
      <c r="BW103" s="69">
        <f t="shared" ca="1" si="108"/>
        <v>0</v>
      </c>
      <c r="BX103" s="69">
        <f t="shared" ca="1" si="109"/>
        <v>0</v>
      </c>
      <c r="BY103" s="69">
        <f t="shared" ca="1" si="97"/>
        <v>0</v>
      </c>
      <c r="BZ103" s="69">
        <f t="shared" ca="1" si="98"/>
        <v>0</v>
      </c>
    </row>
    <row r="104" spans="1:78">
      <c r="A104" s="305" t="s">
        <v>1215</v>
      </c>
      <c r="B104" s="126" t="s">
        <v>303</v>
      </c>
      <c r="C104" s="126" t="s">
        <v>1339</v>
      </c>
      <c r="D104" s="26" t="str" cm="1">
        <f t="array" aca="1" ref="D104" ca="1">INDIRECT("Vergleich!"&amp;$G$2&amp;Z104)</f>
        <v>mittel</v>
      </c>
      <c r="E104" s="26" cm="1">
        <f t="array" aca="1" ref="E104" ca="1">INDIRECT("Investition_gewählt!"&amp;$I$5&amp;AA104)</f>
        <v>0</v>
      </c>
      <c r="F104" s="25" cm="1">
        <f t="array" aca="1" ref="F104" ca="1">IF($C$5=0,0,INDEX(Faktoren!E90:GQ90,1,VLOOKUP($F$5,$L$2:$O$14,4,FALSE)+$C$9*5+VLOOKUP(D104,Auswahllisten!$E$25:$F$29,2,FALSE)))</f>
        <v>0</v>
      </c>
      <c r="G104" s="162">
        <f t="shared" ca="1" si="123"/>
        <v>0</v>
      </c>
      <c r="H104" s="26" cm="1">
        <f t="array" aca="1" ref="H104" ca="1">INDIRECT("Investition_gewählt!"&amp;$I$6&amp;AA104)</f>
        <v>0</v>
      </c>
      <c r="I104" s="25" cm="1">
        <f t="array" aca="1" ref="I104" ca="1">IF($C$5=0,0,INDEX(Faktoren!E90:GQ90,1,VLOOKUP($F$6,$L$2:$O$14,4,FALSE)+$C$9*5+VLOOKUP(D104,Auswahllisten!$E$25:$F$29,2,FALSE)))</f>
        <v>0</v>
      </c>
      <c r="J104" s="162">
        <f t="shared" ca="1" si="124"/>
        <v>0</v>
      </c>
      <c r="K104" s="26">
        <f t="shared" ca="1" si="112"/>
        <v>0</v>
      </c>
      <c r="L104" s="25" t="b">
        <f t="shared" ca="1" si="125"/>
        <v>0</v>
      </c>
      <c r="M104" s="26">
        <f t="shared" ca="1" si="113"/>
        <v>0</v>
      </c>
      <c r="O104" s="16" t="str" cm="1">
        <f t="array" aca="1" ref="O104" ca="1">INDIRECT("Vergleich!"&amp;$Y$2&amp;Z104)</f>
        <v>gering</v>
      </c>
      <c r="P104" s="26" cm="1">
        <f t="array" aca="1" ref="P104" ca="1">INDIRECT("Investition_gewählt!"&amp;$AA$5&amp;AA104)</f>
        <v>0</v>
      </c>
      <c r="Q104" s="16" cm="1">
        <f t="array" aca="1" ref="Q104" ca="1">IF($U$5=0,0,INDEX(Faktoren!E90:GQ90,1,VLOOKUP($X$5,$L$2:$O$14,4,FALSE)+$U$9*5+VLOOKUP(O104,Auswahllisten!$E$25:$F$29,2,FALSE)))</f>
        <v>0</v>
      </c>
      <c r="R104" s="26">
        <f t="shared" ca="1" si="114"/>
        <v>0</v>
      </c>
      <c r="S104" s="26" cm="1">
        <f t="array" aca="1" ref="S104" ca="1">INDIRECT("Investition_gewählt!"&amp;$AA$6&amp;AA104)</f>
        <v>0</v>
      </c>
      <c r="T104" s="16" cm="1">
        <f t="array" aca="1" ref="T104" ca="1">IF($U$5=0,0,INDEX(Faktoren!E90:QG90,1,VLOOKUP($X$6,$L$3:$O$14,4,FALSE)+$U$9*5+VLOOKUP(O104,Auswahllisten!$E$25:$F$29,2,FALSE)))</f>
        <v>0</v>
      </c>
      <c r="U104" s="26">
        <f t="shared" ca="1" si="115"/>
        <v>0</v>
      </c>
      <c r="V104" s="26">
        <f t="shared" ca="1" si="91"/>
        <v>0</v>
      </c>
      <c r="W104" s="16" t="b">
        <f t="shared" ca="1" si="117"/>
        <v>0</v>
      </c>
      <c r="X104" s="26">
        <f t="shared" ca="1" si="116"/>
        <v>0</v>
      </c>
      <c r="Z104" s="1">
        <v>45</v>
      </c>
      <c r="AA104" s="1">
        <v>90</v>
      </c>
      <c r="AB104" s="1">
        <v>-2</v>
      </c>
      <c r="AC104" s="82"/>
      <c r="AD104" s="64"/>
      <c r="AN104" s="1">
        <v>79</v>
      </c>
      <c r="AO104" s="1">
        <f t="shared" si="118"/>
        <v>0</v>
      </c>
      <c r="AP104" s="69">
        <f t="shared" ca="1" si="128"/>
        <v>0</v>
      </c>
      <c r="AQ104" s="69">
        <f t="shared" ca="1" si="128"/>
        <v>0</v>
      </c>
      <c r="AR104" s="69">
        <f t="shared" si="128"/>
        <v>0</v>
      </c>
      <c r="AS104" s="69">
        <f t="shared" ca="1" si="128"/>
        <v>0</v>
      </c>
      <c r="AT104" s="69">
        <f t="shared" ca="1" si="128"/>
        <v>0</v>
      </c>
      <c r="AU104" s="69">
        <f t="shared" ca="1" si="128"/>
        <v>0</v>
      </c>
      <c r="AV104" s="69">
        <f t="shared" si="128"/>
        <v>0</v>
      </c>
      <c r="AW104" s="69">
        <f t="shared" ca="1" si="119"/>
        <v>0</v>
      </c>
      <c r="AX104" s="69">
        <f t="shared" ca="1" si="100"/>
        <v>0</v>
      </c>
      <c r="AY104" s="69">
        <f t="shared" ca="1" si="120"/>
        <v>0</v>
      </c>
      <c r="AZ104" s="69">
        <f ca="1">$AO104*IF(Auswahllisten!$G$150,AZ$25+AZ$25*AZ$13*$AN104,AZ$25*(1+AZ$13)^$AN104)</f>
        <v>0</v>
      </c>
      <c r="BA104" s="69">
        <f ca="1">$AO104*IF(Auswahllisten!$G$150,BA$25+BA$25*BA$13*$AN104,BA$25*(1+BA$13)^$AN104)</f>
        <v>0</v>
      </c>
      <c r="BB104" s="69">
        <f ca="1">$AO104*IF(Auswahllisten!$G$150,BB$25+BB$25*BB$13*$AN104,BB$25*(1+BB$13)^$AN104)</f>
        <v>0</v>
      </c>
      <c r="BC104" s="69">
        <f ca="1">$AO104*IF(Auswahllisten!$G$150,BC$25+BC$25*BC$13*$AN104,BC$25*(1+BC$13)^$AN104)</f>
        <v>0</v>
      </c>
      <c r="BD104" s="69">
        <f t="shared" ca="1" si="102"/>
        <v>0</v>
      </c>
      <c r="BE104" s="69">
        <f t="shared" ca="1" si="121"/>
        <v>0</v>
      </c>
      <c r="BF104" s="69">
        <f t="shared" ca="1" si="122"/>
        <v>0</v>
      </c>
      <c r="BG104" s="69">
        <f t="shared" ca="1" si="105"/>
        <v>0</v>
      </c>
      <c r="BI104" s="69">
        <f t="shared" ca="1" si="106"/>
        <v>0</v>
      </c>
      <c r="BJ104" s="69">
        <f t="shared" ca="1" si="93"/>
        <v>0</v>
      </c>
      <c r="BK104" s="69">
        <f t="shared" si="93"/>
        <v>0</v>
      </c>
      <c r="BL104" s="69">
        <f t="shared" ca="1" si="93"/>
        <v>0</v>
      </c>
      <c r="BM104" s="69">
        <f t="shared" ca="1" si="93"/>
        <v>0</v>
      </c>
      <c r="BN104" s="69">
        <f t="shared" ca="1" si="93"/>
        <v>0</v>
      </c>
      <c r="BO104" s="69">
        <f t="shared" si="93"/>
        <v>0</v>
      </c>
      <c r="BP104" s="69">
        <f t="shared" ca="1" si="95"/>
        <v>0</v>
      </c>
      <c r="BQ104" s="69">
        <f t="shared" ca="1" si="107"/>
        <v>0</v>
      </c>
      <c r="BR104" s="69">
        <f t="shared" ca="1" si="96"/>
        <v>0</v>
      </c>
      <c r="BS104" s="69">
        <f ca="1">$AO104*IF(Auswahllisten!$G$150,BS$25+BS$25*BS$13*$AN104,BS$25*(1+BS$13)^$AN104)</f>
        <v>0</v>
      </c>
      <c r="BT104" s="69">
        <f ca="1">$AO104*IF(Auswahllisten!$G$150,BT$25+BT$25*BT$13*$AN104,BT$25*(1+BT$13)^$AN104)</f>
        <v>0</v>
      </c>
      <c r="BU104" s="69">
        <f ca="1">$AO104*IF(Auswahllisten!$G$150,BU$25+BU$25*BU$13*$AN104,BU$25*(1+BU$13)^$AN104)</f>
        <v>0</v>
      </c>
      <c r="BV104" s="69">
        <f ca="1">$AO104*IF(Auswahllisten!$G$150,BV$25+BV$25*BV$13*$AN104,BV$25*(1+BV$13)^$AN104)</f>
        <v>0</v>
      </c>
      <c r="BW104" s="69">
        <f t="shared" ca="1" si="108"/>
        <v>0</v>
      </c>
      <c r="BX104" s="69">
        <f t="shared" ca="1" si="109"/>
        <v>0</v>
      </c>
      <c r="BY104" s="69">
        <f t="shared" ca="1" si="97"/>
        <v>0</v>
      </c>
      <c r="BZ104" s="69">
        <f t="shared" ca="1" si="98"/>
        <v>0</v>
      </c>
    </row>
    <row r="105" spans="1:78">
      <c r="A105" s="307" t="s">
        <v>1215</v>
      </c>
      <c r="B105" s="297" t="s">
        <v>303</v>
      </c>
      <c r="C105" s="134" t="s">
        <v>1338</v>
      </c>
      <c r="D105" s="26" t="str" cm="1">
        <f t="array" aca="1" ref="D105" ca="1">INDIRECT("Vergleich!"&amp;$G$2&amp;Z105)</f>
        <v>mittel</v>
      </c>
      <c r="E105" s="26" cm="1">
        <f t="array" aca="1" ref="E105" ca="1">INDIRECT("Investition_gewählt!"&amp;$I$5&amp;AA105)</f>
        <v>0</v>
      </c>
      <c r="F105" s="16" cm="1">
        <f t="array" aca="1" ref="F105" ca="1">IF($C$5=0,0,INDEX(Faktoren!E91:GQ91,1,VLOOKUP($F$5,$L$2:$O$14,4,FALSE)+$C$9*5+VLOOKUP(D105,Auswahllisten!$E$25:$F$29,2,FALSE)))</f>
        <v>0</v>
      </c>
      <c r="G105" s="26">
        <f t="shared" ca="1" si="123"/>
        <v>0</v>
      </c>
      <c r="H105" s="26" cm="1">
        <f t="array" aca="1" ref="H105" ca="1">INDIRECT("Investition_gewählt!"&amp;$I$6&amp;AA105)</f>
        <v>0</v>
      </c>
      <c r="I105" s="16" cm="1">
        <f t="array" aca="1" ref="I105" ca="1">IF($C$5=0,0,INDEX(Faktoren!E91:GQ91,1,VLOOKUP($F$6,$L$2:$O$14,4,FALSE)+$C$9*5+VLOOKUP(D105,Auswahllisten!$E$25:$F$29,2,FALSE)))</f>
        <v>0</v>
      </c>
      <c r="J105" s="26">
        <f t="shared" ca="1" si="124"/>
        <v>0</v>
      </c>
      <c r="K105" s="26">
        <f t="shared" ca="1" si="112"/>
        <v>0</v>
      </c>
      <c r="L105" s="16" t="b">
        <f t="shared" ca="1" si="125"/>
        <v>0</v>
      </c>
      <c r="M105" s="26">
        <f t="shared" ca="1" si="113"/>
        <v>0</v>
      </c>
      <c r="O105" s="93" t="str" cm="1">
        <f t="array" aca="1" ref="O105" ca="1">INDIRECT("Vergleich!"&amp;$Y$2&amp;Z105)</f>
        <v>gering</v>
      </c>
      <c r="P105" s="163" cm="1">
        <f t="array" aca="1" ref="P105" ca="1">INDIRECT("Investition_gewählt!"&amp;$AA$5&amp;AA105)</f>
        <v>0</v>
      </c>
      <c r="Q105" s="93" cm="1">
        <f t="array" aca="1" ref="Q105" ca="1">IF($U$5=0,0,INDEX(Faktoren!E91:GQ91,1,VLOOKUP($X$5,$L$2:$O$14,4,FALSE)+$U$9*5+VLOOKUP(O105,Auswahllisten!$E$25:$F$29,2,FALSE)))</f>
        <v>0</v>
      </c>
      <c r="R105" s="163">
        <f t="shared" ca="1" si="114"/>
        <v>0</v>
      </c>
      <c r="S105" s="163" cm="1">
        <f t="array" aca="1" ref="S105" ca="1">INDIRECT("Investition_gewählt!"&amp;$AA$6&amp;AA105)</f>
        <v>0</v>
      </c>
      <c r="T105" s="93" cm="1">
        <f t="array" aca="1" ref="T105" ca="1">IF($U$5=0,0,INDEX(Faktoren!E91:QG91,1,VLOOKUP($X$6,$L$3:$O$14,4,FALSE)+$U$9*5+VLOOKUP(O105,Auswahllisten!$E$25:$F$29,2,FALSE)))</f>
        <v>0</v>
      </c>
      <c r="U105" s="163">
        <f t="shared" ca="1" si="115"/>
        <v>0</v>
      </c>
      <c r="V105" s="163">
        <f t="shared" ca="1" si="91"/>
        <v>0</v>
      </c>
      <c r="W105" s="93" t="b">
        <f t="shared" ca="1" si="117"/>
        <v>0</v>
      </c>
      <c r="X105" s="163">
        <f t="shared" ca="1" si="116"/>
        <v>0</v>
      </c>
      <c r="Z105" s="1">
        <v>46</v>
      </c>
      <c r="AA105" s="1">
        <v>91</v>
      </c>
      <c r="AB105" s="1">
        <v>-2</v>
      </c>
      <c r="AC105" s="82"/>
      <c r="AD105" s="64"/>
      <c r="AN105" s="1">
        <v>80</v>
      </c>
      <c r="AO105" s="1">
        <f t="shared" si="118"/>
        <v>0</v>
      </c>
      <c r="AP105" s="69">
        <f t="shared" ca="1" si="128"/>
        <v>0</v>
      </c>
      <c r="AQ105" s="69">
        <f t="shared" ca="1" si="128"/>
        <v>0</v>
      </c>
      <c r="AR105" s="69">
        <f t="shared" ca="1" si="128"/>
        <v>0</v>
      </c>
      <c r="AS105" s="69">
        <f t="shared" ca="1" si="128"/>
        <v>0</v>
      </c>
      <c r="AT105" s="69">
        <f t="shared" ca="1" si="128"/>
        <v>0</v>
      </c>
      <c r="AU105" s="69">
        <f t="shared" ca="1" si="128"/>
        <v>0</v>
      </c>
      <c r="AV105" s="69">
        <f t="shared" ca="1" si="128"/>
        <v>0</v>
      </c>
      <c r="AW105" s="69">
        <f t="shared" ca="1" si="119"/>
        <v>0</v>
      </c>
      <c r="AX105" s="69">
        <f t="shared" ca="1" si="100"/>
        <v>0</v>
      </c>
      <c r="AY105" s="69">
        <f t="shared" ca="1" si="120"/>
        <v>0</v>
      </c>
      <c r="AZ105" s="69">
        <f ca="1">$AO105*IF(Auswahllisten!$G$150,AZ$25+AZ$25*AZ$13*$AN105,AZ$25*(1+AZ$13)^$AN105)</f>
        <v>0</v>
      </c>
      <c r="BA105" s="69">
        <f ca="1">$AO105*IF(Auswahllisten!$G$150,BA$25+BA$25*BA$13*$AN105,BA$25*(1+BA$13)^$AN105)</f>
        <v>0</v>
      </c>
      <c r="BB105" s="69">
        <f ca="1">$AO105*IF(Auswahllisten!$G$150,BB$25+BB$25*BB$13*$AN105,BB$25*(1+BB$13)^$AN105)</f>
        <v>0</v>
      </c>
      <c r="BC105" s="69">
        <f ca="1">$AO105*IF(Auswahllisten!$G$150,BC$25+BC$25*BC$13*$AN105,BC$25*(1+BC$13)^$AN105)</f>
        <v>0</v>
      </c>
      <c r="BD105" s="69">
        <f t="shared" ca="1" si="102"/>
        <v>0</v>
      </c>
      <c r="BE105" s="69">
        <f t="shared" ca="1" si="121"/>
        <v>0</v>
      </c>
      <c r="BF105" s="69">
        <f t="shared" ca="1" si="122"/>
        <v>0</v>
      </c>
      <c r="BG105" s="69">
        <f t="shared" ca="1" si="105"/>
        <v>0</v>
      </c>
      <c r="BI105" s="69">
        <f t="shared" ca="1" si="106"/>
        <v>0</v>
      </c>
      <c r="BJ105" s="69">
        <f t="shared" ca="1" si="93"/>
        <v>0</v>
      </c>
      <c r="BK105" s="69">
        <f t="shared" si="93"/>
        <v>0</v>
      </c>
      <c r="BL105" s="69">
        <f t="shared" ca="1" si="93"/>
        <v>0</v>
      </c>
      <c r="BM105" s="69">
        <f t="shared" ca="1" si="93"/>
        <v>0</v>
      </c>
      <c r="BN105" s="69">
        <f t="shared" ca="1" si="93"/>
        <v>0</v>
      </c>
      <c r="BO105" s="69">
        <f t="shared" si="93"/>
        <v>0</v>
      </c>
      <c r="BP105" s="69">
        <f t="shared" ca="1" si="95"/>
        <v>0</v>
      </c>
      <c r="BQ105" s="69">
        <f t="shared" ca="1" si="107"/>
        <v>0</v>
      </c>
      <c r="BR105" s="69">
        <f t="shared" ca="1" si="96"/>
        <v>0</v>
      </c>
      <c r="BS105" s="69">
        <f ca="1">$AO105*IF(Auswahllisten!$G$150,BS$25+BS$25*BS$13*$AN105,BS$25*(1+BS$13)^$AN105)</f>
        <v>0</v>
      </c>
      <c r="BT105" s="69">
        <f ca="1">$AO105*IF(Auswahllisten!$G$150,BT$25+BT$25*BT$13*$AN105,BT$25*(1+BT$13)^$AN105)</f>
        <v>0</v>
      </c>
      <c r="BU105" s="69">
        <f ca="1">$AO105*IF(Auswahllisten!$G$150,BU$25+BU$25*BU$13*$AN105,BU$25*(1+BU$13)^$AN105)</f>
        <v>0</v>
      </c>
      <c r="BV105" s="69">
        <f ca="1">$AO105*IF(Auswahllisten!$G$150,BV$25+BV$25*BV$13*$AN105,BV$25*(1+BV$13)^$AN105)</f>
        <v>0</v>
      </c>
      <c r="BW105" s="69">
        <f t="shared" ca="1" si="108"/>
        <v>0</v>
      </c>
      <c r="BX105" s="69">
        <f t="shared" ca="1" si="109"/>
        <v>0</v>
      </c>
      <c r="BY105" s="69">
        <f t="shared" ca="1" si="97"/>
        <v>0</v>
      </c>
      <c r="BZ105" s="69">
        <f t="shared" ca="1" si="98"/>
        <v>0</v>
      </c>
    </row>
    <row r="106" spans="1:78">
      <c r="A106" s="306" t="s">
        <v>1230</v>
      </c>
      <c r="B106" s="134" t="s">
        <v>1033</v>
      </c>
      <c r="C106" s="134" t="s">
        <v>1337</v>
      </c>
      <c r="D106" s="296" t="str" cm="1">
        <f t="array" aca="1" ref="D106" ca="1">INDIRECT("Vergleich!"&amp;$G$2&amp;Z106)</f>
        <v>mittel</v>
      </c>
      <c r="E106" s="296" cm="1">
        <f t="array" aca="1" ref="E106" ca="1">INDIRECT("Investition_gewählt!"&amp;$I$5&amp;AA106)</f>
        <v>0</v>
      </c>
      <c r="F106" s="60" cm="1">
        <f t="array" aca="1" ref="F106" ca="1">IF($C$5=0,0,INDEX(Faktoren!E92:GQ92,1,VLOOKUP($F$5,$L$2:$O$14,4,FALSE)+$C$9*5+VLOOKUP(D106,Auswahllisten!$E$25:$F$29,2,FALSE)))</f>
        <v>0</v>
      </c>
      <c r="G106" s="296">
        <f t="shared" ref="G106" ca="1" si="129">E106*F106</f>
        <v>0</v>
      </c>
      <c r="H106" s="296" cm="1">
        <f t="array" aca="1" ref="H106" ca="1">INDIRECT("Investition_gewählt!"&amp;$I$6&amp;AA106)</f>
        <v>0</v>
      </c>
      <c r="I106" s="60" cm="1">
        <f t="array" aca="1" ref="I106" ca="1">IF($C$5=0,0,INDEX(Faktoren!E92:GQ92,1,VLOOKUP($F$6,$L$2:$O$14,4,FALSE)+$C$9*5+VLOOKUP(D106,Auswahllisten!$E$25:$F$29,2,FALSE)))</f>
        <v>0</v>
      </c>
      <c r="J106" s="296">
        <f t="shared" ref="J106" ca="1" si="130">H106*I106</f>
        <v>0</v>
      </c>
      <c r="K106" s="296">
        <f t="shared" ref="K106" ca="1" si="131">IF($C$5=0,0,G106+(J106-G106)*($C$6-$F$5)/($F$6-$F$5))</f>
        <v>0</v>
      </c>
      <c r="L106" s="60" t="b">
        <f t="shared" ca="1" si="125"/>
        <v>0</v>
      </c>
      <c r="M106" s="296">
        <f t="shared" ca="1" si="113"/>
        <v>0</v>
      </c>
      <c r="O106" s="93" t="str" cm="1">
        <f t="array" aca="1" ref="O106" ca="1">INDIRECT("Vergleich!"&amp;$Y$2&amp;Z106)</f>
        <v>gering</v>
      </c>
      <c r="P106" s="163" cm="1">
        <f t="array" aca="1" ref="P106" ca="1">INDIRECT("Investition_gewählt!"&amp;$AA$5&amp;AA106)</f>
        <v>0</v>
      </c>
      <c r="Q106" s="93" cm="1">
        <f t="array" aca="1" ref="Q106" ca="1">IF($U$5=0,0,INDEX(Faktoren!E92:GQ92,1,VLOOKUP($X$5,$L$2:$O$14,4,FALSE)+$U$9*5+VLOOKUP(O106,Auswahllisten!$E$25:$F$29,2,FALSE)))</f>
        <v>0</v>
      </c>
      <c r="R106" s="163">
        <f t="shared" ref="R106" ca="1" si="132">P106*Q106</f>
        <v>0</v>
      </c>
      <c r="S106" s="163" cm="1">
        <f t="array" aca="1" ref="S106" ca="1">INDIRECT("Investition_gewählt!"&amp;$AA$6&amp;AA106)</f>
        <v>0</v>
      </c>
      <c r="T106" s="93" cm="1">
        <f t="array" aca="1" ref="T106" ca="1">IF($U$5=0,0,INDEX(Faktoren!E92:QG92,1,VLOOKUP($X$6,$L$3:$O$14,4,FALSE)+$U$9*5+VLOOKUP(O106,Auswahllisten!$E$25:$F$29,2,FALSE)))</f>
        <v>0</v>
      </c>
      <c r="U106" s="163">
        <f t="shared" ref="U106" ca="1" si="133">S106*T106</f>
        <v>0</v>
      </c>
      <c r="V106" s="163">
        <f t="shared" ca="1" si="91"/>
        <v>0</v>
      </c>
      <c r="W106" s="93" t="b">
        <f t="shared" ca="1" si="117"/>
        <v>0</v>
      </c>
      <c r="X106" s="163">
        <f t="shared" ca="1" si="116"/>
        <v>0</v>
      </c>
      <c r="Z106" s="1">
        <v>52</v>
      </c>
      <c r="AA106" s="1">
        <v>92</v>
      </c>
      <c r="AB106" s="1">
        <v>-2</v>
      </c>
      <c r="AC106" s="82"/>
      <c r="AD106" s="64"/>
      <c r="AN106" s="1">
        <v>81</v>
      </c>
      <c r="AO106" s="1">
        <f t="shared" si="118"/>
        <v>0</v>
      </c>
      <c r="AP106" s="69">
        <f t="shared" ca="1" si="128"/>
        <v>0</v>
      </c>
      <c r="AQ106" s="69">
        <f t="shared" ca="1" si="128"/>
        <v>0</v>
      </c>
      <c r="AR106" s="69">
        <f t="shared" si="128"/>
        <v>0</v>
      </c>
      <c r="AS106" s="69">
        <f t="shared" ca="1" si="128"/>
        <v>0</v>
      </c>
      <c r="AT106" s="69">
        <f t="shared" ca="1" si="128"/>
        <v>0</v>
      </c>
      <c r="AU106" s="69">
        <f t="shared" ca="1" si="128"/>
        <v>0</v>
      </c>
      <c r="AV106" s="69">
        <f t="shared" si="128"/>
        <v>0</v>
      </c>
      <c r="AW106" s="69">
        <f t="shared" ca="1" si="119"/>
        <v>0</v>
      </c>
      <c r="AX106" s="69">
        <f t="shared" ca="1" si="100"/>
        <v>0</v>
      </c>
      <c r="AY106" s="69">
        <f t="shared" ca="1" si="120"/>
        <v>0</v>
      </c>
      <c r="AZ106" s="69">
        <f ca="1">$AO106*IF(Auswahllisten!$G$150,AZ$25+AZ$25*AZ$13*$AN106,AZ$25*(1+AZ$13)^$AN106)</f>
        <v>0</v>
      </c>
      <c r="BA106" s="69">
        <f ca="1">$AO106*IF(Auswahllisten!$G$150,BA$25+BA$25*BA$13*$AN106,BA$25*(1+BA$13)^$AN106)</f>
        <v>0</v>
      </c>
      <c r="BB106" s="69">
        <f ca="1">$AO106*IF(Auswahllisten!$G$150,BB$25+BB$25*BB$13*$AN106,BB$25*(1+BB$13)^$AN106)</f>
        <v>0</v>
      </c>
      <c r="BC106" s="69">
        <f ca="1">$AO106*IF(Auswahllisten!$G$150,BC$25+BC$25*BC$13*$AN106,BC$25*(1+BC$13)^$AN106)</f>
        <v>0</v>
      </c>
      <c r="BD106" s="69">
        <f t="shared" ca="1" si="102"/>
        <v>0</v>
      </c>
      <c r="BE106" s="69">
        <f t="shared" ca="1" si="121"/>
        <v>0</v>
      </c>
      <c r="BF106" s="69">
        <f t="shared" ca="1" si="122"/>
        <v>0</v>
      </c>
      <c r="BG106" s="69">
        <f t="shared" ca="1" si="105"/>
        <v>0</v>
      </c>
      <c r="BI106" s="69">
        <f t="shared" ca="1" si="106"/>
        <v>0</v>
      </c>
      <c r="BJ106" s="69">
        <f t="shared" ca="1" si="93"/>
        <v>0</v>
      </c>
      <c r="BK106" s="69">
        <f t="shared" si="93"/>
        <v>0</v>
      </c>
      <c r="BL106" s="69">
        <f t="shared" ca="1" si="93"/>
        <v>0</v>
      </c>
      <c r="BM106" s="69">
        <f t="shared" ca="1" si="93"/>
        <v>0</v>
      </c>
      <c r="BN106" s="69">
        <f t="shared" ca="1" si="93"/>
        <v>0</v>
      </c>
      <c r="BO106" s="69">
        <f t="shared" si="93"/>
        <v>0</v>
      </c>
      <c r="BP106" s="69">
        <f t="shared" ca="1" si="95"/>
        <v>0</v>
      </c>
      <c r="BQ106" s="69">
        <f t="shared" ca="1" si="107"/>
        <v>0</v>
      </c>
      <c r="BR106" s="69">
        <f t="shared" ca="1" si="96"/>
        <v>0</v>
      </c>
      <c r="BS106" s="69">
        <f ca="1">$AO106*IF(Auswahllisten!$G$150,BS$25+BS$25*BS$13*$AN106,BS$25*(1+BS$13)^$AN106)</f>
        <v>0</v>
      </c>
      <c r="BT106" s="69">
        <f ca="1">$AO106*IF(Auswahllisten!$G$150,BT$25+BT$25*BT$13*$AN106,BT$25*(1+BT$13)^$AN106)</f>
        <v>0</v>
      </c>
      <c r="BU106" s="69">
        <f ca="1">$AO106*IF(Auswahllisten!$G$150,BU$25+BU$25*BU$13*$AN106,BU$25*(1+BU$13)^$AN106)</f>
        <v>0</v>
      </c>
      <c r="BV106" s="69">
        <f ca="1">$AO106*IF(Auswahllisten!$G$150,BV$25+BV$25*BV$13*$AN106,BV$25*(1+BV$13)^$AN106)</f>
        <v>0</v>
      </c>
      <c r="BW106" s="69">
        <f t="shared" ca="1" si="108"/>
        <v>0</v>
      </c>
      <c r="BX106" s="69">
        <f t="shared" ca="1" si="109"/>
        <v>0</v>
      </c>
      <c r="BY106" s="69">
        <f t="shared" ca="1" si="97"/>
        <v>0</v>
      </c>
      <c r="BZ106" s="69">
        <f t="shared" ca="1" si="98"/>
        <v>0</v>
      </c>
    </row>
    <row r="107" spans="1:78">
      <c r="A107" s="82"/>
      <c r="B107" s="64"/>
      <c r="C107" s="64"/>
      <c r="D107" s="69"/>
      <c r="E107" s="69"/>
      <c r="G107" s="69"/>
      <c r="H107" s="69"/>
      <c r="J107" s="69"/>
      <c r="K107" s="69"/>
      <c r="M107" s="69"/>
      <c r="P107" s="69"/>
      <c r="R107" s="69"/>
      <c r="S107" s="69"/>
      <c r="U107" s="69"/>
      <c r="V107" s="69"/>
      <c r="X107" s="69"/>
      <c r="AB107" s="1">
        <v>-2</v>
      </c>
      <c r="AN107" s="1">
        <v>82</v>
      </c>
      <c r="AO107" s="1">
        <f t="shared" si="118"/>
        <v>0</v>
      </c>
      <c r="AP107" s="69">
        <f t="shared" ca="1" si="128"/>
        <v>0</v>
      </c>
      <c r="AQ107" s="69">
        <f t="shared" ca="1" si="128"/>
        <v>0</v>
      </c>
      <c r="AR107" s="69">
        <f t="shared" si="128"/>
        <v>0</v>
      </c>
      <c r="AS107" s="69">
        <f t="shared" ca="1" si="128"/>
        <v>0</v>
      </c>
      <c r="AT107" s="69">
        <f t="shared" ca="1" si="128"/>
        <v>0</v>
      </c>
      <c r="AU107" s="69">
        <f t="shared" ca="1" si="128"/>
        <v>0</v>
      </c>
      <c r="AV107" s="69">
        <f t="shared" si="128"/>
        <v>0</v>
      </c>
      <c r="AW107" s="69">
        <f t="shared" ca="1" si="119"/>
        <v>0</v>
      </c>
      <c r="AX107" s="69">
        <f t="shared" ca="1" si="100"/>
        <v>0</v>
      </c>
      <c r="AY107" s="69">
        <f t="shared" ca="1" si="120"/>
        <v>0</v>
      </c>
      <c r="AZ107" s="69">
        <f ca="1">$AO107*IF(Auswahllisten!$G$150,AZ$25+AZ$25*AZ$13*$AN107,AZ$25*(1+AZ$13)^$AN107)</f>
        <v>0</v>
      </c>
      <c r="BA107" s="69">
        <f ca="1">$AO107*IF(Auswahllisten!$G$150,BA$25+BA$25*BA$13*$AN107,BA$25*(1+BA$13)^$AN107)</f>
        <v>0</v>
      </c>
      <c r="BB107" s="69">
        <f ca="1">$AO107*IF(Auswahllisten!$G$150,BB$25+BB$25*BB$13*$AN107,BB$25*(1+BB$13)^$AN107)</f>
        <v>0</v>
      </c>
      <c r="BC107" s="69">
        <f ca="1">$AO107*IF(Auswahllisten!$G$150,BC$25+BC$25*BC$13*$AN107,BC$25*(1+BC$13)^$AN107)</f>
        <v>0</v>
      </c>
      <c r="BD107" s="69">
        <f t="shared" ca="1" si="102"/>
        <v>0</v>
      </c>
      <c r="BE107" s="69">
        <f t="shared" ca="1" si="121"/>
        <v>0</v>
      </c>
      <c r="BF107" s="69">
        <f t="shared" ca="1" si="122"/>
        <v>0</v>
      </c>
      <c r="BG107" s="69">
        <f t="shared" ca="1" si="105"/>
        <v>0</v>
      </c>
      <c r="BI107" s="69">
        <f t="shared" ca="1" si="106"/>
        <v>0</v>
      </c>
      <c r="BJ107" s="69">
        <f t="shared" ca="1" si="93"/>
        <v>0</v>
      </c>
      <c r="BK107" s="69">
        <f t="shared" si="93"/>
        <v>0</v>
      </c>
      <c r="BL107" s="69">
        <f t="shared" ca="1" si="93"/>
        <v>0</v>
      </c>
      <c r="BM107" s="69">
        <f t="shared" ca="1" si="93"/>
        <v>0</v>
      </c>
      <c r="BN107" s="69">
        <f t="shared" ca="1" si="93"/>
        <v>0</v>
      </c>
      <c r="BO107" s="69">
        <f t="shared" si="93"/>
        <v>0</v>
      </c>
      <c r="BP107" s="69">
        <f t="shared" ca="1" si="95"/>
        <v>0</v>
      </c>
      <c r="BQ107" s="69">
        <f t="shared" ca="1" si="107"/>
        <v>0</v>
      </c>
      <c r="BR107" s="69">
        <f t="shared" ca="1" si="96"/>
        <v>0</v>
      </c>
      <c r="BS107" s="69">
        <f ca="1">$AO107*IF(Auswahllisten!$G$150,BS$25+BS$25*BS$13*$AN107,BS$25*(1+BS$13)^$AN107)</f>
        <v>0</v>
      </c>
      <c r="BT107" s="69">
        <f ca="1">$AO107*IF(Auswahllisten!$G$150,BT$25+BT$25*BT$13*$AN107,BT$25*(1+BT$13)^$AN107)</f>
        <v>0</v>
      </c>
      <c r="BU107" s="69">
        <f ca="1">$AO107*IF(Auswahllisten!$G$150,BU$25+BU$25*BU$13*$AN107,BU$25*(1+BU$13)^$AN107)</f>
        <v>0</v>
      </c>
      <c r="BV107" s="69">
        <f ca="1">$AO107*IF(Auswahllisten!$G$150,BV$25+BV$25*BV$13*$AN107,BV$25*(1+BV$13)^$AN107)</f>
        <v>0</v>
      </c>
      <c r="BW107" s="69">
        <f t="shared" ca="1" si="108"/>
        <v>0</v>
      </c>
      <c r="BX107" s="69">
        <f t="shared" ca="1" si="109"/>
        <v>0</v>
      </c>
      <c r="BY107" s="69">
        <f t="shared" ca="1" si="97"/>
        <v>0</v>
      </c>
      <c r="BZ107" s="69">
        <f t="shared" ca="1" si="98"/>
        <v>0</v>
      </c>
    </row>
    <row r="108" spans="1:78">
      <c r="A108" s="82"/>
      <c r="B108" s="125" t="s">
        <v>1258</v>
      </c>
      <c r="C108" s="64"/>
      <c r="D108" s="69"/>
      <c r="E108" s="69"/>
      <c r="G108" s="69"/>
      <c r="H108" s="69"/>
      <c r="J108" s="69"/>
      <c r="K108" s="69"/>
      <c r="M108" s="69"/>
      <c r="P108" s="69"/>
      <c r="R108" s="69"/>
      <c r="S108" s="69"/>
      <c r="U108" s="69"/>
      <c r="V108" s="69"/>
      <c r="X108" s="69"/>
      <c r="AB108" s="1">
        <v>-2</v>
      </c>
      <c r="AN108" s="1">
        <v>83</v>
      </c>
      <c r="AO108" s="1">
        <f t="shared" si="118"/>
        <v>0</v>
      </c>
      <c r="AP108" s="69">
        <f t="shared" ca="1" si="128"/>
        <v>0</v>
      </c>
      <c r="AQ108" s="69">
        <f t="shared" ca="1" si="128"/>
        <v>0</v>
      </c>
      <c r="AR108" s="69">
        <f t="shared" si="128"/>
        <v>0</v>
      </c>
      <c r="AS108" s="69">
        <f t="shared" ca="1" si="128"/>
        <v>0</v>
      </c>
      <c r="AT108" s="69">
        <f t="shared" ca="1" si="128"/>
        <v>0</v>
      </c>
      <c r="AU108" s="69">
        <f t="shared" ca="1" si="128"/>
        <v>0</v>
      </c>
      <c r="AV108" s="69">
        <f t="shared" si="128"/>
        <v>0</v>
      </c>
      <c r="AW108" s="69">
        <f t="shared" ca="1" si="119"/>
        <v>0</v>
      </c>
      <c r="AX108" s="69">
        <f t="shared" ca="1" si="100"/>
        <v>0</v>
      </c>
      <c r="AY108" s="69">
        <f t="shared" ca="1" si="120"/>
        <v>0</v>
      </c>
      <c r="AZ108" s="69">
        <f ca="1">$AO108*IF(Auswahllisten!$G$150,AZ$25+AZ$25*AZ$13*$AN108,AZ$25*(1+AZ$13)^$AN108)</f>
        <v>0</v>
      </c>
      <c r="BA108" s="69">
        <f ca="1">$AO108*IF(Auswahllisten!$G$150,BA$25+BA$25*BA$13*$AN108,BA$25*(1+BA$13)^$AN108)</f>
        <v>0</v>
      </c>
      <c r="BB108" s="69">
        <f ca="1">$AO108*IF(Auswahllisten!$G$150,BB$25+BB$25*BB$13*$AN108,BB$25*(1+BB$13)^$AN108)</f>
        <v>0</v>
      </c>
      <c r="BC108" s="69">
        <f ca="1">$AO108*IF(Auswahllisten!$G$150,BC$25+BC$25*BC$13*$AN108,BC$25*(1+BC$13)^$AN108)</f>
        <v>0</v>
      </c>
      <c r="BD108" s="69">
        <f t="shared" ca="1" si="102"/>
        <v>0</v>
      </c>
      <c r="BE108" s="69">
        <f t="shared" ca="1" si="121"/>
        <v>0</v>
      </c>
      <c r="BF108" s="69">
        <f t="shared" ca="1" si="122"/>
        <v>0</v>
      </c>
      <c r="BG108" s="69">
        <f t="shared" ca="1" si="105"/>
        <v>0</v>
      </c>
      <c r="BI108" s="69">
        <f t="shared" ca="1" si="106"/>
        <v>0</v>
      </c>
      <c r="BJ108" s="69">
        <f t="shared" ca="1" si="93"/>
        <v>0</v>
      </c>
      <c r="BK108" s="69">
        <f t="shared" si="93"/>
        <v>0</v>
      </c>
      <c r="BL108" s="69">
        <f t="shared" ca="1" si="93"/>
        <v>0</v>
      </c>
      <c r="BM108" s="69">
        <f t="shared" ca="1" si="93"/>
        <v>0</v>
      </c>
      <c r="BN108" s="69">
        <f t="shared" ca="1" si="93"/>
        <v>0</v>
      </c>
      <c r="BO108" s="69">
        <f t="shared" si="93"/>
        <v>0</v>
      </c>
      <c r="BP108" s="69">
        <f t="shared" ca="1" si="95"/>
        <v>0</v>
      </c>
      <c r="BQ108" s="69">
        <f t="shared" ca="1" si="107"/>
        <v>0</v>
      </c>
      <c r="BR108" s="69">
        <f t="shared" ca="1" si="96"/>
        <v>0</v>
      </c>
      <c r="BS108" s="69">
        <f ca="1">$AO108*IF(Auswahllisten!$G$150,BS$25+BS$25*BS$13*$AN108,BS$25*(1+BS$13)^$AN108)</f>
        <v>0</v>
      </c>
      <c r="BT108" s="69">
        <f ca="1">$AO108*IF(Auswahllisten!$G$150,BT$25+BT$25*BT$13*$AN108,BT$25*(1+BT$13)^$AN108)</f>
        <v>0</v>
      </c>
      <c r="BU108" s="69">
        <f ca="1">$AO108*IF(Auswahllisten!$G$150,BU$25+BU$25*BU$13*$AN108,BU$25*(1+BU$13)^$AN108)</f>
        <v>0</v>
      </c>
      <c r="BV108" s="69">
        <f ca="1">$AO108*IF(Auswahllisten!$G$150,BV$25+BV$25*BV$13*$AN108,BV$25*(1+BV$13)^$AN108)</f>
        <v>0</v>
      </c>
      <c r="BW108" s="69">
        <f t="shared" ca="1" si="108"/>
        <v>0</v>
      </c>
      <c r="BX108" s="69">
        <f t="shared" ca="1" si="109"/>
        <v>0</v>
      </c>
      <c r="BY108" s="69">
        <f t="shared" ca="1" si="97"/>
        <v>0</v>
      </c>
      <c r="BZ108" s="69">
        <f t="shared" ca="1" si="98"/>
        <v>0</v>
      </c>
    </row>
    <row r="109" spans="1:78">
      <c r="A109" s="304"/>
      <c r="B109" s="131" t="s">
        <v>672</v>
      </c>
      <c r="C109" s="131"/>
      <c r="D109" s="25" t="s">
        <v>175</v>
      </c>
      <c r="E109" s="162" cm="1">
        <f t="array" aca="1" ref="E109" ca="1">INDIRECT("Vergleich!"&amp;$G$2&amp;Z109)</f>
        <v>0</v>
      </c>
      <c r="G109" s="69"/>
      <c r="H109" s="69"/>
      <c r="J109" s="69"/>
      <c r="K109" s="69"/>
      <c r="M109" s="69"/>
      <c r="O109" s="25" t="s">
        <v>175</v>
      </c>
      <c r="P109" s="162" cm="1">
        <f t="array" aca="1" ref="P109" ca="1">INDIRECT("Vergleich!"&amp;$Y$2&amp;Z109)</f>
        <v>0</v>
      </c>
      <c r="R109" s="69"/>
      <c r="S109" s="69"/>
      <c r="U109" s="69"/>
      <c r="V109" s="69"/>
      <c r="X109" s="69"/>
      <c r="Z109" s="1">
        <v>65</v>
      </c>
      <c r="AB109" s="1">
        <v>-2</v>
      </c>
      <c r="AN109" s="1">
        <v>84</v>
      </c>
      <c r="AO109" s="1">
        <f t="shared" si="118"/>
        <v>0</v>
      </c>
      <c r="AP109" s="69">
        <f t="shared" ca="1" si="128"/>
        <v>0</v>
      </c>
      <c r="AQ109" s="69">
        <f t="shared" ca="1" si="128"/>
        <v>0</v>
      </c>
      <c r="AR109" s="69">
        <f t="shared" si="128"/>
        <v>0</v>
      </c>
      <c r="AS109" s="69">
        <f t="shared" ca="1" si="128"/>
        <v>0</v>
      </c>
      <c r="AT109" s="69">
        <f t="shared" ca="1" si="128"/>
        <v>0</v>
      </c>
      <c r="AU109" s="69">
        <f t="shared" ca="1" si="128"/>
        <v>0</v>
      </c>
      <c r="AV109" s="69">
        <f t="shared" si="128"/>
        <v>0</v>
      </c>
      <c r="AW109" s="69">
        <f t="shared" ca="1" si="119"/>
        <v>0</v>
      </c>
      <c r="AX109" s="69">
        <f t="shared" ca="1" si="100"/>
        <v>0</v>
      </c>
      <c r="AY109" s="69">
        <f t="shared" ca="1" si="120"/>
        <v>0</v>
      </c>
      <c r="AZ109" s="69">
        <f ca="1">$AO109*IF(Auswahllisten!$G$150,AZ$25+AZ$25*AZ$13*$AN109,AZ$25*(1+AZ$13)^$AN109)</f>
        <v>0</v>
      </c>
      <c r="BA109" s="69">
        <f ca="1">$AO109*IF(Auswahllisten!$G$150,BA$25+BA$25*BA$13*$AN109,BA$25*(1+BA$13)^$AN109)</f>
        <v>0</v>
      </c>
      <c r="BB109" s="69">
        <f ca="1">$AO109*IF(Auswahllisten!$G$150,BB$25+BB$25*BB$13*$AN109,BB$25*(1+BB$13)^$AN109)</f>
        <v>0</v>
      </c>
      <c r="BC109" s="69">
        <f ca="1">$AO109*IF(Auswahllisten!$G$150,BC$25+BC$25*BC$13*$AN109,BC$25*(1+BC$13)^$AN109)</f>
        <v>0</v>
      </c>
      <c r="BD109" s="69">
        <f t="shared" ca="1" si="102"/>
        <v>0</v>
      </c>
      <c r="BE109" s="69">
        <f t="shared" ca="1" si="121"/>
        <v>0</v>
      </c>
      <c r="BF109" s="69">
        <f t="shared" ca="1" si="122"/>
        <v>0</v>
      </c>
      <c r="BG109" s="69">
        <f t="shared" ca="1" si="105"/>
        <v>0</v>
      </c>
      <c r="BI109" s="69">
        <f t="shared" ca="1" si="106"/>
        <v>0</v>
      </c>
      <c r="BJ109" s="69">
        <f t="shared" ca="1" si="93"/>
        <v>0</v>
      </c>
      <c r="BK109" s="69">
        <f t="shared" si="93"/>
        <v>0</v>
      </c>
      <c r="BL109" s="69">
        <f t="shared" ca="1" si="93"/>
        <v>0</v>
      </c>
      <c r="BM109" s="69">
        <f t="shared" ca="1" si="93"/>
        <v>0</v>
      </c>
      <c r="BN109" s="69">
        <f t="shared" ca="1" si="93"/>
        <v>0</v>
      </c>
      <c r="BO109" s="69">
        <f t="shared" si="93"/>
        <v>0</v>
      </c>
      <c r="BP109" s="69">
        <f t="shared" ca="1" si="95"/>
        <v>0</v>
      </c>
      <c r="BQ109" s="69">
        <f t="shared" ca="1" si="107"/>
        <v>0</v>
      </c>
      <c r="BR109" s="69">
        <f t="shared" ca="1" si="96"/>
        <v>0</v>
      </c>
      <c r="BS109" s="69">
        <f ca="1">$AO109*IF(Auswahllisten!$G$150,BS$25+BS$25*BS$13*$AN109,BS$25*(1+BS$13)^$AN109)</f>
        <v>0</v>
      </c>
      <c r="BT109" s="69">
        <f ca="1">$AO109*IF(Auswahllisten!$G$150,BT$25+BT$25*BT$13*$AN109,BT$25*(1+BT$13)^$AN109)</f>
        <v>0</v>
      </c>
      <c r="BU109" s="69">
        <f ca="1">$AO109*IF(Auswahllisten!$G$150,BU$25+BU$25*BU$13*$AN109,BU$25*(1+BU$13)^$AN109)</f>
        <v>0</v>
      </c>
      <c r="BV109" s="69">
        <f ca="1">$AO109*IF(Auswahllisten!$G$150,BV$25+BV$25*BV$13*$AN109,BV$25*(1+BV$13)^$AN109)</f>
        <v>0</v>
      </c>
      <c r="BW109" s="69">
        <f t="shared" ca="1" si="108"/>
        <v>0</v>
      </c>
      <c r="BX109" s="69">
        <f t="shared" ca="1" si="109"/>
        <v>0</v>
      </c>
      <c r="BY109" s="69">
        <f t="shared" ca="1" si="97"/>
        <v>0</v>
      </c>
      <c r="BZ109" s="69">
        <f t="shared" ca="1" si="98"/>
        <v>0</v>
      </c>
    </row>
    <row r="110" spans="1:78">
      <c r="D110" s="69"/>
      <c r="M110" s="69"/>
      <c r="AB110" s="1">
        <v>-2</v>
      </c>
      <c r="AN110" s="1">
        <v>85</v>
      </c>
      <c r="AO110" s="1">
        <f t="shared" si="118"/>
        <v>0</v>
      </c>
      <c r="AP110" s="69">
        <f t="shared" ca="1" si="128"/>
        <v>0</v>
      </c>
      <c r="AQ110" s="69">
        <f t="shared" ca="1" si="128"/>
        <v>0</v>
      </c>
      <c r="AR110" s="69">
        <f t="shared" si="128"/>
        <v>0</v>
      </c>
      <c r="AS110" s="69">
        <f t="shared" ca="1" si="128"/>
        <v>0</v>
      </c>
      <c r="AT110" s="69">
        <f t="shared" ca="1" si="128"/>
        <v>0</v>
      </c>
      <c r="AU110" s="69">
        <f t="shared" ca="1" si="128"/>
        <v>0</v>
      </c>
      <c r="AV110" s="69">
        <f t="shared" si="128"/>
        <v>0</v>
      </c>
      <c r="AW110" s="69">
        <f t="shared" ca="1" si="119"/>
        <v>0</v>
      </c>
      <c r="AX110" s="69">
        <f t="shared" ca="1" si="100"/>
        <v>0</v>
      </c>
      <c r="AY110" s="69">
        <f t="shared" ca="1" si="120"/>
        <v>0</v>
      </c>
      <c r="AZ110" s="69">
        <f ca="1">$AO110*IF(Auswahllisten!$G$150,AZ$25+AZ$25*AZ$13*$AN110,AZ$25*(1+AZ$13)^$AN110)</f>
        <v>0</v>
      </c>
      <c r="BA110" s="69">
        <f ca="1">$AO110*IF(Auswahllisten!$G$150,BA$25+BA$25*BA$13*$AN110,BA$25*(1+BA$13)^$AN110)</f>
        <v>0</v>
      </c>
      <c r="BB110" s="69">
        <f ca="1">$AO110*IF(Auswahllisten!$G$150,BB$25+BB$25*BB$13*$AN110,BB$25*(1+BB$13)^$AN110)</f>
        <v>0</v>
      </c>
      <c r="BC110" s="69">
        <f ca="1">$AO110*IF(Auswahllisten!$G$150,BC$25+BC$25*BC$13*$AN110,BC$25*(1+BC$13)^$AN110)</f>
        <v>0</v>
      </c>
      <c r="BD110" s="69">
        <f t="shared" ca="1" si="102"/>
        <v>0</v>
      </c>
      <c r="BE110" s="69">
        <f t="shared" ca="1" si="121"/>
        <v>0</v>
      </c>
      <c r="BF110" s="69">
        <f t="shared" ca="1" si="122"/>
        <v>0</v>
      </c>
      <c r="BG110" s="69">
        <f t="shared" ca="1" si="105"/>
        <v>0</v>
      </c>
      <c r="BI110" s="69">
        <f t="shared" ca="1" si="106"/>
        <v>0</v>
      </c>
      <c r="BJ110" s="69">
        <f t="shared" ca="1" si="93"/>
        <v>0</v>
      </c>
      <c r="BK110" s="69">
        <f t="shared" si="93"/>
        <v>0</v>
      </c>
      <c r="BL110" s="69">
        <f t="shared" ca="1" si="93"/>
        <v>0</v>
      </c>
      <c r="BM110" s="69">
        <f t="shared" ca="1" si="93"/>
        <v>0</v>
      </c>
      <c r="BN110" s="69">
        <f t="shared" ca="1" si="93"/>
        <v>0</v>
      </c>
      <c r="BO110" s="69">
        <f t="shared" si="93"/>
        <v>0</v>
      </c>
      <c r="BP110" s="69">
        <f t="shared" ca="1" si="95"/>
        <v>0</v>
      </c>
      <c r="BQ110" s="69">
        <f t="shared" ca="1" si="107"/>
        <v>0</v>
      </c>
      <c r="BR110" s="69">
        <f t="shared" ca="1" si="96"/>
        <v>0</v>
      </c>
      <c r="BS110" s="69">
        <f ca="1">$AO110*IF(Auswahllisten!$G$150,BS$25+BS$25*BS$13*$AN110,BS$25*(1+BS$13)^$AN110)</f>
        <v>0</v>
      </c>
      <c r="BT110" s="69">
        <f ca="1">$AO110*IF(Auswahllisten!$G$150,BT$25+BT$25*BT$13*$AN110,BT$25*(1+BT$13)^$AN110)</f>
        <v>0</v>
      </c>
      <c r="BU110" s="69">
        <f ca="1">$AO110*IF(Auswahllisten!$G$150,BU$25+BU$25*BU$13*$AN110,BU$25*(1+BU$13)^$AN110)</f>
        <v>0</v>
      </c>
      <c r="BV110" s="69">
        <f ca="1">$AO110*IF(Auswahllisten!$G$150,BV$25+BV$25*BV$13*$AN110,BV$25*(1+BV$13)^$AN110)</f>
        <v>0</v>
      </c>
      <c r="BW110" s="69">
        <f t="shared" ca="1" si="108"/>
        <v>0</v>
      </c>
      <c r="BX110" s="69">
        <f t="shared" ca="1" si="109"/>
        <v>0</v>
      </c>
      <c r="BY110" s="69">
        <f t="shared" ca="1" si="97"/>
        <v>0</v>
      </c>
      <c r="BZ110" s="69">
        <f t="shared" ca="1" si="98"/>
        <v>0</v>
      </c>
    </row>
    <row r="111" spans="1:78">
      <c r="A111" s="125"/>
      <c r="B111" s="125" t="s">
        <v>1004</v>
      </c>
      <c r="C111" s="64"/>
      <c r="D111" s="393"/>
      <c r="E111" s="394"/>
      <c r="F111" s="394"/>
      <c r="G111" s="394"/>
      <c r="H111" s="394"/>
      <c r="I111" s="394"/>
      <c r="J111" s="394"/>
      <c r="K111" s="394"/>
      <c r="L111" s="394"/>
      <c r="M111" s="393"/>
      <c r="AB111" s="1">
        <v>-2</v>
      </c>
      <c r="AN111" s="1">
        <v>86</v>
      </c>
      <c r="AO111" s="1">
        <f t="shared" si="118"/>
        <v>0</v>
      </c>
      <c r="AP111" s="69">
        <f t="shared" ca="1" si="128"/>
        <v>0</v>
      </c>
      <c r="AQ111" s="69">
        <f t="shared" ca="1" si="128"/>
        <v>0</v>
      </c>
      <c r="AR111" s="69">
        <f t="shared" si="128"/>
        <v>0</v>
      </c>
      <c r="AS111" s="69">
        <f t="shared" ca="1" si="128"/>
        <v>0</v>
      </c>
      <c r="AT111" s="69">
        <f t="shared" ca="1" si="128"/>
        <v>0</v>
      </c>
      <c r="AU111" s="69">
        <f t="shared" ca="1" si="128"/>
        <v>0</v>
      </c>
      <c r="AV111" s="69">
        <f t="shared" si="128"/>
        <v>0</v>
      </c>
      <c r="AW111" s="69">
        <f t="shared" ca="1" si="119"/>
        <v>0</v>
      </c>
      <c r="AX111" s="69">
        <f t="shared" ca="1" si="100"/>
        <v>0</v>
      </c>
      <c r="AY111" s="69">
        <f t="shared" ca="1" si="120"/>
        <v>0</v>
      </c>
      <c r="AZ111" s="69">
        <f ca="1">$AO111*IF(Auswahllisten!$G$150,AZ$25+AZ$25*AZ$13*$AN111,AZ$25*(1+AZ$13)^$AN111)</f>
        <v>0</v>
      </c>
      <c r="BA111" s="69">
        <f ca="1">$AO111*IF(Auswahllisten!$G$150,BA$25+BA$25*BA$13*$AN111,BA$25*(1+BA$13)^$AN111)</f>
        <v>0</v>
      </c>
      <c r="BB111" s="69">
        <f ca="1">$AO111*IF(Auswahllisten!$G$150,BB$25+BB$25*BB$13*$AN111,BB$25*(1+BB$13)^$AN111)</f>
        <v>0</v>
      </c>
      <c r="BC111" s="69">
        <f ca="1">$AO111*IF(Auswahllisten!$G$150,BC$25+BC$25*BC$13*$AN111,BC$25*(1+BC$13)^$AN111)</f>
        <v>0</v>
      </c>
      <c r="BD111" s="69">
        <f t="shared" ca="1" si="102"/>
        <v>0</v>
      </c>
      <c r="BE111" s="69">
        <f t="shared" ca="1" si="121"/>
        <v>0</v>
      </c>
      <c r="BF111" s="69">
        <f t="shared" ca="1" si="122"/>
        <v>0</v>
      </c>
      <c r="BG111" s="69">
        <f t="shared" ca="1" si="105"/>
        <v>0</v>
      </c>
      <c r="BI111" s="69">
        <f t="shared" ca="1" si="106"/>
        <v>0</v>
      </c>
      <c r="BJ111" s="69">
        <f t="shared" ca="1" si="93"/>
        <v>0</v>
      </c>
      <c r="BK111" s="69">
        <f t="shared" si="93"/>
        <v>0</v>
      </c>
      <c r="BL111" s="69">
        <f t="shared" ca="1" si="93"/>
        <v>0</v>
      </c>
      <c r="BM111" s="69">
        <f t="shared" ca="1" si="93"/>
        <v>0</v>
      </c>
      <c r="BN111" s="69">
        <f t="shared" ca="1" si="93"/>
        <v>0</v>
      </c>
      <c r="BO111" s="69">
        <f t="shared" si="93"/>
        <v>0</v>
      </c>
      <c r="BP111" s="69">
        <f t="shared" ca="1" si="95"/>
        <v>0</v>
      </c>
      <c r="BQ111" s="69">
        <f t="shared" ca="1" si="107"/>
        <v>0</v>
      </c>
      <c r="BR111" s="69">
        <f t="shared" ca="1" si="96"/>
        <v>0</v>
      </c>
      <c r="BS111" s="69">
        <f ca="1">$AO111*IF(Auswahllisten!$G$150,BS$25+BS$25*BS$13*$AN111,BS$25*(1+BS$13)^$AN111)</f>
        <v>0</v>
      </c>
      <c r="BT111" s="69">
        <f ca="1">$AO111*IF(Auswahllisten!$G$150,BT$25+BT$25*BT$13*$AN111,BT$25*(1+BT$13)^$AN111)</f>
        <v>0</v>
      </c>
      <c r="BU111" s="69">
        <f ca="1">$AO111*IF(Auswahllisten!$G$150,BU$25+BU$25*BU$13*$AN111,BU$25*(1+BU$13)^$AN111)</f>
        <v>0</v>
      </c>
      <c r="BV111" s="69">
        <f ca="1">$AO111*IF(Auswahllisten!$G$150,BV$25+BV$25*BV$13*$AN111,BV$25*(1+BV$13)^$AN111)</f>
        <v>0</v>
      </c>
      <c r="BW111" s="69">
        <f t="shared" ca="1" si="108"/>
        <v>0</v>
      </c>
      <c r="BX111" s="69">
        <f t="shared" ca="1" si="109"/>
        <v>0</v>
      </c>
      <c r="BY111" s="69">
        <f t="shared" ca="1" si="97"/>
        <v>0</v>
      </c>
      <c r="BZ111" s="69">
        <f t="shared" ca="1" si="98"/>
        <v>0</v>
      </c>
    </row>
    <row r="112" spans="1:78">
      <c r="A112" s="304" t="s">
        <v>1248</v>
      </c>
      <c r="B112" s="131" t="s">
        <v>1249</v>
      </c>
      <c r="C112" s="131" t="s">
        <v>942</v>
      </c>
      <c r="D112" s="162" t="str" cm="1">
        <f t="array" aca="1" ref="D112" ca="1">INDIRECT("Vergleich!"&amp;$G$2&amp;Z112)</f>
        <v>mittel</v>
      </c>
      <c r="E112" s="162" cm="1">
        <f t="array" aca="1" ref="E112" ca="1">INDIRECT("Investition_gewählt!"&amp;$I$5&amp;AA112)</f>
        <v>1050</v>
      </c>
      <c r="F112" s="25" cm="1">
        <f t="array" aca="1" ref="F112" ca="1">IF($C$5=0,0,INDEX(Faktoren!E95:GQ95,1,VLOOKUP($F$5,$L$2:$O$14,4,FALSE)+$C$9*5+VLOOKUP(D112,Auswahllisten!$E$25:$F$29,2,FALSE)))</f>
        <v>0</v>
      </c>
      <c r="G112" s="25">
        <f ca="1">E112*F112</f>
        <v>0</v>
      </c>
      <c r="H112" s="25" cm="1">
        <f t="array" aca="1" ref="H112" ca="1">INDIRECT("Investition_gewählt!"&amp;$I$6&amp;AA112)</f>
        <v>1050</v>
      </c>
      <c r="I112" s="25" cm="1">
        <f t="array" aca="1" ref="I112" ca="1">IF($C$5=0,0,INDEX(Faktoren!E95:GQ95,1,VLOOKUP($F$6,$L$2:$O$14,4,FALSE)+$C$9*5+VLOOKUP(D112,Auswahllisten!$E$25:$F$29,2,FALSE)))</f>
        <v>0</v>
      </c>
      <c r="J112" s="25">
        <f ca="1">H112*I112</f>
        <v>0</v>
      </c>
      <c r="K112" s="25">
        <f t="shared" ca="1" si="112"/>
        <v>0</v>
      </c>
      <c r="L112" s="25">
        <v>1</v>
      </c>
      <c r="M112" s="162">
        <f ca="1">IFERROR(ROUND(K112*L112,AB112),0)</f>
        <v>0</v>
      </c>
      <c r="Z112" s="1">
        <v>71</v>
      </c>
      <c r="AA112" s="1">
        <v>95</v>
      </c>
      <c r="AB112" s="1">
        <v>-2</v>
      </c>
      <c r="AN112" s="1">
        <v>87</v>
      </c>
      <c r="AO112" s="1">
        <f t="shared" si="118"/>
        <v>0</v>
      </c>
      <c r="AP112" s="69">
        <f t="shared" ca="1" si="128"/>
        <v>0</v>
      </c>
      <c r="AQ112" s="69">
        <f t="shared" ca="1" si="128"/>
        <v>0</v>
      </c>
      <c r="AR112" s="69">
        <f t="shared" si="128"/>
        <v>0</v>
      </c>
      <c r="AS112" s="69">
        <f t="shared" ca="1" si="128"/>
        <v>0</v>
      </c>
      <c r="AT112" s="69">
        <f t="shared" ca="1" si="128"/>
        <v>0</v>
      </c>
      <c r="AU112" s="69">
        <f t="shared" ca="1" si="128"/>
        <v>0</v>
      </c>
      <c r="AV112" s="69">
        <f t="shared" si="128"/>
        <v>0</v>
      </c>
      <c r="AW112" s="69">
        <f t="shared" ca="1" si="119"/>
        <v>0</v>
      </c>
      <c r="AX112" s="69">
        <f t="shared" ca="1" si="100"/>
        <v>0</v>
      </c>
      <c r="AY112" s="69">
        <f t="shared" ca="1" si="120"/>
        <v>0</v>
      </c>
      <c r="AZ112" s="69">
        <f ca="1">$AO112*IF(Auswahllisten!$G$150,AZ$25+AZ$25*AZ$13*$AN112,AZ$25*(1+AZ$13)^$AN112)</f>
        <v>0</v>
      </c>
      <c r="BA112" s="69">
        <f ca="1">$AO112*IF(Auswahllisten!$G$150,BA$25+BA$25*BA$13*$AN112,BA$25*(1+BA$13)^$AN112)</f>
        <v>0</v>
      </c>
      <c r="BB112" s="69">
        <f ca="1">$AO112*IF(Auswahllisten!$G$150,BB$25+BB$25*BB$13*$AN112,BB$25*(1+BB$13)^$AN112)</f>
        <v>0</v>
      </c>
      <c r="BC112" s="69">
        <f ca="1">$AO112*IF(Auswahllisten!$G$150,BC$25+BC$25*BC$13*$AN112,BC$25*(1+BC$13)^$AN112)</f>
        <v>0</v>
      </c>
      <c r="BD112" s="69">
        <f t="shared" ca="1" si="102"/>
        <v>0</v>
      </c>
      <c r="BE112" s="69">
        <f t="shared" ca="1" si="121"/>
        <v>0</v>
      </c>
      <c r="BF112" s="69">
        <f t="shared" ca="1" si="122"/>
        <v>0</v>
      </c>
      <c r="BG112" s="69">
        <f t="shared" ca="1" si="105"/>
        <v>0</v>
      </c>
      <c r="BI112" s="69">
        <f t="shared" ca="1" si="106"/>
        <v>0</v>
      </c>
      <c r="BJ112" s="69">
        <f t="shared" ca="1" si="93"/>
        <v>0</v>
      </c>
      <c r="BK112" s="69">
        <f t="shared" si="93"/>
        <v>0</v>
      </c>
      <c r="BL112" s="69">
        <f t="shared" ca="1" si="93"/>
        <v>0</v>
      </c>
      <c r="BM112" s="69">
        <f t="shared" ca="1" si="93"/>
        <v>0</v>
      </c>
      <c r="BN112" s="69">
        <f t="shared" ca="1" si="93"/>
        <v>0</v>
      </c>
      <c r="BO112" s="69">
        <f t="shared" si="93"/>
        <v>0</v>
      </c>
      <c r="BP112" s="69">
        <f t="shared" ca="1" si="95"/>
        <v>0</v>
      </c>
      <c r="BQ112" s="69">
        <f t="shared" ca="1" si="107"/>
        <v>0</v>
      </c>
      <c r="BR112" s="69">
        <f t="shared" ca="1" si="96"/>
        <v>0</v>
      </c>
      <c r="BS112" s="69">
        <f ca="1">$AO112*IF(Auswahllisten!$G$150,BS$25+BS$25*BS$13*$AN112,BS$25*(1+BS$13)^$AN112)</f>
        <v>0</v>
      </c>
      <c r="BT112" s="69">
        <f ca="1">$AO112*IF(Auswahllisten!$G$150,BT$25+BT$25*BT$13*$AN112,BT$25*(1+BT$13)^$AN112)</f>
        <v>0</v>
      </c>
      <c r="BU112" s="69">
        <f ca="1">$AO112*IF(Auswahllisten!$G$150,BU$25+BU$25*BU$13*$AN112,BU$25*(1+BU$13)^$AN112)</f>
        <v>0</v>
      </c>
      <c r="BV112" s="69">
        <f ca="1">$AO112*IF(Auswahllisten!$G$150,BV$25+BV$25*BV$13*$AN112,BV$25*(1+BV$13)^$AN112)</f>
        <v>0</v>
      </c>
      <c r="BW112" s="69">
        <f t="shared" ca="1" si="108"/>
        <v>0</v>
      </c>
      <c r="BX112" s="69">
        <f t="shared" ca="1" si="109"/>
        <v>0</v>
      </c>
      <c r="BY112" s="69">
        <f t="shared" ca="1" si="97"/>
        <v>0</v>
      </c>
      <c r="BZ112" s="69">
        <f t="shared" ca="1" si="98"/>
        <v>0</v>
      </c>
    </row>
    <row r="113" spans="1:78">
      <c r="A113" s="82" t="s">
        <v>1248</v>
      </c>
      <c r="B113" s="64" t="s">
        <v>1249</v>
      </c>
      <c r="C113" s="134" t="s">
        <v>943</v>
      </c>
      <c r="D113" s="163" t="str" cm="1">
        <f t="array" aca="1" ref="D113" ca="1">INDIRECT("Vergleich!"&amp;$G$2&amp;Z113)</f>
        <v>mittel</v>
      </c>
      <c r="E113" s="163" cm="1">
        <f t="array" aca="1" ref="E113" ca="1">INDIRECT("Investition_gewählt!"&amp;$I$5&amp;AA113)</f>
        <v>1400</v>
      </c>
      <c r="F113" s="61" cm="1">
        <f t="array" aca="1" ref="F113" ca="1">IF($C$5=0,0,INDEX(Faktoren!E96:GQ96,1,VLOOKUP($F$5,$L$2:$O$14,4,FALSE)+$C$9*5+VLOOKUP(D113,Auswahllisten!$E$25:$F$29,2,FALSE)))</f>
        <v>0</v>
      </c>
      <c r="G113" s="61">
        <f ca="1">E113*F113</f>
        <v>0</v>
      </c>
      <c r="H113" s="60" cm="1">
        <f t="array" aca="1" ref="H113" ca="1">INDIRECT("Investition_gewählt!"&amp;$I$6&amp;AA113)</f>
        <v>1400</v>
      </c>
      <c r="I113" s="61" cm="1">
        <f t="array" aca="1" ref="I113" ca="1">IF($C$5=0,0,INDEX(Faktoren!E96:GQ96,1,VLOOKUP($F$6,$L$2:$O$14,4,FALSE)+$C$9*5+VLOOKUP(D113,Auswahllisten!$E$25:$F$29,2,FALSE)))</f>
        <v>0</v>
      </c>
      <c r="J113" s="61">
        <f ca="1">H113*I113</f>
        <v>0</v>
      </c>
      <c r="K113" s="93">
        <f t="shared" ca="1" si="112"/>
        <v>0</v>
      </c>
      <c r="L113" s="93">
        <f ca="1">($C$5=1)+(C5=3)+(C5=4)</f>
        <v>0</v>
      </c>
      <c r="M113" s="163">
        <f t="shared" ref="M113:M134" ca="1" si="134">IFERROR(ROUND(K113*L113,AB113),0)</f>
        <v>0</v>
      </c>
      <c r="Z113" s="1">
        <v>72</v>
      </c>
      <c r="AA113" s="1">
        <v>96</v>
      </c>
      <c r="AB113" s="1">
        <v>-2</v>
      </c>
      <c r="AN113" s="1">
        <v>88</v>
      </c>
      <c r="AO113" s="1">
        <f t="shared" si="118"/>
        <v>0</v>
      </c>
      <c r="AP113" s="69">
        <f t="shared" ca="1" si="128"/>
        <v>0</v>
      </c>
      <c r="AQ113" s="69">
        <f t="shared" ca="1" si="128"/>
        <v>0</v>
      </c>
      <c r="AR113" s="69">
        <f t="shared" si="128"/>
        <v>0</v>
      </c>
      <c r="AS113" s="69">
        <f t="shared" ca="1" si="128"/>
        <v>0</v>
      </c>
      <c r="AT113" s="69">
        <f t="shared" ca="1" si="128"/>
        <v>0</v>
      </c>
      <c r="AU113" s="69">
        <f t="shared" ca="1" si="128"/>
        <v>0</v>
      </c>
      <c r="AV113" s="69">
        <f t="shared" si="128"/>
        <v>0</v>
      </c>
      <c r="AW113" s="69">
        <f t="shared" ca="1" si="119"/>
        <v>0</v>
      </c>
      <c r="AX113" s="69">
        <f t="shared" ca="1" si="100"/>
        <v>0</v>
      </c>
      <c r="AY113" s="69">
        <f t="shared" ca="1" si="120"/>
        <v>0</v>
      </c>
      <c r="AZ113" s="69">
        <f ca="1">$AO113*IF(Auswahllisten!$G$150,AZ$25+AZ$25*AZ$13*$AN113,AZ$25*(1+AZ$13)^$AN113)</f>
        <v>0</v>
      </c>
      <c r="BA113" s="69">
        <f ca="1">$AO113*IF(Auswahllisten!$G$150,BA$25+BA$25*BA$13*$AN113,BA$25*(1+BA$13)^$AN113)</f>
        <v>0</v>
      </c>
      <c r="BB113" s="69">
        <f ca="1">$AO113*IF(Auswahllisten!$G$150,BB$25+BB$25*BB$13*$AN113,BB$25*(1+BB$13)^$AN113)</f>
        <v>0</v>
      </c>
      <c r="BC113" s="69">
        <f ca="1">$AO113*IF(Auswahllisten!$G$150,BC$25+BC$25*BC$13*$AN113,BC$25*(1+BC$13)^$AN113)</f>
        <v>0</v>
      </c>
      <c r="BD113" s="69">
        <f t="shared" ca="1" si="102"/>
        <v>0</v>
      </c>
      <c r="BE113" s="69">
        <f t="shared" ca="1" si="121"/>
        <v>0</v>
      </c>
      <c r="BF113" s="69">
        <f t="shared" ca="1" si="122"/>
        <v>0</v>
      </c>
      <c r="BG113" s="69">
        <f t="shared" ca="1" si="105"/>
        <v>0</v>
      </c>
      <c r="BI113" s="69">
        <f t="shared" ca="1" si="106"/>
        <v>0</v>
      </c>
      <c r="BJ113" s="69">
        <f t="shared" ca="1" si="93"/>
        <v>0</v>
      </c>
      <c r="BK113" s="69">
        <f t="shared" si="93"/>
        <v>0</v>
      </c>
      <c r="BL113" s="69">
        <f t="shared" ca="1" si="93"/>
        <v>0</v>
      </c>
      <c r="BM113" s="69">
        <f t="shared" ca="1" si="93"/>
        <v>0</v>
      </c>
      <c r="BN113" s="69">
        <f t="shared" ca="1" si="93"/>
        <v>0</v>
      </c>
      <c r="BO113" s="69">
        <f t="shared" si="93"/>
        <v>0</v>
      </c>
      <c r="BP113" s="69">
        <f t="shared" ca="1" si="95"/>
        <v>0</v>
      </c>
      <c r="BQ113" s="69">
        <f t="shared" ca="1" si="107"/>
        <v>0</v>
      </c>
      <c r="BR113" s="69">
        <f t="shared" ca="1" si="96"/>
        <v>0</v>
      </c>
      <c r="BS113" s="69">
        <f ca="1">$AO113*IF(Auswahllisten!$G$150,BS$25+BS$25*BS$13*$AN113,BS$25*(1+BS$13)^$AN113)</f>
        <v>0</v>
      </c>
      <c r="BT113" s="69">
        <f ca="1">$AO113*IF(Auswahllisten!$G$150,BT$25+BT$25*BT$13*$AN113,BT$25*(1+BT$13)^$AN113)</f>
        <v>0</v>
      </c>
      <c r="BU113" s="69">
        <f ca="1">$AO113*IF(Auswahllisten!$G$150,BU$25+BU$25*BU$13*$AN113,BU$25*(1+BU$13)^$AN113)</f>
        <v>0</v>
      </c>
      <c r="BV113" s="69">
        <f ca="1">$AO113*IF(Auswahllisten!$G$150,BV$25+BV$25*BV$13*$AN113,BV$25*(1+BV$13)^$AN113)</f>
        <v>0</v>
      </c>
      <c r="BW113" s="69">
        <f t="shared" ca="1" si="108"/>
        <v>0</v>
      </c>
      <c r="BX113" s="69">
        <f t="shared" ca="1" si="109"/>
        <v>0</v>
      </c>
      <c r="BY113" s="69">
        <f t="shared" ca="1" si="97"/>
        <v>0</v>
      </c>
      <c r="BZ113" s="69">
        <f t="shared" ca="1" si="98"/>
        <v>0</v>
      </c>
    </row>
    <row r="114" spans="1:78">
      <c r="A114" s="125"/>
      <c r="B114" s="64"/>
      <c r="C114" s="64"/>
      <c r="D114" s="69"/>
      <c r="M114" s="69"/>
      <c r="AA114" s="1">
        <v>97</v>
      </c>
      <c r="AB114" s="1">
        <v>-2</v>
      </c>
      <c r="AN114" s="1">
        <v>89</v>
      </c>
      <c r="AO114" s="1">
        <f t="shared" si="118"/>
        <v>0</v>
      </c>
      <c r="AP114" s="69">
        <f t="shared" ca="1" si="128"/>
        <v>0</v>
      </c>
      <c r="AQ114" s="69">
        <f t="shared" ca="1" si="128"/>
        <v>0</v>
      </c>
      <c r="AR114" s="69">
        <f t="shared" si="128"/>
        <v>0</v>
      </c>
      <c r="AS114" s="69">
        <f t="shared" ca="1" si="128"/>
        <v>0</v>
      </c>
      <c r="AT114" s="69">
        <f t="shared" ca="1" si="128"/>
        <v>0</v>
      </c>
      <c r="AU114" s="69">
        <f t="shared" ca="1" si="128"/>
        <v>0</v>
      </c>
      <c r="AV114" s="69">
        <f t="shared" si="128"/>
        <v>0</v>
      </c>
      <c r="AW114" s="69">
        <f t="shared" ca="1" si="119"/>
        <v>0</v>
      </c>
      <c r="AX114" s="69">
        <f t="shared" ca="1" si="100"/>
        <v>0</v>
      </c>
      <c r="AY114" s="69">
        <f t="shared" ca="1" si="120"/>
        <v>0</v>
      </c>
      <c r="AZ114" s="69">
        <f ca="1">$AO114*IF(Auswahllisten!$G$150,AZ$25+AZ$25*AZ$13*$AN114,AZ$25*(1+AZ$13)^$AN114)</f>
        <v>0</v>
      </c>
      <c r="BA114" s="69">
        <f ca="1">$AO114*IF(Auswahllisten!$G$150,BA$25+BA$25*BA$13*$AN114,BA$25*(1+BA$13)^$AN114)</f>
        <v>0</v>
      </c>
      <c r="BB114" s="69">
        <f ca="1">$AO114*IF(Auswahllisten!$G$150,BB$25+BB$25*BB$13*$AN114,BB$25*(1+BB$13)^$AN114)</f>
        <v>0</v>
      </c>
      <c r="BC114" s="69">
        <f ca="1">$AO114*IF(Auswahllisten!$G$150,BC$25+BC$25*BC$13*$AN114,BC$25*(1+BC$13)^$AN114)</f>
        <v>0</v>
      </c>
      <c r="BD114" s="69">
        <f t="shared" ca="1" si="102"/>
        <v>0</v>
      </c>
      <c r="BE114" s="69">
        <f t="shared" ca="1" si="121"/>
        <v>0</v>
      </c>
      <c r="BF114" s="69">
        <f t="shared" ca="1" si="122"/>
        <v>0</v>
      </c>
      <c r="BG114" s="69">
        <f t="shared" ca="1" si="105"/>
        <v>0</v>
      </c>
      <c r="BI114" s="69">
        <f t="shared" ca="1" si="106"/>
        <v>0</v>
      </c>
      <c r="BJ114" s="69">
        <f t="shared" ca="1" si="93"/>
        <v>0</v>
      </c>
      <c r="BK114" s="69">
        <f t="shared" si="93"/>
        <v>0</v>
      </c>
      <c r="BL114" s="69">
        <f t="shared" ca="1" si="93"/>
        <v>0</v>
      </c>
      <c r="BM114" s="69">
        <f t="shared" ca="1" si="93"/>
        <v>0</v>
      </c>
      <c r="BN114" s="69">
        <f t="shared" ca="1" si="93"/>
        <v>0</v>
      </c>
      <c r="BO114" s="69">
        <f t="shared" si="93"/>
        <v>0</v>
      </c>
      <c r="BP114" s="69">
        <f t="shared" ca="1" si="95"/>
        <v>0</v>
      </c>
      <c r="BQ114" s="69">
        <f t="shared" ca="1" si="107"/>
        <v>0</v>
      </c>
      <c r="BR114" s="69">
        <f t="shared" ca="1" si="96"/>
        <v>0</v>
      </c>
      <c r="BS114" s="69">
        <f ca="1">$AO114*IF(Auswahllisten!$G$150,BS$25+BS$25*BS$13*$AN114,BS$25*(1+BS$13)^$AN114)</f>
        <v>0</v>
      </c>
      <c r="BT114" s="69">
        <f ca="1">$AO114*IF(Auswahllisten!$G$150,BT$25+BT$25*BT$13*$AN114,BT$25*(1+BT$13)^$AN114)</f>
        <v>0</v>
      </c>
      <c r="BU114" s="69">
        <f ca="1">$AO114*IF(Auswahllisten!$G$150,BU$25+BU$25*BU$13*$AN114,BU$25*(1+BU$13)^$AN114)</f>
        <v>0</v>
      </c>
      <c r="BV114" s="69">
        <f ca="1">$AO114*IF(Auswahllisten!$G$150,BV$25+BV$25*BV$13*$AN114,BV$25*(1+BV$13)^$AN114)</f>
        <v>0</v>
      </c>
      <c r="BW114" s="69">
        <f t="shared" ca="1" si="108"/>
        <v>0</v>
      </c>
      <c r="BX114" s="69">
        <f t="shared" ca="1" si="109"/>
        <v>0</v>
      </c>
      <c r="BY114" s="69">
        <f t="shared" ca="1" si="97"/>
        <v>0</v>
      </c>
      <c r="BZ114" s="69">
        <f t="shared" ca="1" si="98"/>
        <v>0</v>
      </c>
    </row>
    <row r="115" spans="1:78">
      <c r="A115" s="125"/>
      <c r="B115" s="125" t="s">
        <v>1009</v>
      </c>
      <c r="C115" s="64"/>
      <c r="D115" s="69"/>
      <c r="M115" s="69"/>
      <c r="AA115" s="1">
        <v>98</v>
      </c>
      <c r="AB115" s="1">
        <v>-2</v>
      </c>
      <c r="AN115" s="1">
        <v>90</v>
      </c>
      <c r="AO115" s="1">
        <f t="shared" si="118"/>
        <v>0</v>
      </c>
      <c r="AP115" s="69">
        <f t="shared" ca="1" si="128"/>
        <v>0</v>
      </c>
      <c r="AQ115" s="69">
        <f t="shared" ca="1" si="128"/>
        <v>0</v>
      </c>
      <c r="AR115" s="69">
        <f t="shared" si="128"/>
        <v>0</v>
      </c>
      <c r="AS115" s="69">
        <f t="shared" ca="1" si="128"/>
        <v>0</v>
      </c>
      <c r="AT115" s="69">
        <f t="shared" ca="1" si="128"/>
        <v>0</v>
      </c>
      <c r="AU115" s="69">
        <f t="shared" ca="1" si="128"/>
        <v>0</v>
      </c>
      <c r="AV115" s="69">
        <f t="shared" si="128"/>
        <v>0</v>
      </c>
      <c r="AW115" s="69">
        <f t="shared" ca="1" si="119"/>
        <v>0</v>
      </c>
      <c r="AX115" s="69">
        <f t="shared" ca="1" si="100"/>
        <v>0</v>
      </c>
      <c r="AY115" s="69">
        <f t="shared" ca="1" si="120"/>
        <v>0</v>
      </c>
      <c r="AZ115" s="69">
        <f ca="1">$AO115*IF(Auswahllisten!$G$150,AZ$25+AZ$25*AZ$13*$AN115,AZ$25*(1+AZ$13)^$AN115)</f>
        <v>0</v>
      </c>
      <c r="BA115" s="69">
        <f ca="1">$AO115*IF(Auswahllisten!$G$150,BA$25+BA$25*BA$13*$AN115,BA$25*(1+BA$13)^$AN115)</f>
        <v>0</v>
      </c>
      <c r="BB115" s="69">
        <f ca="1">$AO115*IF(Auswahllisten!$G$150,BB$25+BB$25*BB$13*$AN115,BB$25*(1+BB$13)^$AN115)</f>
        <v>0</v>
      </c>
      <c r="BC115" s="69">
        <f ca="1">$AO115*IF(Auswahllisten!$G$150,BC$25+BC$25*BC$13*$AN115,BC$25*(1+BC$13)^$AN115)</f>
        <v>0</v>
      </c>
      <c r="BD115" s="69">
        <f t="shared" ca="1" si="102"/>
        <v>0</v>
      </c>
      <c r="BE115" s="69">
        <f t="shared" ca="1" si="121"/>
        <v>0</v>
      </c>
      <c r="BF115" s="69">
        <f t="shared" ca="1" si="122"/>
        <v>0</v>
      </c>
      <c r="BG115" s="69">
        <f t="shared" ca="1" si="105"/>
        <v>0</v>
      </c>
      <c r="BI115" s="69">
        <f t="shared" ca="1" si="106"/>
        <v>0</v>
      </c>
      <c r="BJ115" s="69">
        <f t="shared" ca="1" si="93"/>
        <v>0</v>
      </c>
      <c r="BK115" s="69">
        <f t="shared" si="93"/>
        <v>0</v>
      </c>
      <c r="BL115" s="69">
        <f t="shared" ca="1" si="93"/>
        <v>0</v>
      </c>
      <c r="BM115" s="69">
        <f t="shared" ca="1" si="93"/>
        <v>0</v>
      </c>
      <c r="BN115" s="69">
        <f t="shared" ca="1" si="93"/>
        <v>0</v>
      </c>
      <c r="BO115" s="69">
        <f t="shared" si="93"/>
        <v>0</v>
      </c>
      <c r="BP115" s="69">
        <f t="shared" ca="1" si="95"/>
        <v>0</v>
      </c>
      <c r="BQ115" s="69">
        <f t="shared" ca="1" si="107"/>
        <v>0</v>
      </c>
      <c r="BR115" s="69">
        <f t="shared" ca="1" si="96"/>
        <v>0</v>
      </c>
      <c r="BS115" s="69">
        <f ca="1">$AO115*IF(Auswahllisten!$G$150,BS$25+BS$25*BS$13*$AN115,BS$25*(1+BS$13)^$AN115)</f>
        <v>0</v>
      </c>
      <c r="BT115" s="69">
        <f ca="1">$AO115*IF(Auswahllisten!$G$150,BT$25+BT$25*BT$13*$AN115,BT$25*(1+BT$13)^$AN115)</f>
        <v>0</v>
      </c>
      <c r="BU115" s="69">
        <f ca="1">$AO115*IF(Auswahllisten!$G$150,BU$25+BU$25*BU$13*$AN115,BU$25*(1+BU$13)^$AN115)</f>
        <v>0</v>
      </c>
      <c r="BV115" s="69">
        <f ca="1">$AO115*IF(Auswahllisten!$G$150,BV$25+BV$25*BV$13*$AN115,BV$25*(1+BV$13)^$AN115)</f>
        <v>0</v>
      </c>
      <c r="BW115" s="69">
        <f t="shared" ca="1" si="108"/>
        <v>0</v>
      </c>
      <c r="BX115" s="69">
        <f t="shared" ca="1" si="109"/>
        <v>0</v>
      </c>
      <c r="BY115" s="69">
        <f t="shared" ca="1" si="97"/>
        <v>0</v>
      </c>
      <c r="BZ115" s="69">
        <f t="shared" ca="1" si="98"/>
        <v>0</v>
      </c>
    </row>
    <row r="116" spans="1:78">
      <c r="A116" s="304" t="s">
        <v>1225</v>
      </c>
      <c r="B116" s="131" t="s">
        <v>1250</v>
      </c>
      <c r="C116" s="131" t="s">
        <v>944</v>
      </c>
      <c r="D116" s="162" t="str" cm="1">
        <f t="array" aca="1" ref="D116" ca="1">INDIRECT("Vergleich!"&amp;$G$2&amp;Z116)</f>
        <v>mittel</v>
      </c>
      <c r="E116" s="162" cm="1">
        <f t="array" aca="1" ref="E116" ca="1">INDIRECT("Investition_gewählt!"&amp;$I$5&amp;AA116)</f>
        <v>3500</v>
      </c>
      <c r="F116" s="25" cm="1">
        <f t="array" aca="1" ref="F116" ca="1">IF($C$5=0,0,INDEX(Faktoren!E99:GQ99,1,VLOOKUP($F$5,$L$2:$O$14,4,FALSE)+$C$9*5+VLOOKUP(D116,Auswahllisten!$E$25:$F$29,2,FALSE)))</f>
        <v>0</v>
      </c>
      <c r="G116" s="162">
        <f t="shared" ref="G116:G134" ca="1" si="135">E116*F116</f>
        <v>0</v>
      </c>
      <c r="H116" s="162" cm="1">
        <f t="array" aca="1" ref="H116" ca="1">INDIRECT("Investition_gewählt!"&amp;$I$6&amp;AA116)</f>
        <v>3500</v>
      </c>
      <c r="I116" s="25" cm="1">
        <f t="array" aca="1" ref="I116" ca="1">IF($C$5=0,0,INDEX(Faktoren!E99:GQ99,1,VLOOKUP($F$6,$L$2:$O$14,4,FALSE)+$C$9*5+VLOOKUP(D116,Auswahllisten!$E$25:$F$29,2,FALSE)))</f>
        <v>0</v>
      </c>
      <c r="J116" s="162">
        <f t="shared" ref="J116:J134" ca="1" si="136">H116*I116</f>
        <v>0</v>
      </c>
      <c r="K116" s="162">
        <f t="shared" ca="1" si="112"/>
        <v>0</v>
      </c>
      <c r="L116" s="162">
        <v>1</v>
      </c>
      <c r="M116" s="162">
        <f t="shared" ca="1" si="134"/>
        <v>0</v>
      </c>
      <c r="Z116" s="1">
        <v>73</v>
      </c>
      <c r="AA116" s="1">
        <v>99</v>
      </c>
      <c r="AB116" s="1">
        <v>-2</v>
      </c>
      <c r="AN116" s="1">
        <v>91</v>
      </c>
      <c r="AO116" s="1">
        <f t="shared" si="118"/>
        <v>0</v>
      </c>
      <c r="AP116" s="69">
        <f t="shared" ca="1" si="128"/>
        <v>0</v>
      </c>
      <c r="AQ116" s="69">
        <f t="shared" ca="1" si="128"/>
        <v>0</v>
      </c>
      <c r="AR116" s="69">
        <f t="shared" si="128"/>
        <v>0</v>
      </c>
      <c r="AS116" s="69">
        <f t="shared" ca="1" si="128"/>
        <v>0</v>
      </c>
      <c r="AT116" s="69">
        <f t="shared" ca="1" si="128"/>
        <v>0</v>
      </c>
      <c r="AU116" s="69">
        <f t="shared" ca="1" si="128"/>
        <v>0</v>
      </c>
      <c r="AV116" s="69">
        <f t="shared" si="128"/>
        <v>0</v>
      </c>
      <c r="AW116" s="69">
        <f t="shared" ca="1" si="119"/>
        <v>0</v>
      </c>
      <c r="AX116" s="69">
        <f t="shared" ca="1" si="100"/>
        <v>0</v>
      </c>
      <c r="AY116" s="69">
        <f t="shared" ca="1" si="120"/>
        <v>0</v>
      </c>
      <c r="AZ116" s="69">
        <f ca="1">$AO116*IF(Auswahllisten!$G$150,AZ$25+AZ$25*AZ$13*$AN116,AZ$25*(1+AZ$13)^$AN116)</f>
        <v>0</v>
      </c>
      <c r="BA116" s="69">
        <f ca="1">$AO116*IF(Auswahllisten!$G$150,BA$25+BA$25*BA$13*$AN116,BA$25*(1+BA$13)^$AN116)</f>
        <v>0</v>
      </c>
      <c r="BB116" s="69">
        <f ca="1">$AO116*IF(Auswahllisten!$G$150,BB$25+BB$25*BB$13*$AN116,BB$25*(1+BB$13)^$AN116)</f>
        <v>0</v>
      </c>
      <c r="BC116" s="69">
        <f ca="1">$AO116*IF(Auswahllisten!$G$150,BC$25+BC$25*BC$13*$AN116,BC$25*(1+BC$13)^$AN116)</f>
        <v>0</v>
      </c>
      <c r="BD116" s="69">
        <f t="shared" ca="1" si="102"/>
        <v>0</v>
      </c>
      <c r="BE116" s="69">
        <f t="shared" ca="1" si="121"/>
        <v>0</v>
      </c>
      <c r="BF116" s="69">
        <f t="shared" ca="1" si="122"/>
        <v>0</v>
      </c>
      <c r="BG116" s="69">
        <f t="shared" ca="1" si="105"/>
        <v>0</v>
      </c>
      <c r="BI116" s="69">
        <f t="shared" ca="1" si="106"/>
        <v>0</v>
      </c>
      <c r="BJ116" s="69">
        <f t="shared" ca="1" si="93"/>
        <v>0</v>
      </c>
      <c r="BK116" s="69">
        <f t="shared" si="93"/>
        <v>0</v>
      </c>
      <c r="BL116" s="69">
        <f t="shared" ca="1" si="93"/>
        <v>0</v>
      </c>
      <c r="BM116" s="69">
        <f t="shared" ca="1" si="93"/>
        <v>0</v>
      </c>
      <c r="BN116" s="69">
        <f t="shared" ca="1" si="93"/>
        <v>0</v>
      </c>
      <c r="BO116" s="69">
        <f t="shared" si="93"/>
        <v>0</v>
      </c>
      <c r="BP116" s="69">
        <f t="shared" ca="1" si="95"/>
        <v>0</v>
      </c>
      <c r="BQ116" s="69">
        <f t="shared" ca="1" si="107"/>
        <v>0</v>
      </c>
      <c r="BR116" s="69">
        <f t="shared" ca="1" si="96"/>
        <v>0</v>
      </c>
      <c r="BS116" s="69">
        <f ca="1">$AO116*IF(Auswahllisten!$G$150,BS$25+BS$25*BS$13*$AN116,BS$25*(1+BS$13)^$AN116)</f>
        <v>0</v>
      </c>
      <c r="BT116" s="69">
        <f ca="1">$AO116*IF(Auswahllisten!$G$150,BT$25+BT$25*BT$13*$AN116,BT$25*(1+BT$13)^$AN116)</f>
        <v>0</v>
      </c>
      <c r="BU116" s="69">
        <f ca="1">$AO116*IF(Auswahllisten!$G$150,BU$25+BU$25*BU$13*$AN116,BU$25*(1+BU$13)^$AN116)</f>
        <v>0</v>
      </c>
      <c r="BV116" s="69">
        <f ca="1">$AO116*IF(Auswahllisten!$G$150,BV$25+BV$25*BV$13*$AN116,BV$25*(1+BV$13)^$AN116)</f>
        <v>0</v>
      </c>
      <c r="BW116" s="69">
        <f t="shared" ca="1" si="108"/>
        <v>0</v>
      </c>
      <c r="BX116" s="69">
        <f t="shared" ca="1" si="109"/>
        <v>0</v>
      </c>
      <c r="BY116" s="69">
        <f t="shared" ca="1" si="97"/>
        <v>0</v>
      </c>
      <c r="BZ116" s="69">
        <f t="shared" ca="1" si="98"/>
        <v>0</v>
      </c>
    </row>
    <row r="117" spans="1:78">
      <c r="A117" s="304" t="s">
        <v>1225</v>
      </c>
      <c r="B117" s="131" t="s">
        <v>1250</v>
      </c>
      <c r="C117" s="126" t="s">
        <v>1011</v>
      </c>
      <c r="D117" s="26" t="str" cm="1">
        <f t="array" aca="1" ref="D117" ca="1">INDIRECT("Vergleich!"&amp;$G$2&amp;Z117)</f>
        <v>keine</v>
      </c>
      <c r="E117" s="26" cm="1">
        <f t="array" aca="1" ref="E117" ca="1">INDIRECT("Investition_gewählt!"&amp;$I$5&amp;AA117)</f>
        <v>6000</v>
      </c>
      <c r="F117" s="25" cm="1">
        <f t="array" aca="1" ref="F117" ca="1">IF($C$5=0,0,INDEX(Faktoren!E100:GQ100,1,VLOOKUP($F$5,$L$2:$O$14,4,FALSE)+$C$9*5+VLOOKUP(D117,Auswahllisten!$E$25:$F$29,2,FALSE)))</f>
        <v>0</v>
      </c>
      <c r="G117" s="162">
        <f t="shared" ca="1" si="135"/>
        <v>0</v>
      </c>
      <c r="H117" s="26" cm="1">
        <f t="array" aca="1" ref="H117" ca="1">INDIRECT("Investition_gewählt!"&amp;$I$6&amp;AA117)</f>
        <v>6000</v>
      </c>
      <c r="I117" s="25" cm="1">
        <f t="array" aca="1" ref="I117" ca="1">IF($C$5=0,0,INDEX(Faktoren!E100:GQ100,1,VLOOKUP($F$6,$L$2:$O$14,4,FALSE)+$C$9*5+VLOOKUP(D117,Auswahllisten!$E$25:$F$29,2,FALSE)))</f>
        <v>0</v>
      </c>
      <c r="J117" s="162">
        <f t="shared" ca="1" si="136"/>
        <v>0</v>
      </c>
      <c r="K117" s="26">
        <f t="shared" ca="1" si="112"/>
        <v>0</v>
      </c>
      <c r="L117" s="26">
        <v>1</v>
      </c>
      <c r="M117" s="26">
        <f t="shared" ca="1" si="134"/>
        <v>0</v>
      </c>
      <c r="Z117" s="1">
        <v>74</v>
      </c>
      <c r="AA117" s="1">
        <v>100</v>
      </c>
      <c r="AB117" s="1">
        <v>-2</v>
      </c>
      <c r="AN117" s="1">
        <v>92</v>
      </c>
      <c r="AO117" s="1">
        <f t="shared" si="118"/>
        <v>0</v>
      </c>
      <c r="AP117" s="69">
        <f t="shared" ca="1" si="128"/>
        <v>0</v>
      </c>
      <c r="AQ117" s="69">
        <f t="shared" ca="1" si="128"/>
        <v>0</v>
      </c>
      <c r="AR117" s="69">
        <f t="shared" si="128"/>
        <v>0</v>
      </c>
      <c r="AS117" s="69">
        <f t="shared" ca="1" si="128"/>
        <v>0</v>
      </c>
      <c r="AT117" s="69">
        <f t="shared" ca="1" si="128"/>
        <v>0</v>
      </c>
      <c r="AU117" s="69">
        <f t="shared" ca="1" si="128"/>
        <v>0</v>
      </c>
      <c r="AV117" s="69">
        <f t="shared" si="128"/>
        <v>0</v>
      </c>
      <c r="AW117" s="69">
        <f t="shared" ca="1" si="119"/>
        <v>0</v>
      </c>
      <c r="AX117" s="69">
        <f t="shared" ca="1" si="100"/>
        <v>0</v>
      </c>
      <c r="AY117" s="69">
        <f t="shared" ca="1" si="120"/>
        <v>0</v>
      </c>
      <c r="AZ117" s="69">
        <f ca="1">$AO117*IF(Auswahllisten!$G$150,AZ$25+AZ$25*AZ$13*$AN117,AZ$25*(1+AZ$13)^$AN117)</f>
        <v>0</v>
      </c>
      <c r="BA117" s="69">
        <f ca="1">$AO117*IF(Auswahllisten!$G$150,BA$25+BA$25*BA$13*$AN117,BA$25*(1+BA$13)^$AN117)</f>
        <v>0</v>
      </c>
      <c r="BB117" s="69">
        <f ca="1">$AO117*IF(Auswahllisten!$G$150,BB$25+BB$25*BB$13*$AN117,BB$25*(1+BB$13)^$AN117)</f>
        <v>0</v>
      </c>
      <c r="BC117" s="69">
        <f ca="1">$AO117*IF(Auswahllisten!$G$150,BC$25+BC$25*BC$13*$AN117,BC$25*(1+BC$13)^$AN117)</f>
        <v>0</v>
      </c>
      <c r="BD117" s="69">
        <f t="shared" ca="1" si="102"/>
        <v>0</v>
      </c>
      <c r="BE117" s="69">
        <f t="shared" ca="1" si="121"/>
        <v>0</v>
      </c>
      <c r="BF117" s="69">
        <f t="shared" ca="1" si="122"/>
        <v>0</v>
      </c>
      <c r="BG117" s="69">
        <f t="shared" ca="1" si="105"/>
        <v>0</v>
      </c>
      <c r="BI117" s="69">
        <f t="shared" ca="1" si="106"/>
        <v>0</v>
      </c>
      <c r="BJ117" s="69">
        <f t="shared" ca="1" si="93"/>
        <v>0</v>
      </c>
      <c r="BK117" s="69">
        <f t="shared" si="93"/>
        <v>0</v>
      </c>
      <c r="BL117" s="69">
        <f t="shared" ca="1" si="93"/>
        <v>0</v>
      </c>
      <c r="BM117" s="69">
        <f t="shared" ca="1" si="93"/>
        <v>0</v>
      </c>
      <c r="BN117" s="69">
        <f t="shared" ca="1" si="93"/>
        <v>0</v>
      </c>
      <c r="BO117" s="69">
        <f t="shared" si="93"/>
        <v>0</v>
      </c>
      <c r="BP117" s="69">
        <f t="shared" ca="1" si="95"/>
        <v>0</v>
      </c>
      <c r="BQ117" s="69">
        <f t="shared" ca="1" si="107"/>
        <v>0</v>
      </c>
      <c r="BR117" s="69">
        <f t="shared" ca="1" si="96"/>
        <v>0</v>
      </c>
      <c r="BS117" s="69">
        <f ca="1">$AO117*IF(Auswahllisten!$G$150,BS$25+BS$25*BS$13*$AN117,BS$25*(1+BS$13)^$AN117)</f>
        <v>0</v>
      </c>
      <c r="BT117" s="69">
        <f ca="1">$AO117*IF(Auswahllisten!$G$150,BT$25+BT$25*BT$13*$AN117,BT$25*(1+BT$13)^$AN117)</f>
        <v>0</v>
      </c>
      <c r="BU117" s="69">
        <f ca="1">$AO117*IF(Auswahllisten!$G$150,BU$25+BU$25*BU$13*$AN117,BU$25*(1+BU$13)^$AN117)</f>
        <v>0</v>
      </c>
      <c r="BV117" s="69">
        <f ca="1">$AO117*IF(Auswahllisten!$G$150,BV$25+BV$25*BV$13*$AN117,BV$25*(1+BV$13)^$AN117)</f>
        <v>0</v>
      </c>
      <c r="BW117" s="69">
        <f t="shared" ca="1" si="108"/>
        <v>0</v>
      </c>
      <c r="BX117" s="69">
        <f t="shared" ca="1" si="109"/>
        <v>0</v>
      </c>
      <c r="BY117" s="69">
        <f t="shared" ca="1" si="97"/>
        <v>0</v>
      </c>
      <c r="BZ117" s="69">
        <f t="shared" ca="1" si="98"/>
        <v>0</v>
      </c>
    </row>
    <row r="118" spans="1:78">
      <c r="A118" s="305" t="s">
        <v>1219</v>
      </c>
      <c r="B118" s="126" t="s">
        <v>1012</v>
      </c>
      <c r="C118" s="126" t="s">
        <v>946</v>
      </c>
      <c r="D118" s="26" t="str" cm="1">
        <f t="array" aca="1" ref="D118" ca="1">INDIRECT("Vergleich!"&amp;$G$2&amp;Z118)</f>
        <v>keine</v>
      </c>
      <c r="E118" s="26" cm="1">
        <f t="array" aca="1" ref="E118" ca="1">INDIRECT("Investition_gewählt!"&amp;$I$5&amp;AA118)</f>
        <v>0</v>
      </c>
      <c r="F118" s="25" cm="1">
        <f t="array" aca="1" ref="F118" ca="1">IF($C$5=0,0,INDEX(Faktoren!E101:GQ101,1,VLOOKUP($F$5,$L$2:$O$14,4,FALSE)+$C$9*5+VLOOKUP(D118,Auswahllisten!$E$25:$F$29,2,FALSE)))</f>
        <v>0</v>
      </c>
      <c r="G118" s="162">
        <f t="shared" ca="1" si="135"/>
        <v>0</v>
      </c>
      <c r="H118" s="26" cm="1">
        <f t="array" aca="1" ref="H118" ca="1">INDIRECT("Investition_gewählt!"&amp;$I$6&amp;AA118)</f>
        <v>0</v>
      </c>
      <c r="I118" s="25" cm="1">
        <f t="array" aca="1" ref="I118" ca="1">IF($C$5=0,0,INDEX(Faktoren!E101:GQ101,1,VLOOKUP($F$6,$L$2:$O$14,4,FALSE)+$C$9*5+VLOOKUP(D118,Auswahllisten!$E$25:$F$29,2,FALSE)))</f>
        <v>0</v>
      </c>
      <c r="J118" s="162">
        <f t="shared" ca="1" si="136"/>
        <v>0</v>
      </c>
      <c r="K118" s="26">
        <f t="shared" ca="1" si="112"/>
        <v>0</v>
      </c>
      <c r="L118" s="26">
        <v>1</v>
      </c>
      <c r="M118" s="26">
        <f t="shared" ca="1" si="134"/>
        <v>0</v>
      </c>
      <c r="Z118" s="1">
        <v>75</v>
      </c>
      <c r="AA118" s="1">
        <v>101</v>
      </c>
      <c r="AB118" s="1">
        <v>-2</v>
      </c>
      <c r="AN118" s="1">
        <v>93</v>
      </c>
      <c r="AO118" s="1">
        <f t="shared" si="118"/>
        <v>0</v>
      </c>
      <c r="AP118" s="69">
        <f t="shared" ca="1" si="128"/>
        <v>0</v>
      </c>
      <c r="AQ118" s="69">
        <f t="shared" ca="1" si="128"/>
        <v>0</v>
      </c>
      <c r="AR118" s="69">
        <f t="shared" si="128"/>
        <v>0</v>
      </c>
      <c r="AS118" s="69">
        <f t="shared" ca="1" si="128"/>
        <v>0</v>
      </c>
      <c r="AT118" s="69">
        <f t="shared" ca="1" si="128"/>
        <v>0</v>
      </c>
      <c r="AU118" s="69">
        <f t="shared" ca="1" si="128"/>
        <v>0</v>
      </c>
      <c r="AV118" s="69">
        <f t="shared" si="128"/>
        <v>0</v>
      </c>
      <c r="AW118" s="69">
        <f t="shared" ca="1" si="119"/>
        <v>0</v>
      </c>
      <c r="AX118" s="69">
        <f t="shared" ca="1" si="100"/>
        <v>0</v>
      </c>
      <c r="AY118" s="69">
        <f t="shared" ca="1" si="120"/>
        <v>0</v>
      </c>
      <c r="AZ118" s="69">
        <f ca="1">$AO118*IF(Auswahllisten!$G$150,AZ$25+AZ$25*AZ$13*$AN118,AZ$25*(1+AZ$13)^$AN118)</f>
        <v>0</v>
      </c>
      <c r="BA118" s="69">
        <f ca="1">$AO118*IF(Auswahllisten!$G$150,BA$25+BA$25*BA$13*$AN118,BA$25*(1+BA$13)^$AN118)</f>
        <v>0</v>
      </c>
      <c r="BB118" s="69">
        <f ca="1">$AO118*IF(Auswahllisten!$G$150,BB$25+BB$25*BB$13*$AN118,BB$25*(1+BB$13)^$AN118)</f>
        <v>0</v>
      </c>
      <c r="BC118" s="69">
        <f ca="1">$AO118*IF(Auswahllisten!$G$150,BC$25+BC$25*BC$13*$AN118,BC$25*(1+BC$13)^$AN118)</f>
        <v>0</v>
      </c>
      <c r="BD118" s="69">
        <f t="shared" ca="1" si="102"/>
        <v>0</v>
      </c>
      <c r="BE118" s="69">
        <f t="shared" ca="1" si="121"/>
        <v>0</v>
      </c>
      <c r="BF118" s="69">
        <f t="shared" ca="1" si="122"/>
        <v>0</v>
      </c>
      <c r="BG118" s="69">
        <f t="shared" ca="1" si="105"/>
        <v>0</v>
      </c>
      <c r="BI118" s="69">
        <f t="shared" ca="1" si="106"/>
        <v>0</v>
      </c>
      <c r="BJ118" s="69">
        <f t="shared" ca="1" si="93"/>
        <v>0</v>
      </c>
      <c r="BK118" s="69">
        <f t="shared" si="93"/>
        <v>0</v>
      </c>
      <c r="BL118" s="69">
        <f t="shared" ca="1" si="93"/>
        <v>0</v>
      </c>
      <c r="BM118" s="69">
        <f t="shared" ca="1" si="93"/>
        <v>0</v>
      </c>
      <c r="BN118" s="69">
        <f t="shared" ca="1" si="93"/>
        <v>0</v>
      </c>
      <c r="BO118" s="69">
        <f t="shared" si="93"/>
        <v>0</v>
      </c>
      <c r="BP118" s="69">
        <f t="shared" ca="1" si="95"/>
        <v>0</v>
      </c>
      <c r="BQ118" s="69">
        <f t="shared" ca="1" si="107"/>
        <v>0</v>
      </c>
      <c r="BR118" s="69">
        <f t="shared" ca="1" si="96"/>
        <v>0</v>
      </c>
      <c r="BS118" s="69">
        <f ca="1">$AO118*IF(Auswahllisten!$G$150,BS$25+BS$25*BS$13*$AN118,BS$25*(1+BS$13)^$AN118)</f>
        <v>0</v>
      </c>
      <c r="BT118" s="69">
        <f ca="1">$AO118*IF(Auswahllisten!$G$150,BT$25+BT$25*BT$13*$AN118,BT$25*(1+BT$13)^$AN118)</f>
        <v>0</v>
      </c>
      <c r="BU118" s="69">
        <f ca="1">$AO118*IF(Auswahllisten!$G$150,BU$25+BU$25*BU$13*$AN118,BU$25*(1+BU$13)^$AN118)</f>
        <v>0</v>
      </c>
      <c r="BV118" s="69">
        <f ca="1">$AO118*IF(Auswahllisten!$G$150,BV$25+BV$25*BV$13*$AN118,BV$25*(1+BV$13)^$AN118)</f>
        <v>0</v>
      </c>
      <c r="BW118" s="69">
        <f t="shared" ca="1" si="108"/>
        <v>0</v>
      </c>
      <c r="BX118" s="69">
        <f t="shared" ca="1" si="109"/>
        <v>0</v>
      </c>
      <c r="BY118" s="69">
        <f t="shared" ca="1" si="97"/>
        <v>0</v>
      </c>
      <c r="BZ118" s="69">
        <f t="shared" ca="1" si="98"/>
        <v>0</v>
      </c>
    </row>
    <row r="119" spans="1:78">
      <c r="A119" s="305" t="s">
        <v>1219</v>
      </c>
      <c r="B119" s="126" t="s">
        <v>1012</v>
      </c>
      <c r="C119" s="126" t="s">
        <v>947</v>
      </c>
      <c r="D119" s="26" t="str" cm="1">
        <f t="array" aca="1" ref="D119" ca="1">INDIRECT("Vergleich!"&amp;$G$2&amp;Z119)</f>
        <v>keine</v>
      </c>
      <c r="E119" s="26" cm="1">
        <f t="array" aca="1" ref="E119" ca="1">INDIRECT("Investition_gewählt!"&amp;$I$5&amp;AA119)</f>
        <v>5000</v>
      </c>
      <c r="F119" s="25" cm="1">
        <f t="array" aca="1" ref="F119" ca="1">IF($C$5=0,0,INDEX(Faktoren!E102:GQ102,1,VLOOKUP($F$5,$L$2:$O$14,4,FALSE)+$C$9*5+VLOOKUP(D119,Auswahllisten!$E$25:$F$29,2,FALSE)))</f>
        <v>0</v>
      </c>
      <c r="G119" s="162">
        <f t="shared" ca="1" si="135"/>
        <v>0</v>
      </c>
      <c r="H119" s="26" cm="1">
        <f t="array" aca="1" ref="H119" ca="1">INDIRECT("Investition_gewählt!"&amp;$I$6&amp;AA119)</f>
        <v>5000</v>
      </c>
      <c r="I119" s="25" cm="1">
        <f t="array" aca="1" ref="I119" ca="1">IF($C$5=0,0,INDEX(Faktoren!E102:GQ102,1,VLOOKUP($F$6,$L$2:$O$14,4,FALSE)+$C$9*5+VLOOKUP(D119,Auswahllisten!$E$25:$F$29,2,FALSE)))</f>
        <v>0</v>
      </c>
      <c r="J119" s="162">
        <f t="shared" ca="1" si="136"/>
        <v>0</v>
      </c>
      <c r="K119" s="26">
        <f t="shared" ca="1" si="112"/>
        <v>0</v>
      </c>
      <c r="L119" s="26">
        <v>1</v>
      </c>
      <c r="M119" s="26">
        <f t="shared" ca="1" si="134"/>
        <v>0</v>
      </c>
      <c r="Z119" s="1">
        <v>76</v>
      </c>
      <c r="AA119" s="1">
        <v>102</v>
      </c>
      <c r="AB119" s="1">
        <v>-2</v>
      </c>
      <c r="AN119" s="1">
        <v>94</v>
      </c>
      <c r="AO119" s="1">
        <f t="shared" si="118"/>
        <v>0</v>
      </c>
      <c r="AP119" s="69">
        <f t="shared" ca="1" si="128"/>
        <v>0</v>
      </c>
      <c r="AQ119" s="69">
        <f t="shared" ca="1" si="128"/>
        <v>0</v>
      </c>
      <c r="AR119" s="69">
        <f t="shared" si="128"/>
        <v>0</v>
      </c>
      <c r="AS119" s="69">
        <f t="shared" ca="1" si="128"/>
        <v>0</v>
      </c>
      <c r="AT119" s="69">
        <f t="shared" ca="1" si="128"/>
        <v>0</v>
      </c>
      <c r="AU119" s="69">
        <f t="shared" ca="1" si="128"/>
        <v>0</v>
      </c>
      <c r="AV119" s="69">
        <f t="shared" si="128"/>
        <v>0</v>
      </c>
      <c r="AW119" s="69">
        <f t="shared" ca="1" si="119"/>
        <v>0</v>
      </c>
      <c r="AX119" s="69">
        <f t="shared" ca="1" si="100"/>
        <v>0</v>
      </c>
      <c r="AY119" s="69">
        <f t="shared" ca="1" si="120"/>
        <v>0</v>
      </c>
      <c r="AZ119" s="69">
        <f ca="1">$AO119*IF(Auswahllisten!$G$150,AZ$25+AZ$25*AZ$13*$AN119,AZ$25*(1+AZ$13)^$AN119)</f>
        <v>0</v>
      </c>
      <c r="BA119" s="69">
        <f ca="1">$AO119*IF(Auswahllisten!$G$150,BA$25+BA$25*BA$13*$AN119,BA$25*(1+BA$13)^$AN119)</f>
        <v>0</v>
      </c>
      <c r="BB119" s="69">
        <f ca="1">$AO119*IF(Auswahllisten!$G$150,BB$25+BB$25*BB$13*$AN119,BB$25*(1+BB$13)^$AN119)</f>
        <v>0</v>
      </c>
      <c r="BC119" s="69">
        <f ca="1">$AO119*IF(Auswahllisten!$G$150,BC$25+BC$25*BC$13*$AN119,BC$25*(1+BC$13)^$AN119)</f>
        <v>0</v>
      </c>
      <c r="BD119" s="69">
        <f t="shared" ca="1" si="102"/>
        <v>0</v>
      </c>
      <c r="BE119" s="69">
        <f t="shared" ca="1" si="121"/>
        <v>0</v>
      </c>
      <c r="BF119" s="69">
        <f t="shared" ca="1" si="122"/>
        <v>0</v>
      </c>
      <c r="BG119" s="69">
        <f t="shared" ca="1" si="105"/>
        <v>0</v>
      </c>
      <c r="BI119" s="69">
        <f t="shared" ca="1" si="106"/>
        <v>0</v>
      </c>
      <c r="BJ119" s="69">
        <f t="shared" ca="1" si="93"/>
        <v>0</v>
      </c>
      <c r="BK119" s="69">
        <f t="shared" si="93"/>
        <v>0</v>
      </c>
      <c r="BL119" s="69">
        <f t="shared" ca="1" si="93"/>
        <v>0</v>
      </c>
      <c r="BM119" s="69">
        <f t="shared" ca="1" si="93"/>
        <v>0</v>
      </c>
      <c r="BN119" s="69">
        <f t="shared" ca="1" si="93"/>
        <v>0</v>
      </c>
      <c r="BO119" s="69">
        <f t="shared" si="93"/>
        <v>0</v>
      </c>
      <c r="BP119" s="69">
        <f t="shared" ca="1" si="95"/>
        <v>0</v>
      </c>
      <c r="BQ119" s="69">
        <f t="shared" ca="1" si="107"/>
        <v>0</v>
      </c>
      <c r="BR119" s="69">
        <f t="shared" ca="1" si="96"/>
        <v>0</v>
      </c>
      <c r="BS119" s="69">
        <f ca="1">$AO119*IF(Auswahllisten!$G$150,BS$25+BS$25*BS$13*$AN119,BS$25*(1+BS$13)^$AN119)</f>
        <v>0</v>
      </c>
      <c r="BT119" s="69">
        <f ca="1">$AO119*IF(Auswahllisten!$G$150,BT$25+BT$25*BT$13*$AN119,BT$25*(1+BT$13)^$AN119)</f>
        <v>0</v>
      </c>
      <c r="BU119" s="69">
        <f ca="1">$AO119*IF(Auswahllisten!$G$150,BU$25+BU$25*BU$13*$AN119,BU$25*(1+BU$13)^$AN119)</f>
        <v>0</v>
      </c>
      <c r="BV119" s="69">
        <f ca="1">$AO119*IF(Auswahllisten!$G$150,BV$25+BV$25*BV$13*$AN119,BV$25*(1+BV$13)^$AN119)</f>
        <v>0</v>
      </c>
      <c r="BW119" s="69">
        <f t="shared" ca="1" si="108"/>
        <v>0</v>
      </c>
      <c r="BX119" s="69">
        <f t="shared" ca="1" si="109"/>
        <v>0</v>
      </c>
      <c r="BY119" s="69">
        <f t="shared" ca="1" si="97"/>
        <v>0</v>
      </c>
      <c r="BZ119" s="69">
        <f t="shared" ca="1" si="98"/>
        <v>0</v>
      </c>
    </row>
    <row r="120" spans="1:78">
      <c r="A120" s="305" t="s">
        <v>1226</v>
      </c>
      <c r="B120" s="126" t="s">
        <v>948</v>
      </c>
      <c r="C120" s="126" t="s">
        <v>948</v>
      </c>
      <c r="D120" s="26" t="str" cm="1">
        <f t="array" aca="1" ref="D120" ca="1">INDIRECT("Vergleich!"&amp;$G$2&amp;Z120)</f>
        <v>keine</v>
      </c>
      <c r="E120" s="26" cm="1">
        <f t="array" aca="1" ref="E120" ca="1">INDIRECT("Investition_gewählt!"&amp;$I$5&amp;AA120)</f>
        <v>10000</v>
      </c>
      <c r="F120" s="25" cm="1">
        <f t="array" aca="1" ref="F120" ca="1">IF($C$5=0,0,INDEX(Faktoren!E103:GQ103,1,VLOOKUP($F$5,$L$2:$O$14,4,FALSE)+$C$9*5+VLOOKUP(D120,Auswahllisten!$E$25:$F$29,2,FALSE)))</f>
        <v>0</v>
      </c>
      <c r="G120" s="162">
        <f t="shared" ca="1" si="135"/>
        <v>0</v>
      </c>
      <c r="H120" s="26" cm="1">
        <f t="array" aca="1" ref="H120" ca="1">INDIRECT("Investition_gewählt!"&amp;$I$6&amp;AA120)</f>
        <v>10000</v>
      </c>
      <c r="I120" s="25" cm="1">
        <f t="array" aca="1" ref="I120" ca="1">IF($C$5=0,0,INDEX(Faktoren!E103:GQ103,1,VLOOKUP($F$6,$L$2:$O$14,4,FALSE)+$C$9*5+VLOOKUP(D120,Auswahllisten!$E$25:$F$29,2,FALSE)))</f>
        <v>0</v>
      </c>
      <c r="J120" s="162">
        <f t="shared" ca="1" si="136"/>
        <v>0</v>
      </c>
      <c r="K120" s="26">
        <f t="shared" ca="1" si="112"/>
        <v>0</v>
      </c>
      <c r="L120" s="26">
        <v>1</v>
      </c>
      <c r="M120" s="26">
        <f t="shared" ca="1" si="134"/>
        <v>0</v>
      </c>
      <c r="Z120" s="1">
        <v>77</v>
      </c>
      <c r="AA120" s="1">
        <v>103</v>
      </c>
      <c r="AB120" s="1">
        <v>-2</v>
      </c>
      <c r="AN120" s="1">
        <v>95</v>
      </c>
      <c r="AO120" s="1">
        <f t="shared" si="118"/>
        <v>0</v>
      </c>
      <c r="AP120" s="69">
        <f t="shared" ca="1" si="128"/>
        <v>0</v>
      </c>
      <c r="AQ120" s="69">
        <f t="shared" ca="1" si="128"/>
        <v>0</v>
      </c>
      <c r="AR120" s="69">
        <f t="shared" si="128"/>
        <v>0</v>
      </c>
      <c r="AS120" s="69">
        <f t="shared" ca="1" si="128"/>
        <v>0</v>
      </c>
      <c r="AT120" s="69">
        <f t="shared" ca="1" si="128"/>
        <v>0</v>
      </c>
      <c r="AU120" s="69">
        <f t="shared" ca="1" si="128"/>
        <v>0</v>
      </c>
      <c r="AV120" s="69">
        <f t="shared" si="128"/>
        <v>0</v>
      </c>
      <c r="AW120" s="69">
        <f t="shared" ca="1" si="119"/>
        <v>0</v>
      </c>
      <c r="AX120" s="69">
        <f t="shared" ca="1" si="100"/>
        <v>0</v>
      </c>
      <c r="AY120" s="69">
        <f t="shared" ca="1" si="120"/>
        <v>0</v>
      </c>
      <c r="AZ120" s="69">
        <f ca="1">$AO120*IF(Auswahllisten!$G$150,AZ$25+AZ$25*AZ$13*$AN120,AZ$25*(1+AZ$13)^$AN120)</f>
        <v>0</v>
      </c>
      <c r="BA120" s="69">
        <f ca="1">$AO120*IF(Auswahllisten!$G$150,BA$25+BA$25*BA$13*$AN120,BA$25*(1+BA$13)^$AN120)</f>
        <v>0</v>
      </c>
      <c r="BB120" s="69">
        <f ca="1">$AO120*IF(Auswahllisten!$G$150,BB$25+BB$25*BB$13*$AN120,BB$25*(1+BB$13)^$AN120)</f>
        <v>0</v>
      </c>
      <c r="BC120" s="69">
        <f ca="1">$AO120*IF(Auswahllisten!$G$150,BC$25+BC$25*BC$13*$AN120,BC$25*(1+BC$13)^$AN120)</f>
        <v>0</v>
      </c>
      <c r="BD120" s="69">
        <f t="shared" ca="1" si="102"/>
        <v>0</v>
      </c>
      <c r="BE120" s="69">
        <f t="shared" ca="1" si="121"/>
        <v>0</v>
      </c>
      <c r="BF120" s="69">
        <f t="shared" ca="1" si="122"/>
        <v>0</v>
      </c>
      <c r="BG120" s="69">
        <f t="shared" ca="1" si="105"/>
        <v>0</v>
      </c>
      <c r="BI120" s="69">
        <f t="shared" ca="1" si="106"/>
        <v>0</v>
      </c>
      <c r="BJ120" s="69">
        <f t="shared" ca="1" si="93"/>
        <v>0</v>
      </c>
      <c r="BK120" s="69">
        <f t="shared" si="93"/>
        <v>0</v>
      </c>
      <c r="BL120" s="69">
        <f t="shared" ca="1" si="93"/>
        <v>0</v>
      </c>
      <c r="BM120" s="69">
        <f t="shared" ca="1" si="93"/>
        <v>0</v>
      </c>
      <c r="BN120" s="69">
        <f t="shared" ca="1" si="93"/>
        <v>0</v>
      </c>
      <c r="BO120" s="69">
        <f t="shared" si="93"/>
        <v>0</v>
      </c>
      <c r="BP120" s="69">
        <f t="shared" ca="1" si="95"/>
        <v>0</v>
      </c>
      <c r="BQ120" s="69">
        <f t="shared" ca="1" si="107"/>
        <v>0</v>
      </c>
      <c r="BR120" s="69">
        <f t="shared" ca="1" si="96"/>
        <v>0</v>
      </c>
      <c r="BS120" s="69">
        <f ca="1">$AO120*IF(Auswahllisten!$G$150,BS$25+BS$25*BS$13*$AN120,BS$25*(1+BS$13)^$AN120)</f>
        <v>0</v>
      </c>
      <c r="BT120" s="69">
        <f ca="1">$AO120*IF(Auswahllisten!$G$150,BT$25+BT$25*BT$13*$AN120,BT$25*(1+BT$13)^$AN120)</f>
        <v>0</v>
      </c>
      <c r="BU120" s="69">
        <f ca="1">$AO120*IF(Auswahllisten!$G$150,BU$25+BU$25*BU$13*$AN120,BU$25*(1+BU$13)^$AN120)</f>
        <v>0</v>
      </c>
      <c r="BV120" s="69">
        <f ca="1">$AO120*IF(Auswahllisten!$G$150,BV$25+BV$25*BV$13*$AN120,BV$25*(1+BV$13)^$AN120)</f>
        <v>0</v>
      </c>
      <c r="BW120" s="69">
        <f t="shared" ca="1" si="108"/>
        <v>0</v>
      </c>
      <c r="BX120" s="69">
        <f t="shared" ca="1" si="109"/>
        <v>0</v>
      </c>
      <c r="BY120" s="69">
        <f t="shared" ca="1" si="97"/>
        <v>0</v>
      </c>
      <c r="BZ120" s="69">
        <f t="shared" ca="1" si="98"/>
        <v>0</v>
      </c>
    </row>
    <row r="121" spans="1:78">
      <c r="A121" s="305" t="s">
        <v>1228</v>
      </c>
      <c r="B121" s="126" t="s">
        <v>1013</v>
      </c>
      <c r="C121" s="126" t="s">
        <v>1014</v>
      </c>
      <c r="D121" s="26" t="str" cm="1">
        <f t="array" aca="1" ref="D121" ca="1">INDIRECT("Vergleich!"&amp;$G$2&amp;Z121)</f>
        <v>keine</v>
      </c>
      <c r="E121" s="26" cm="1">
        <f t="array" aca="1" ref="E121" ca="1">INDIRECT("Investition_gewählt!"&amp;$I$5&amp;AA121)</f>
        <v>0</v>
      </c>
      <c r="F121" s="25" cm="1">
        <f t="array" aca="1" ref="F121" ca="1">IF($C$5=0,0,INDEX(Faktoren!E104:GQ104,1,VLOOKUP($F$5,$L$2:$O$14,4,FALSE)+$C$9*5+VLOOKUP(D121,Auswahllisten!$E$25:$F$29,2,FALSE)))</f>
        <v>0</v>
      </c>
      <c r="G121" s="162">
        <f t="shared" ca="1" si="135"/>
        <v>0</v>
      </c>
      <c r="H121" s="26" cm="1">
        <f t="array" aca="1" ref="H121" ca="1">INDIRECT("Investition_gewählt!"&amp;$I$6&amp;AA121)</f>
        <v>0</v>
      </c>
      <c r="I121" s="25" cm="1">
        <f t="array" aca="1" ref="I121" ca="1">IF($C$5=0,0,INDEX(Faktoren!E104:GQ104,1,VLOOKUP($F$6,$L$2:$O$14,4,FALSE)+$C$9*5+VLOOKUP(D121,Auswahllisten!$E$25:$F$29,2,FALSE)))</f>
        <v>0</v>
      </c>
      <c r="J121" s="162">
        <f t="shared" ca="1" si="136"/>
        <v>0</v>
      </c>
      <c r="K121" s="26">
        <f t="shared" ca="1" si="112"/>
        <v>0</v>
      </c>
      <c r="L121" s="26">
        <v>1</v>
      </c>
      <c r="M121" s="26">
        <f t="shared" ca="1" si="134"/>
        <v>0</v>
      </c>
      <c r="Z121" s="1">
        <v>78</v>
      </c>
      <c r="AA121" s="1">
        <v>104</v>
      </c>
      <c r="AB121" s="1">
        <v>-2</v>
      </c>
      <c r="AN121" s="1">
        <v>96</v>
      </c>
      <c r="AO121" s="1">
        <f t="shared" si="118"/>
        <v>0</v>
      </c>
      <c r="AP121" s="69">
        <f t="shared" ca="1" si="128"/>
        <v>0</v>
      </c>
      <c r="AQ121" s="69">
        <f t="shared" ca="1" si="128"/>
        <v>0</v>
      </c>
      <c r="AR121" s="69">
        <f t="shared" si="128"/>
        <v>0</v>
      </c>
      <c r="AS121" s="69">
        <f t="shared" ca="1" si="128"/>
        <v>0</v>
      </c>
      <c r="AT121" s="69">
        <f t="shared" ca="1" si="128"/>
        <v>0</v>
      </c>
      <c r="AU121" s="69">
        <f t="shared" ca="1" si="128"/>
        <v>0</v>
      </c>
      <c r="AV121" s="69">
        <f t="shared" si="128"/>
        <v>0</v>
      </c>
      <c r="AW121" s="69">
        <f t="shared" ca="1" si="119"/>
        <v>0</v>
      </c>
      <c r="AX121" s="69">
        <f t="shared" ca="1" si="100"/>
        <v>0</v>
      </c>
      <c r="AY121" s="69">
        <f t="shared" ca="1" si="120"/>
        <v>0</v>
      </c>
      <c r="AZ121" s="69">
        <f ca="1">$AO121*IF(Auswahllisten!$G$150,AZ$25+AZ$25*AZ$13*$AN121,AZ$25*(1+AZ$13)^$AN121)</f>
        <v>0</v>
      </c>
      <c r="BA121" s="69">
        <f ca="1">$AO121*IF(Auswahllisten!$G$150,BA$25+BA$25*BA$13*$AN121,BA$25*(1+BA$13)^$AN121)</f>
        <v>0</v>
      </c>
      <c r="BB121" s="69">
        <f ca="1">$AO121*IF(Auswahllisten!$G$150,BB$25+BB$25*BB$13*$AN121,BB$25*(1+BB$13)^$AN121)</f>
        <v>0</v>
      </c>
      <c r="BC121" s="69">
        <f ca="1">$AO121*IF(Auswahllisten!$G$150,BC$25+BC$25*BC$13*$AN121,BC$25*(1+BC$13)^$AN121)</f>
        <v>0</v>
      </c>
      <c r="BD121" s="69">
        <f t="shared" ca="1" si="102"/>
        <v>0</v>
      </c>
      <c r="BE121" s="69">
        <f t="shared" ca="1" si="121"/>
        <v>0</v>
      </c>
      <c r="BF121" s="69">
        <f t="shared" ca="1" si="122"/>
        <v>0</v>
      </c>
      <c r="BG121" s="69">
        <f t="shared" ca="1" si="105"/>
        <v>0</v>
      </c>
      <c r="BI121" s="69">
        <f t="shared" ca="1" si="106"/>
        <v>0</v>
      </c>
      <c r="BJ121" s="69">
        <f t="shared" ca="1" si="106"/>
        <v>0</v>
      </c>
      <c r="BK121" s="69">
        <f t="shared" si="106"/>
        <v>0</v>
      </c>
      <c r="BL121" s="69">
        <f t="shared" ca="1" si="106"/>
        <v>0</v>
      </c>
      <c r="BM121" s="69">
        <f t="shared" ca="1" si="106"/>
        <v>0</v>
      </c>
      <c r="BN121" s="69">
        <f t="shared" ca="1" si="106"/>
        <v>0</v>
      </c>
      <c r="BO121" s="69">
        <f t="shared" si="106"/>
        <v>0</v>
      </c>
      <c r="BP121" s="69">
        <f t="shared" ca="1" si="95"/>
        <v>0</v>
      </c>
      <c r="BQ121" s="69">
        <f t="shared" ca="1" si="107"/>
        <v>0</v>
      </c>
      <c r="BR121" s="69">
        <f t="shared" ca="1" si="96"/>
        <v>0</v>
      </c>
      <c r="BS121" s="69">
        <f ca="1">$AO121*IF(Auswahllisten!$G$150,BS$25+BS$25*BS$13*$AN121,BS$25*(1+BS$13)^$AN121)</f>
        <v>0</v>
      </c>
      <c r="BT121" s="69">
        <f ca="1">$AO121*IF(Auswahllisten!$G$150,BT$25+BT$25*BT$13*$AN121,BT$25*(1+BT$13)^$AN121)</f>
        <v>0</v>
      </c>
      <c r="BU121" s="69">
        <f ca="1">$AO121*IF(Auswahllisten!$G$150,BU$25+BU$25*BU$13*$AN121,BU$25*(1+BU$13)^$AN121)</f>
        <v>0</v>
      </c>
      <c r="BV121" s="69">
        <f ca="1">$AO121*IF(Auswahllisten!$G$150,BV$25+BV$25*BV$13*$AN121,BV$25*(1+BV$13)^$AN121)</f>
        <v>0</v>
      </c>
      <c r="BW121" s="69">
        <f t="shared" ca="1" si="108"/>
        <v>0</v>
      </c>
      <c r="BX121" s="69">
        <f t="shared" ca="1" si="109"/>
        <v>0</v>
      </c>
      <c r="BY121" s="69">
        <f t="shared" ca="1" si="97"/>
        <v>0</v>
      </c>
      <c r="BZ121" s="69">
        <f t="shared" ca="1" si="98"/>
        <v>0</v>
      </c>
    </row>
    <row r="122" spans="1:78">
      <c r="A122" s="305" t="s">
        <v>1228</v>
      </c>
      <c r="B122" s="126" t="s">
        <v>1013</v>
      </c>
      <c r="C122" s="126" t="s">
        <v>1016</v>
      </c>
      <c r="D122" s="26" t="str" cm="1">
        <f t="array" aca="1" ref="D122" ca="1">INDIRECT("Vergleich!"&amp;$G$2&amp;Z122)</f>
        <v>keine</v>
      </c>
      <c r="E122" s="26" cm="1">
        <f t="array" aca="1" ref="E122" ca="1">INDIRECT("Investition_gewählt!"&amp;$I$5&amp;AA122)</f>
        <v>500</v>
      </c>
      <c r="F122" s="25" cm="1">
        <f t="array" aca="1" ref="F122" ca="1">IF($C$5=0,0,INDEX(Faktoren!E105:GQ105,1,VLOOKUP($F$5,$L$2:$O$14,4,FALSE)+$C$9*5+VLOOKUP(D122,Auswahllisten!$E$25:$F$29,2,FALSE)))</f>
        <v>0</v>
      </c>
      <c r="G122" s="162">
        <f t="shared" ca="1" si="135"/>
        <v>0</v>
      </c>
      <c r="H122" s="26" cm="1">
        <f t="array" aca="1" ref="H122" ca="1">INDIRECT("Investition_gewählt!"&amp;$I$6&amp;AA122)</f>
        <v>500</v>
      </c>
      <c r="I122" s="25" cm="1">
        <f t="array" aca="1" ref="I122" ca="1">IF($C$5=0,0,INDEX(Faktoren!E105:GQ105,1,VLOOKUP($F$6,$L$2:$O$14,4,FALSE)+$C$9*5+VLOOKUP(D122,Auswahllisten!$E$25:$F$29,2,FALSE)))</f>
        <v>0</v>
      </c>
      <c r="J122" s="162">
        <f t="shared" ca="1" si="136"/>
        <v>0</v>
      </c>
      <c r="K122" s="26">
        <f t="shared" ca="1" si="112"/>
        <v>0</v>
      </c>
      <c r="L122" s="26">
        <v>1</v>
      </c>
      <c r="M122" s="26">
        <f t="shared" ca="1" si="134"/>
        <v>0</v>
      </c>
      <c r="Z122" s="1">
        <v>79</v>
      </c>
      <c r="AA122" s="1">
        <v>105</v>
      </c>
      <c r="AB122" s="1">
        <v>-2</v>
      </c>
      <c r="AN122" s="1">
        <v>97</v>
      </c>
      <c r="AO122" s="1">
        <f t="shared" si="118"/>
        <v>0</v>
      </c>
      <c r="AP122" s="69">
        <f t="shared" ca="1" si="128"/>
        <v>0</v>
      </c>
      <c r="AQ122" s="69">
        <f t="shared" ca="1" si="128"/>
        <v>0</v>
      </c>
      <c r="AR122" s="69">
        <f t="shared" si="128"/>
        <v>0</v>
      </c>
      <c r="AS122" s="69">
        <f t="shared" ca="1" si="128"/>
        <v>0</v>
      </c>
      <c r="AT122" s="69">
        <f t="shared" ca="1" si="128"/>
        <v>0</v>
      </c>
      <c r="AU122" s="69">
        <f t="shared" ca="1" si="128"/>
        <v>0</v>
      </c>
      <c r="AV122" s="69">
        <f t="shared" si="128"/>
        <v>0</v>
      </c>
      <c r="AW122" s="69">
        <f t="shared" ca="1" si="119"/>
        <v>0</v>
      </c>
      <c r="AX122" s="69">
        <f t="shared" ca="1" si="100"/>
        <v>0</v>
      </c>
      <c r="AY122" s="69">
        <f t="shared" ca="1" si="120"/>
        <v>0</v>
      </c>
      <c r="AZ122" s="69">
        <f ca="1">$AO122*IF(Auswahllisten!$G$150,AZ$25+AZ$25*AZ$13*$AN122,AZ$25*(1+AZ$13)^$AN122)</f>
        <v>0</v>
      </c>
      <c r="BA122" s="69">
        <f ca="1">$AO122*IF(Auswahllisten!$G$150,BA$25+BA$25*BA$13*$AN122,BA$25*(1+BA$13)^$AN122)</f>
        <v>0</v>
      </c>
      <c r="BB122" s="69">
        <f ca="1">$AO122*IF(Auswahllisten!$G$150,BB$25+BB$25*BB$13*$AN122,BB$25*(1+BB$13)^$AN122)</f>
        <v>0</v>
      </c>
      <c r="BC122" s="69">
        <f ca="1">$AO122*IF(Auswahllisten!$G$150,BC$25+BC$25*BC$13*$AN122,BC$25*(1+BC$13)^$AN122)</f>
        <v>0</v>
      </c>
      <c r="BD122" s="69">
        <f t="shared" ca="1" si="102"/>
        <v>0</v>
      </c>
      <c r="BE122" s="69">
        <f t="shared" ca="1" si="121"/>
        <v>0</v>
      </c>
      <c r="BF122" s="69">
        <f t="shared" ca="1" si="122"/>
        <v>0</v>
      </c>
      <c r="BG122" s="69">
        <f t="shared" ca="1" si="105"/>
        <v>0</v>
      </c>
      <c r="BI122" s="69">
        <f t="shared" ca="1" si="106"/>
        <v>0</v>
      </c>
      <c r="BJ122" s="69">
        <f t="shared" ca="1" si="106"/>
        <v>0</v>
      </c>
      <c r="BK122" s="69">
        <f t="shared" si="106"/>
        <v>0</v>
      </c>
      <c r="BL122" s="69">
        <f t="shared" ca="1" si="106"/>
        <v>0</v>
      </c>
      <c r="BM122" s="69">
        <f t="shared" ca="1" si="106"/>
        <v>0</v>
      </c>
      <c r="BN122" s="69">
        <f t="shared" ca="1" si="106"/>
        <v>0</v>
      </c>
      <c r="BO122" s="69">
        <f t="shared" si="106"/>
        <v>0</v>
      </c>
      <c r="BP122" s="69">
        <f t="shared" ca="1" si="95"/>
        <v>0</v>
      </c>
      <c r="BQ122" s="69">
        <f t="shared" ca="1" si="107"/>
        <v>0</v>
      </c>
      <c r="BR122" s="69">
        <f t="shared" ca="1" si="96"/>
        <v>0</v>
      </c>
      <c r="BS122" s="69">
        <f ca="1">$AO122*IF(Auswahllisten!$G$150,BS$25+BS$25*BS$13*$AN122,BS$25*(1+BS$13)^$AN122)</f>
        <v>0</v>
      </c>
      <c r="BT122" s="69">
        <f ca="1">$AO122*IF(Auswahllisten!$G$150,BT$25+BT$25*BT$13*$AN122,BT$25*(1+BT$13)^$AN122)</f>
        <v>0</v>
      </c>
      <c r="BU122" s="69">
        <f ca="1">$AO122*IF(Auswahllisten!$G$150,BU$25+BU$25*BU$13*$AN122,BU$25*(1+BU$13)^$AN122)</f>
        <v>0</v>
      </c>
      <c r="BV122" s="69">
        <f ca="1">$AO122*IF(Auswahllisten!$G$150,BV$25+BV$25*BV$13*$AN122,BV$25*(1+BV$13)^$AN122)</f>
        <v>0</v>
      </c>
      <c r="BW122" s="69">
        <f t="shared" ca="1" si="108"/>
        <v>0</v>
      </c>
      <c r="BX122" s="69">
        <f t="shared" ca="1" si="109"/>
        <v>0</v>
      </c>
      <c r="BY122" s="69">
        <f t="shared" ca="1" si="97"/>
        <v>0</v>
      </c>
      <c r="BZ122" s="69">
        <f t="shared" ca="1" si="98"/>
        <v>0</v>
      </c>
    </row>
    <row r="123" spans="1:78">
      <c r="A123" s="305" t="s">
        <v>1228</v>
      </c>
      <c r="B123" s="126" t="s">
        <v>1013</v>
      </c>
      <c r="C123" s="126" t="s">
        <v>1018</v>
      </c>
      <c r="D123" s="26" t="str" cm="1">
        <f t="array" aca="1" ref="D123" ca="1">INDIRECT("Vergleich!"&amp;$G$2&amp;Z123)</f>
        <v>keine</v>
      </c>
      <c r="E123" s="26" cm="1">
        <f t="array" aca="1" ref="E123" ca="1">INDIRECT("Investition_gewählt!"&amp;$I$5&amp;AA123)</f>
        <v>750</v>
      </c>
      <c r="F123" s="25" cm="1">
        <f t="array" aca="1" ref="F123" ca="1">IF($C$5=0,0,INDEX(Faktoren!E106:GQ106,1,VLOOKUP($F$5,$L$2:$O$14,4,FALSE)+$C$9*5+VLOOKUP(D123,Auswahllisten!$E$25:$F$29,2,FALSE)))</f>
        <v>0</v>
      </c>
      <c r="G123" s="162">
        <f t="shared" ca="1" si="135"/>
        <v>0</v>
      </c>
      <c r="H123" s="26" cm="1">
        <f t="array" aca="1" ref="H123" ca="1">INDIRECT("Investition_gewählt!"&amp;$I$6&amp;AA123)</f>
        <v>750</v>
      </c>
      <c r="I123" s="25" cm="1">
        <f t="array" aca="1" ref="I123" ca="1">IF($C$5=0,0,INDEX(Faktoren!E106:GQ106,1,VLOOKUP($F$6,$L$2:$O$14,4,FALSE)+$C$9*5+VLOOKUP(D123,Auswahllisten!$E$25:$F$29,2,FALSE)))</f>
        <v>0</v>
      </c>
      <c r="J123" s="162">
        <f t="shared" ca="1" si="136"/>
        <v>0</v>
      </c>
      <c r="K123" s="26">
        <f t="shared" ca="1" si="112"/>
        <v>0</v>
      </c>
      <c r="L123" s="26">
        <v>1</v>
      </c>
      <c r="M123" s="26">
        <f t="shared" ca="1" si="134"/>
        <v>0</v>
      </c>
      <c r="Z123" s="1">
        <v>80</v>
      </c>
      <c r="AA123" s="1">
        <v>106</v>
      </c>
      <c r="AB123" s="1">
        <v>-2</v>
      </c>
      <c r="AN123" s="1">
        <v>98</v>
      </c>
      <c r="AO123" s="1">
        <f t="shared" si="118"/>
        <v>0</v>
      </c>
      <c r="AP123" s="69">
        <f t="shared" ca="1" si="128"/>
        <v>0</v>
      </c>
      <c r="AQ123" s="69">
        <f t="shared" ca="1" si="128"/>
        <v>0</v>
      </c>
      <c r="AR123" s="69">
        <f t="shared" si="128"/>
        <v>0</v>
      </c>
      <c r="AS123" s="69">
        <f t="shared" ca="1" si="128"/>
        <v>0</v>
      </c>
      <c r="AT123" s="69">
        <f t="shared" ca="1" si="128"/>
        <v>0</v>
      </c>
      <c r="AU123" s="69">
        <f t="shared" ca="1" si="128"/>
        <v>0</v>
      </c>
      <c r="AV123" s="69">
        <f t="shared" si="128"/>
        <v>0</v>
      </c>
      <c r="AW123" s="69">
        <f t="shared" ca="1" si="119"/>
        <v>0</v>
      </c>
      <c r="AX123" s="69">
        <f t="shared" ca="1" si="100"/>
        <v>0</v>
      </c>
      <c r="AY123" s="69">
        <f t="shared" ca="1" si="120"/>
        <v>0</v>
      </c>
      <c r="AZ123" s="69">
        <f ca="1">$AO123*IF(Auswahllisten!$G$150,AZ$25+AZ$25*AZ$13*$AN123,AZ$25*(1+AZ$13)^$AN123)</f>
        <v>0</v>
      </c>
      <c r="BA123" s="69">
        <f ca="1">$AO123*IF(Auswahllisten!$G$150,BA$25+BA$25*BA$13*$AN123,BA$25*(1+BA$13)^$AN123)</f>
        <v>0</v>
      </c>
      <c r="BB123" s="69">
        <f ca="1">$AO123*IF(Auswahllisten!$G$150,BB$25+BB$25*BB$13*$AN123,BB$25*(1+BB$13)^$AN123)</f>
        <v>0</v>
      </c>
      <c r="BC123" s="69">
        <f ca="1">$AO123*IF(Auswahllisten!$G$150,BC$25+BC$25*BC$13*$AN123,BC$25*(1+BC$13)^$AN123)</f>
        <v>0</v>
      </c>
      <c r="BD123" s="69">
        <f t="shared" ca="1" si="102"/>
        <v>0</v>
      </c>
      <c r="BE123" s="69">
        <f t="shared" ca="1" si="121"/>
        <v>0</v>
      </c>
      <c r="BF123" s="69">
        <f t="shared" ca="1" si="122"/>
        <v>0</v>
      </c>
      <c r="BG123" s="69">
        <f t="shared" ca="1" si="105"/>
        <v>0</v>
      </c>
      <c r="BI123" s="69">
        <f t="shared" ca="1" si="106"/>
        <v>0</v>
      </c>
      <c r="BJ123" s="69">
        <f t="shared" ca="1" si="106"/>
        <v>0</v>
      </c>
      <c r="BK123" s="69">
        <f t="shared" si="106"/>
        <v>0</v>
      </c>
      <c r="BL123" s="69">
        <f t="shared" ca="1" si="106"/>
        <v>0</v>
      </c>
      <c r="BM123" s="69">
        <f t="shared" ca="1" si="106"/>
        <v>0</v>
      </c>
      <c r="BN123" s="69">
        <f t="shared" ca="1" si="106"/>
        <v>0</v>
      </c>
      <c r="BO123" s="69">
        <f t="shared" si="106"/>
        <v>0</v>
      </c>
      <c r="BP123" s="69">
        <f t="shared" ref="BP123:BP125" ca="1" si="137">SUM(BI123:BO123)/(1+$AS$11)^AN123</f>
        <v>0</v>
      </c>
      <c r="BQ123" s="69">
        <f t="shared" ca="1" si="107"/>
        <v>0</v>
      </c>
      <c r="BR123" s="69">
        <f t="shared" ref="BR123:BR125" ca="1" si="138">SUM(BQ123)/(1+$AS$11)^AN123</f>
        <v>0</v>
      </c>
      <c r="BS123" s="69">
        <f ca="1">$AO123*IF(Auswahllisten!$G$150,BS$25+BS$25*BS$13*$AN123,BS$25*(1+BS$13)^$AN123)</f>
        <v>0</v>
      </c>
      <c r="BT123" s="69">
        <f ca="1">$AO123*IF(Auswahllisten!$G$150,BT$25+BT$25*BT$13*$AN123,BT$25*(1+BT$13)^$AN123)</f>
        <v>0</v>
      </c>
      <c r="BU123" s="69">
        <f ca="1">$AO123*IF(Auswahllisten!$G$150,BU$25+BU$25*BU$13*$AN123,BU$25*(1+BU$13)^$AN123)</f>
        <v>0</v>
      </c>
      <c r="BV123" s="69">
        <f ca="1">$AO123*IF(Auswahllisten!$G$150,BV$25+BV$25*BV$13*$AN123,BV$25*(1+BV$13)^$AN123)</f>
        <v>0</v>
      </c>
      <c r="BW123" s="69">
        <f t="shared" ca="1" si="108"/>
        <v>0</v>
      </c>
      <c r="BX123" s="69">
        <f t="shared" ca="1" si="109"/>
        <v>0</v>
      </c>
      <c r="BY123" s="69">
        <f t="shared" ca="1" si="97"/>
        <v>0</v>
      </c>
      <c r="BZ123" s="69">
        <f t="shared" ca="1" si="98"/>
        <v>0</v>
      </c>
    </row>
    <row r="124" spans="1:78">
      <c r="A124" s="305" t="s">
        <v>1228</v>
      </c>
      <c r="B124" s="126" t="s">
        <v>1013</v>
      </c>
      <c r="C124" s="126" t="s">
        <v>1019</v>
      </c>
      <c r="D124" s="26" t="str" cm="1">
        <f t="array" aca="1" ref="D124" ca="1">INDIRECT("Vergleich!"&amp;$G$2&amp;Z124)</f>
        <v>keine</v>
      </c>
      <c r="E124" s="26" cm="1">
        <f t="array" aca="1" ref="E124" ca="1">INDIRECT("Investition_gewählt!"&amp;$I$5&amp;AA124)</f>
        <v>1000</v>
      </c>
      <c r="F124" s="25" cm="1">
        <f t="array" aca="1" ref="F124" ca="1">IF($C$5=0,0,INDEX(Faktoren!E107:GQ107,1,VLOOKUP($F$5,$L$2:$O$14,4,FALSE)+$C$9*5+VLOOKUP(D124,Auswahllisten!$E$25:$F$29,2,FALSE)))</f>
        <v>0</v>
      </c>
      <c r="G124" s="162">
        <f t="shared" ca="1" si="135"/>
        <v>0</v>
      </c>
      <c r="H124" s="26" cm="1">
        <f t="array" aca="1" ref="H124" ca="1">INDIRECT("Investition_gewählt!"&amp;$I$6&amp;AA124)</f>
        <v>1000</v>
      </c>
      <c r="I124" s="25" cm="1">
        <f t="array" aca="1" ref="I124" ca="1">IF($C$5=0,0,INDEX(Faktoren!E107:GQ107,1,VLOOKUP($F$6,$L$2:$O$14,4,FALSE)+$C$9*5+VLOOKUP(D124,Auswahllisten!$E$25:$F$29,2,FALSE)))</f>
        <v>0</v>
      </c>
      <c r="J124" s="162">
        <f t="shared" ca="1" si="136"/>
        <v>0</v>
      </c>
      <c r="K124" s="26">
        <f t="shared" ca="1" si="112"/>
        <v>0</v>
      </c>
      <c r="L124" s="26">
        <v>1</v>
      </c>
      <c r="M124" s="26">
        <f t="shared" ca="1" si="134"/>
        <v>0</v>
      </c>
      <c r="Z124" s="1">
        <v>81</v>
      </c>
      <c r="AA124" s="1">
        <v>107</v>
      </c>
      <c r="AB124" s="1">
        <v>-2</v>
      </c>
      <c r="AN124" s="1">
        <v>99</v>
      </c>
      <c r="AO124" s="1">
        <f t="shared" si="118"/>
        <v>0</v>
      </c>
      <c r="AP124" s="69">
        <f t="shared" ca="1" si="128"/>
        <v>0</v>
      </c>
      <c r="AQ124" s="69">
        <f t="shared" ca="1" si="128"/>
        <v>0</v>
      </c>
      <c r="AR124" s="69">
        <f t="shared" si="128"/>
        <v>0</v>
      </c>
      <c r="AS124" s="69">
        <f t="shared" ca="1" si="128"/>
        <v>0</v>
      </c>
      <c r="AT124" s="69">
        <f t="shared" ca="1" si="128"/>
        <v>0</v>
      </c>
      <c r="AU124" s="69">
        <f t="shared" ca="1" si="128"/>
        <v>0</v>
      </c>
      <c r="AV124" s="69">
        <f t="shared" si="128"/>
        <v>0</v>
      </c>
      <c r="AW124" s="69">
        <f t="shared" ca="1" si="119"/>
        <v>0</v>
      </c>
      <c r="AX124" s="69">
        <f t="shared" ca="1" si="100"/>
        <v>0</v>
      </c>
      <c r="AY124" s="69">
        <f t="shared" ca="1" si="120"/>
        <v>0</v>
      </c>
      <c r="AZ124" s="69">
        <f ca="1">$AO124*IF(Auswahllisten!$G$150,AZ$25+AZ$25*AZ$13*$AN124,AZ$25*(1+AZ$13)^$AN124)</f>
        <v>0</v>
      </c>
      <c r="BA124" s="69">
        <f ca="1">$AO124*IF(Auswahllisten!$G$150,BA$25+BA$25*BA$13*$AN124,BA$25*(1+BA$13)^$AN124)</f>
        <v>0</v>
      </c>
      <c r="BB124" s="69">
        <f ca="1">$AO124*IF(Auswahllisten!$G$150,BB$25+BB$25*BB$13*$AN124,BB$25*(1+BB$13)^$AN124)</f>
        <v>0</v>
      </c>
      <c r="BC124" s="69">
        <f ca="1">$AO124*IF(Auswahllisten!$G$150,BC$25+BC$25*BC$13*$AN124,BC$25*(1+BC$13)^$AN124)</f>
        <v>0</v>
      </c>
      <c r="BD124" s="69">
        <f t="shared" ca="1" si="102"/>
        <v>0</v>
      </c>
      <c r="BE124" s="69">
        <f t="shared" ca="1" si="121"/>
        <v>0</v>
      </c>
      <c r="BF124" s="69">
        <f t="shared" ca="1" si="122"/>
        <v>0</v>
      </c>
      <c r="BG124" s="69">
        <f t="shared" ca="1" si="105"/>
        <v>0</v>
      </c>
      <c r="BI124" s="69">
        <f t="shared" ca="1" si="106"/>
        <v>0</v>
      </c>
      <c r="BJ124" s="69">
        <f t="shared" ca="1" si="106"/>
        <v>0</v>
      </c>
      <c r="BK124" s="69">
        <f t="shared" si="106"/>
        <v>0</v>
      </c>
      <c r="BL124" s="69">
        <f t="shared" ca="1" si="106"/>
        <v>0</v>
      </c>
      <c r="BM124" s="69">
        <f t="shared" ca="1" si="106"/>
        <v>0</v>
      </c>
      <c r="BN124" s="69">
        <f t="shared" ca="1" si="106"/>
        <v>0</v>
      </c>
      <c r="BO124" s="69">
        <f t="shared" si="106"/>
        <v>0</v>
      </c>
      <c r="BP124" s="69">
        <f t="shared" ca="1" si="137"/>
        <v>0</v>
      </c>
      <c r="BQ124" s="69">
        <f t="shared" ca="1" si="107"/>
        <v>0</v>
      </c>
      <c r="BR124" s="69">
        <f t="shared" ca="1" si="138"/>
        <v>0</v>
      </c>
      <c r="BS124" s="69">
        <f ca="1">$AO124*IF(Auswahllisten!$G$150,BS$25+BS$25*BS$13*$AN124,BS$25*(1+BS$13)^$AN124)</f>
        <v>0</v>
      </c>
      <c r="BT124" s="69">
        <f ca="1">$AO124*IF(Auswahllisten!$G$150,BT$25+BT$25*BT$13*$AN124,BT$25*(1+BT$13)^$AN124)</f>
        <v>0</v>
      </c>
      <c r="BU124" s="69">
        <f ca="1">$AO124*IF(Auswahllisten!$G$150,BU$25+BU$25*BU$13*$AN124,BU$25*(1+BU$13)^$AN124)</f>
        <v>0</v>
      </c>
      <c r="BV124" s="69">
        <f ca="1">$AO124*IF(Auswahllisten!$G$150,BV$25+BV$25*BV$13*$AN124,BV$25*(1+BV$13)^$AN124)</f>
        <v>0</v>
      </c>
      <c r="BW124" s="69">
        <f t="shared" ca="1" si="108"/>
        <v>0</v>
      </c>
      <c r="BX124" s="69">
        <f t="shared" ca="1" si="109"/>
        <v>0</v>
      </c>
      <c r="BY124" s="69">
        <f t="shared" ca="1" si="97"/>
        <v>0</v>
      </c>
      <c r="BZ124" s="69">
        <f t="shared" ca="1" si="98"/>
        <v>0</v>
      </c>
    </row>
    <row r="125" spans="1:78">
      <c r="A125" s="306" t="s">
        <v>1228</v>
      </c>
      <c r="B125" s="297" t="s">
        <v>1013</v>
      </c>
      <c r="C125" s="134" t="s">
        <v>1021</v>
      </c>
      <c r="D125" s="163" t="str" cm="1">
        <f t="array" aca="1" ref="D125" ca="1">INDIRECT("Vergleich!"&amp;$G$2&amp;Z125)</f>
        <v>keine</v>
      </c>
      <c r="E125" s="163" cm="1">
        <f t="array" aca="1" ref="E125" ca="1">INDIRECT("Investition_gewählt!"&amp;$I$5&amp;AA125)</f>
        <v>0</v>
      </c>
      <c r="F125" s="61" cm="1">
        <f t="array" aca="1" ref="F125" ca="1">IF($C$5=0,0,INDEX(Faktoren!E108:GQ108,1,VLOOKUP($F$5,$L$2:$O$14,4,FALSE)+$C$9*5+VLOOKUP(D125,Auswahllisten!$E$25:$F$29,2,FALSE)))</f>
        <v>0</v>
      </c>
      <c r="G125" s="216">
        <f t="shared" ca="1" si="135"/>
        <v>0</v>
      </c>
      <c r="H125" s="163" cm="1">
        <f t="array" aca="1" ref="H125" ca="1">INDIRECT("Investition_gewählt!"&amp;$I$6&amp;AA125)</f>
        <v>0</v>
      </c>
      <c r="I125" s="61" cm="1">
        <f t="array" aca="1" ref="I125" ca="1">IF($C$5=0,0,INDEX(Faktoren!E108:GQ108,1,VLOOKUP($F$6,$L$2:$O$14,4,FALSE)+$C$9*5+VLOOKUP(D125,Auswahllisten!$E$25:$F$29,2,FALSE)))</f>
        <v>0</v>
      </c>
      <c r="J125" s="216">
        <f t="shared" ca="1" si="136"/>
        <v>0</v>
      </c>
      <c r="K125" s="163">
        <f t="shared" ca="1" si="112"/>
        <v>0</v>
      </c>
      <c r="L125" s="163">
        <v>1</v>
      </c>
      <c r="M125" s="163">
        <f t="shared" ca="1" si="134"/>
        <v>0</v>
      </c>
      <c r="Z125" s="1">
        <v>82</v>
      </c>
      <c r="AA125" s="1">
        <v>108</v>
      </c>
      <c r="AB125" s="1">
        <v>-2</v>
      </c>
      <c r="AN125" s="1">
        <v>100</v>
      </c>
      <c r="AO125" s="1">
        <f t="shared" si="118"/>
        <v>0</v>
      </c>
      <c r="AP125" s="69">
        <f t="shared" ca="1" si="128"/>
        <v>0</v>
      </c>
      <c r="AQ125" s="69">
        <f t="shared" ca="1" si="128"/>
        <v>0</v>
      </c>
      <c r="AR125" s="69">
        <f t="shared" ca="1" si="128"/>
        <v>0</v>
      </c>
      <c r="AS125" s="69">
        <f t="shared" ca="1" si="128"/>
        <v>0</v>
      </c>
      <c r="AT125" s="69">
        <f t="shared" ca="1" si="128"/>
        <v>0</v>
      </c>
      <c r="AU125" s="69">
        <f t="shared" ca="1" si="128"/>
        <v>0</v>
      </c>
      <c r="AV125" s="69">
        <f t="shared" ca="1" si="128"/>
        <v>0</v>
      </c>
      <c r="AW125" s="69">
        <f t="shared" ca="1" si="119"/>
        <v>0</v>
      </c>
      <c r="AX125" s="69">
        <f t="shared" ca="1" si="100"/>
        <v>0</v>
      </c>
      <c r="AY125" s="69">
        <f t="shared" ca="1" si="120"/>
        <v>0</v>
      </c>
      <c r="AZ125" s="69">
        <f ca="1">$AO125*IF(Auswahllisten!$G$150,AZ$25+AZ$25*AZ$13*$AN125,AZ$25*(1+AZ$13)^$AN125)</f>
        <v>0</v>
      </c>
      <c r="BA125" s="69">
        <f ca="1">$AO125*IF(Auswahllisten!$G$150,BA$25+BA$25*BA$13*$AN125,BA$25*(1+BA$13)^$AN125)</f>
        <v>0</v>
      </c>
      <c r="BB125" s="69">
        <f ca="1">$AO125*IF(Auswahllisten!$G$150,BB$25+BB$25*BB$13*$AN125,BB$25*(1+BB$13)^$AN125)</f>
        <v>0</v>
      </c>
      <c r="BC125" s="69">
        <f ca="1">$AO125*IF(Auswahllisten!$G$150,BC$25+BC$25*BC$13*$AN125,BC$25*(1+BC$13)^$AN125)</f>
        <v>0</v>
      </c>
      <c r="BD125" s="69">
        <f t="shared" ca="1" si="102"/>
        <v>0</v>
      </c>
      <c r="BE125" s="69">
        <f t="shared" ca="1" si="121"/>
        <v>0</v>
      </c>
      <c r="BF125" s="69">
        <f t="shared" ca="1" si="122"/>
        <v>0</v>
      </c>
      <c r="BG125" s="69">
        <f t="shared" ca="1" si="105"/>
        <v>0</v>
      </c>
      <c r="BI125" s="69">
        <f t="shared" ca="1" si="106"/>
        <v>0</v>
      </c>
      <c r="BJ125" s="69">
        <f t="shared" ca="1" si="106"/>
        <v>0</v>
      </c>
      <c r="BK125" s="69">
        <f t="shared" si="106"/>
        <v>0</v>
      </c>
      <c r="BL125" s="69">
        <f t="shared" ca="1" si="106"/>
        <v>0</v>
      </c>
      <c r="BM125" s="69">
        <f t="shared" ca="1" si="106"/>
        <v>0</v>
      </c>
      <c r="BN125" s="69">
        <f t="shared" ca="1" si="106"/>
        <v>0</v>
      </c>
      <c r="BO125" s="69">
        <f t="shared" si="106"/>
        <v>0</v>
      </c>
      <c r="BP125" s="69">
        <f t="shared" ca="1" si="137"/>
        <v>0</v>
      </c>
      <c r="BQ125" s="69">
        <f t="shared" ca="1" si="107"/>
        <v>0</v>
      </c>
      <c r="BR125" s="69">
        <f t="shared" ca="1" si="138"/>
        <v>0</v>
      </c>
      <c r="BS125" s="69">
        <f ca="1">$AO125*IF(Auswahllisten!$G$150,BS$25+BS$25*BS$13*$AN125,BS$25*(1+BS$13)^$AN125)</f>
        <v>0</v>
      </c>
      <c r="BT125" s="69">
        <f ca="1">$AO125*IF(Auswahllisten!$G$150,BT$25+BT$25*BT$13*$AN125,BT$25*(1+BT$13)^$AN125)</f>
        <v>0</v>
      </c>
      <c r="BU125" s="69">
        <f ca="1">$AO125*IF(Auswahllisten!$G$150,BU$25+BU$25*BU$13*$AN125,BU$25*(1+BU$13)^$AN125)</f>
        <v>0</v>
      </c>
      <c r="BV125" s="69">
        <f ca="1">$AO125*IF(Auswahllisten!$G$150,BV$25+BV$25*BV$13*$AN125,BV$25*(1+BV$13)^$AN125)</f>
        <v>0</v>
      </c>
      <c r="BW125" s="69">
        <f t="shared" ca="1" si="108"/>
        <v>0</v>
      </c>
      <c r="BX125" s="69">
        <f t="shared" ca="1" si="109"/>
        <v>0</v>
      </c>
      <c r="BY125" s="69">
        <f t="shared" ca="1" si="97"/>
        <v>0</v>
      </c>
      <c r="BZ125" s="69">
        <f t="shared" ca="1" si="98"/>
        <v>0</v>
      </c>
    </row>
    <row r="126" spans="1:78">
      <c r="A126" s="125"/>
      <c r="B126" s="64"/>
      <c r="C126" s="64"/>
      <c r="D126" s="69"/>
      <c r="E126" s="69"/>
      <c r="G126" s="69"/>
      <c r="H126" s="69"/>
      <c r="J126" s="69"/>
      <c r="K126" s="69"/>
      <c r="L126" s="69"/>
      <c r="M126" s="69"/>
      <c r="AA126" s="1">
        <v>109</v>
      </c>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A127" s="125"/>
      <c r="B127" s="125" t="s">
        <v>968</v>
      </c>
      <c r="C127" s="64"/>
      <c r="D127" s="393"/>
      <c r="E127" s="393"/>
      <c r="F127" s="394"/>
      <c r="G127" s="393"/>
      <c r="H127" s="393"/>
      <c r="I127" s="394"/>
      <c r="J127" s="393"/>
      <c r="K127" s="393"/>
      <c r="L127" s="393"/>
      <c r="M127" s="393"/>
      <c r="O127" s="394"/>
      <c r="P127" s="394"/>
      <c r="Q127" s="394"/>
      <c r="R127" s="394"/>
      <c r="S127" s="394"/>
      <c r="T127" s="394"/>
      <c r="U127" s="394"/>
      <c r="V127" s="394"/>
      <c r="W127" s="394"/>
      <c r="X127" s="394"/>
      <c r="AA127" s="1">
        <v>110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A128" s="304" t="s">
        <v>1229</v>
      </c>
      <c r="B128" s="131" t="s">
        <v>1246</v>
      </c>
      <c r="C128" s="131" t="s">
        <v>1025</v>
      </c>
      <c r="D128" s="162" t="str" cm="1">
        <f t="array" aca="1" ref="D128" ca="1">INDIRECT("Vergleich!"&amp;$G$2&amp;Z128)</f>
        <v>mittel</v>
      </c>
      <c r="E128" s="162" cm="1">
        <f t="array" aca="1" ref="E128" ca="1">INDIRECT("Investition_gewählt!"&amp;$I$5&amp;AA128)</f>
        <v>3000</v>
      </c>
      <c r="F128" s="25" cm="1">
        <f t="array" aca="1" ref="F128" ca="1">IF($C$5=0,0,INDEX(Faktoren!E111:GQ111,1,VLOOKUP($F$5,$L$2:$O$14,4,FALSE)+$C$9*5+VLOOKUP(D128,Auswahllisten!$E$25:$F$29,2,FALSE)))</f>
        <v>0</v>
      </c>
      <c r="G128" s="162">
        <f t="shared" ca="1" si="135"/>
        <v>0</v>
      </c>
      <c r="H128" s="162" cm="1">
        <f t="array" aca="1" ref="H128" ca="1">INDIRECT("Investition_gewählt!"&amp;$I$6&amp;AA128)</f>
        <v>3000</v>
      </c>
      <c r="I128" s="25" cm="1">
        <f t="array" aca="1" ref="I128" ca="1">IF($C$5=0,0,INDEX(Faktoren!E111:GQ111,1,VLOOKUP($F$6,$L$2:$O$14,4,FALSE)+$C$9*5+VLOOKUP(D128,Auswahllisten!$E$25:$F$29,2,FALSE)))</f>
        <v>0</v>
      </c>
      <c r="J128" s="162">
        <f t="shared" ca="1" si="136"/>
        <v>0</v>
      </c>
      <c r="K128" s="162">
        <f t="shared" ca="1" si="112"/>
        <v>0</v>
      </c>
      <c r="L128" s="162" t="b">
        <f ca="1">OR(C5=2,C5=10,C5=11,C5=12,C5=13)</f>
        <v>0</v>
      </c>
      <c r="M128" s="162">
        <f t="shared" ca="1" si="134"/>
        <v>0</v>
      </c>
      <c r="O128" s="25" t="str" cm="1">
        <f t="array" aca="1" ref="O128" ca="1">INDIRECT("Vergleich!"&amp;$Y$2&amp;Z128)</f>
        <v>gering</v>
      </c>
      <c r="P128" s="162" cm="1">
        <f t="array" aca="1" ref="P128" ca="1">INDIRECT("Investition_gewählt!"&amp;$AA$5&amp;AA128)</f>
        <v>3000</v>
      </c>
      <c r="Q128" s="25" cm="1">
        <f t="array" aca="1" ref="Q128" ca="1">IF($U$5=0,0,INDEX(Faktoren!T111:GQ111,1,VLOOKUP($X$5,$L$2:$O$14,4,FALSE)+$U$9*5+VLOOKUP(O128,Auswahllisten!$E$25:$F$28,2,FALSE)))</f>
        <v>0</v>
      </c>
      <c r="R128" s="162">
        <f t="shared" ca="1" si="114"/>
        <v>0</v>
      </c>
      <c r="S128" s="162" cm="1">
        <f t="array" aca="1" ref="S128" ca="1">INDIRECT("Investition_gewählt!"&amp;$AA$6&amp;AA128)</f>
        <v>3000</v>
      </c>
      <c r="T128" s="25" cm="1">
        <f t="array" aca="1" ref="T128" ca="1">IF($U$5=0,0,INDEX(Faktoren!T111:GQ111,1,VLOOKUP($X$6,$L$2:$O$14,4,FALSE)+$U$9*5+VLOOKUP(O128,Auswahllisten!$E$25:$F$28,2,FALSE)))</f>
        <v>0</v>
      </c>
      <c r="U128" s="162">
        <f t="shared" ca="1" si="115"/>
        <v>0</v>
      </c>
      <c r="V128" s="162">
        <f ca="1">IF($U$5=0,0,R128+(U128-R128)*($U$6-$X$5)/($X$6-$X$5))</f>
        <v>0</v>
      </c>
      <c r="W128" s="162" t="b">
        <f ca="1">OR(U5=2,U5=10,U5=11,U5=12,U5=13)</f>
        <v>0</v>
      </c>
      <c r="X128" s="162">
        <f ca="1">IFERROR(ROUND(V128*W128,AB128),0)</f>
        <v>0</v>
      </c>
      <c r="Z128" s="1">
        <v>57</v>
      </c>
      <c r="AA128" s="1">
        <v>111</v>
      </c>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305" t="s">
        <v>1230</v>
      </c>
      <c r="B129" s="126" t="s">
        <v>1247</v>
      </c>
      <c r="C129" s="126" t="s">
        <v>1027</v>
      </c>
      <c r="D129" s="26" t="str" cm="1">
        <f t="array" aca="1" ref="D129" ca="1">INDIRECT("Vergleich!"&amp;$G$2&amp;Z129)</f>
        <v>mittel</v>
      </c>
      <c r="E129" s="26" cm="1">
        <f t="array" aca="1" ref="E129" ca="1">INDIRECT("Investition_gewählt!"&amp;$I$5&amp;AA129)</f>
        <v>2500</v>
      </c>
      <c r="F129" s="25" cm="1">
        <f t="array" aca="1" ref="F129" ca="1">IF($C$5=0,0,INDEX(Faktoren!E112:GQ112,1,VLOOKUP($F$5,$L$2:$O$14,4,FALSE)+$C$9*5+VLOOKUP(D129,Auswahllisten!$E$25:$F$29,2,FALSE)))</f>
        <v>0</v>
      </c>
      <c r="G129" s="162">
        <f t="shared" ca="1" si="135"/>
        <v>0</v>
      </c>
      <c r="H129" s="26" cm="1">
        <f t="array" aca="1" ref="H129" ca="1">INDIRECT("Investition_gewählt!"&amp;$I$6&amp;AA129)</f>
        <v>2500</v>
      </c>
      <c r="I129" s="25" cm="1">
        <f t="array" aca="1" ref="I129" ca="1">IF($C$5=0,0,INDEX(Faktoren!E112:GQ112,1,VLOOKUP($F$6,$L$2:$O$14,4,FALSE)+$C$9*5+VLOOKUP(D129,Auswahllisten!$E$25:$F$29,2,FALSE)))</f>
        <v>0</v>
      </c>
      <c r="J129" s="162">
        <f t="shared" ca="1" si="136"/>
        <v>0</v>
      </c>
      <c r="K129" s="26">
        <f t="shared" ca="1" si="112"/>
        <v>0</v>
      </c>
      <c r="L129" s="26" t="b">
        <f ca="1">OR(C5=1,C5=3,C5=4)</f>
        <v>0</v>
      </c>
      <c r="M129" s="26">
        <f t="shared" ca="1" si="134"/>
        <v>0</v>
      </c>
      <c r="O129" s="16" t="str" cm="1">
        <f t="array" aca="1" ref="O129" ca="1">INDIRECT("Vergleich!"&amp;$Y$2&amp;Z129)</f>
        <v>gering</v>
      </c>
      <c r="P129" s="26" cm="1">
        <f t="array" aca="1" ref="P129" ca="1">INDIRECT("Investition_gewählt!"&amp;$AA$5&amp;AA129)</f>
        <v>2500</v>
      </c>
      <c r="Q129" s="16" cm="1">
        <f t="array" aca="1" ref="Q129" ca="1">IF($U$5=0,0,INDEX(Faktoren!T112:GQ112,1,VLOOKUP($X$5,$L$2:$O$14,4,FALSE)+$U$9*5+VLOOKUP(O129,Auswahllisten!$E$25:$F$28,2,FALSE)))</f>
        <v>0</v>
      </c>
      <c r="R129" s="26">
        <f t="shared" ca="1" si="114"/>
        <v>0</v>
      </c>
      <c r="S129" s="26" cm="1">
        <f t="array" aca="1" ref="S129" ca="1">INDIRECT("Investition_gewählt!"&amp;$AA$6&amp;AA129)</f>
        <v>2500</v>
      </c>
      <c r="T129" s="16" cm="1">
        <f t="array" aca="1" ref="T129" ca="1">IF($U$5=0,0,INDEX(Faktoren!T112:GQ112,1,VLOOKUP($X$6,$L$2:$O$14,4,FALSE)+$U$9*5+VLOOKUP(O129,Auswahllisten!$E$25:$F$28,2,FALSE)))</f>
        <v>0</v>
      </c>
      <c r="U129" s="26">
        <f t="shared" ca="1" si="115"/>
        <v>0</v>
      </c>
      <c r="V129" s="26">
        <f t="shared" ref="V129:V134" ca="1" si="139">IF($U$5=0,0,R129+(U129-R129)*($U$6-$X$5)/($X$6-$X$5))</f>
        <v>0</v>
      </c>
      <c r="W129" s="26" t="b">
        <f ca="1">OR(U5=1,U5=3,U5=4)</f>
        <v>0</v>
      </c>
      <c r="X129" s="26">
        <f t="shared" ref="X129:X134" ca="1" si="140">IFERROR(ROUND(V129*W129,AB129),0)</f>
        <v>0</v>
      </c>
      <c r="Z129" s="1">
        <v>58</v>
      </c>
      <c r="AA129" s="1">
        <v>112</v>
      </c>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305" t="s">
        <v>1230</v>
      </c>
      <c r="B130" s="126" t="s">
        <v>1247</v>
      </c>
      <c r="C130" s="126" t="s">
        <v>1028</v>
      </c>
      <c r="D130" s="26" t="str" cm="1">
        <f t="array" aca="1" ref="D130" ca="1">INDIRECT("Vergleich!"&amp;$G$2&amp;Z130)</f>
        <v>mittel</v>
      </c>
      <c r="E130" s="26" cm="1">
        <f t="array" aca="1" ref="E130" ca="1">INDIRECT("Investition_gewählt!"&amp;$I$5&amp;AA130)</f>
        <v>3600</v>
      </c>
      <c r="F130" s="25" cm="1">
        <f t="array" aca="1" ref="F130" ca="1">IF($C$5=0,0,INDEX(Faktoren!E113:GQ113,1,VLOOKUP($F$5,$L$2:$O$14,4,FALSE)+$C$9*5+VLOOKUP(D130,Auswahllisten!$E$25:$F$29,2,FALSE)))</f>
        <v>0</v>
      </c>
      <c r="G130" s="162">
        <f t="shared" ca="1" si="135"/>
        <v>0</v>
      </c>
      <c r="H130" s="26" cm="1">
        <f t="array" aca="1" ref="H130" ca="1">INDIRECT("Investition_gewählt!"&amp;$I$6&amp;AA130)</f>
        <v>3600</v>
      </c>
      <c r="I130" s="25" cm="1">
        <f t="array" aca="1" ref="I130" ca="1">IF($C$5=0,0,INDEX(Faktoren!E113:GQ113,1,VLOOKUP($F$6,$L$2:$O$14,4,FALSE)+$C$9*5+VLOOKUP(D130,Auswahllisten!$E$25:$F$29,2,FALSE)))</f>
        <v>0</v>
      </c>
      <c r="J130" s="162">
        <f t="shared" ca="1" si="136"/>
        <v>0</v>
      </c>
      <c r="K130" s="26">
        <f t="shared" ca="1" si="112"/>
        <v>0</v>
      </c>
      <c r="L130" s="26" t="b">
        <f ca="1">(C5=5)</f>
        <v>0</v>
      </c>
      <c r="M130" s="26">
        <f t="shared" ca="1" si="134"/>
        <v>0</v>
      </c>
      <c r="O130" s="16" t="str" cm="1">
        <f t="array" aca="1" ref="O130" ca="1">INDIRECT("Vergleich!"&amp;$Y$2&amp;Z130)</f>
        <v>gering</v>
      </c>
      <c r="P130" s="26" cm="1">
        <f t="array" aca="1" ref="P130" ca="1">INDIRECT("Investition_gewählt!"&amp;$AA$5&amp;AA130)</f>
        <v>3600</v>
      </c>
      <c r="Q130" s="16" cm="1">
        <f t="array" aca="1" ref="Q130" ca="1">IF($U$5=0,0,INDEX(Faktoren!T113:GQ113,1,VLOOKUP($X$5,$L$2:$O$14,4,FALSE)+$U$9*5+VLOOKUP(O130,Auswahllisten!$E$25:$F$28,2,FALSE)))</f>
        <v>0</v>
      </c>
      <c r="R130" s="26">
        <f t="shared" ca="1" si="114"/>
        <v>0</v>
      </c>
      <c r="S130" s="26" cm="1">
        <f t="array" aca="1" ref="S130" ca="1">INDIRECT("Investition_gewählt!"&amp;$AA$6&amp;AA130)</f>
        <v>3600</v>
      </c>
      <c r="T130" s="16" cm="1">
        <f t="array" aca="1" ref="T130" ca="1">IF($U$5=0,0,INDEX(Faktoren!T113:GQ113,1,VLOOKUP($X$6,$L$2:$O$14,4,FALSE)+$U$9*5+VLOOKUP(O130,Auswahllisten!$E$25:$F$28,2,FALSE)))</f>
        <v>0</v>
      </c>
      <c r="U130" s="26">
        <f t="shared" ca="1" si="115"/>
        <v>0</v>
      </c>
      <c r="V130" s="26">
        <f t="shared" ca="1" si="139"/>
        <v>0</v>
      </c>
      <c r="W130" s="26" t="b">
        <f ca="1">(U5=5)</f>
        <v>0</v>
      </c>
      <c r="X130" s="26">
        <f t="shared" ca="1" si="140"/>
        <v>0</v>
      </c>
      <c r="Z130" s="1">
        <v>59</v>
      </c>
      <c r="AA130" s="1">
        <v>113</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305" t="s">
        <v>1230</v>
      </c>
      <c r="B131" s="126" t="s">
        <v>1247</v>
      </c>
      <c r="C131" s="126" t="s">
        <v>969</v>
      </c>
      <c r="D131" s="26" t="str" cm="1">
        <f t="array" aca="1" ref="D131" ca="1">INDIRECT("Vergleich!"&amp;$G$2&amp;Z131)</f>
        <v>keine</v>
      </c>
      <c r="E131" s="26" cm="1">
        <f t="array" aca="1" ref="E131" ca="1">INDIRECT("Investition_gewählt!"&amp;$I$5&amp;AA131)</f>
        <v>4000</v>
      </c>
      <c r="F131" s="25" cm="1">
        <f t="array" aca="1" ref="F131" ca="1">IF($C$5=0,0,INDEX(Faktoren!E114:GQ114,1,VLOOKUP($F$5,$L$2:$O$14,4,FALSE)+$C$9*5+VLOOKUP(D131,Auswahllisten!$E$25:$F$29,2,FALSE)))</f>
        <v>0</v>
      </c>
      <c r="G131" s="162">
        <f t="shared" ca="1" si="135"/>
        <v>0</v>
      </c>
      <c r="H131" s="26" cm="1">
        <f t="array" aca="1" ref="H131" ca="1">INDIRECT("Investition_gewählt!"&amp;$I$6&amp;AA131)</f>
        <v>4000</v>
      </c>
      <c r="I131" s="25" cm="1">
        <f t="array" aca="1" ref="I131" ca="1">IF($C$5=0,0,INDEX(Faktoren!E114:GQ114,1,VLOOKUP($F$6,$L$2:$O$14,4,FALSE)+$C$9*5+VLOOKUP(D131,Auswahllisten!$E$25:$F$29,2,FALSE)))</f>
        <v>0</v>
      </c>
      <c r="J131" s="162">
        <f t="shared" ca="1" si="136"/>
        <v>0</v>
      </c>
      <c r="K131" s="26">
        <f t="shared" ca="1" si="112"/>
        <v>0</v>
      </c>
      <c r="L131" s="26" t="b">
        <f ca="1">(C5=5)</f>
        <v>0</v>
      </c>
      <c r="M131" s="26">
        <f t="shared" ca="1" si="134"/>
        <v>0</v>
      </c>
      <c r="O131" s="16" t="str" cm="1">
        <f t="array" aca="1" ref="O131" ca="1">INDIRECT("Vergleich!"&amp;$Y$2&amp;Z131)</f>
        <v>keine</v>
      </c>
      <c r="P131" s="26" cm="1">
        <f t="array" aca="1" ref="P131" ca="1">INDIRECT("Investition_gewählt!"&amp;$AA$5&amp;AA131)</f>
        <v>4000</v>
      </c>
      <c r="Q131" s="16" cm="1">
        <f t="array" aca="1" ref="Q131" ca="1">IF($U$5=0,0,INDEX(Faktoren!T114:GQ114,1,VLOOKUP($X$5,$L$2:$O$14,4,FALSE)+$U$9*5+VLOOKUP(O131,Auswahllisten!$E$25:$F$28,2,FALSE)))</f>
        <v>0</v>
      </c>
      <c r="R131" s="26">
        <f t="shared" ca="1" si="114"/>
        <v>0</v>
      </c>
      <c r="S131" s="26" cm="1">
        <f t="array" aca="1" ref="S131" ca="1">INDIRECT("Investition_gewählt!"&amp;$AA$6&amp;AA131)</f>
        <v>4000</v>
      </c>
      <c r="T131" s="16" cm="1">
        <f t="array" aca="1" ref="T131" ca="1">IF($U$5=0,0,INDEX(Faktoren!T114:GQ114,1,VLOOKUP($X$6,$L$2:$O$14,4,FALSE)+$U$9*5+VLOOKUP(O131,Auswahllisten!$E$25:$F$28,2,FALSE)))</f>
        <v>0</v>
      </c>
      <c r="U131" s="26">
        <f t="shared" ca="1" si="115"/>
        <v>0</v>
      </c>
      <c r="V131" s="26">
        <f t="shared" ca="1" si="139"/>
        <v>0</v>
      </c>
      <c r="W131" s="26" t="b">
        <f ca="1">(U5=5)</f>
        <v>0</v>
      </c>
      <c r="X131" s="26">
        <f t="shared" ca="1" si="140"/>
        <v>0</v>
      </c>
      <c r="Z131" s="1">
        <v>60</v>
      </c>
      <c r="AA131" s="1">
        <v>114</v>
      </c>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05" t="s">
        <v>1230</v>
      </c>
      <c r="B132" s="126" t="s">
        <v>1247</v>
      </c>
      <c r="C132" s="126" t="s">
        <v>1031</v>
      </c>
      <c r="D132" s="26" t="str" cm="1">
        <f t="array" aca="1" ref="D132" ca="1">INDIRECT("Vergleich!"&amp;$G$2&amp;Z132)</f>
        <v>keine</v>
      </c>
      <c r="E132" s="26" cm="1">
        <f t="array" aca="1" ref="E132" ca="1">INDIRECT("Investition_gewählt!"&amp;$I$5&amp;AA132)</f>
        <v>3500</v>
      </c>
      <c r="F132" s="25" cm="1">
        <f t="array" aca="1" ref="F132" ca="1">IF($C$5=0,0,INDEX(Faktoren!E115:GQ115,1,VLOOKUP($F$5,$L$2:$O$14,4,FALSE)+$C$9*5+VLOOKUP(D132,Auswahllisten!$E$25:$F$29,2,FALSE)))</f>
        <v>0</v>
      </c>
      <c r="G132" s="162">
        <f t="shared" ca="1" si="135"/>
        <v>0</v>
      </c>
      <c r="H132" s="26" cm="1">
        <f t="array" aca="1" ref="H132" ca="1">INDIRECT("Investition_gewählt!"&amp;$I$6&amp;AA132)</f>
        <v>3500</v>
      </c>
      <c r="I132" s="25" cm="1">
        <f t="array" aca="1" ref="I132" ca="1">IF($C$5=0,0,INDEX(Faktoren!E115:GQ115,1,VLOOKUP($F$6,$L$2:$O$14,4,FALSE)+$C$9*5+VLOOKUP(D132,Auswahllisten!$E$25:$F$29,2,FALSE)))</f>
        <v>0</v>
      </c>
      <c r="J132" s="162">
        <f t="shared" ca="1" si="136"/>
        <v>0</v>
      </c>
      <c r="K132" s="26">
        <f t="shared" ca="1" si="112"/>
        <v>0</v>
      </c>
      <c r="L132" s="26" t="b">
        <f ca="1">(C5=5)</f>
        <v>0</v>
      </c>
      <c r="M132" s="26">
        <f t="shared" ca="1" si="134"/>
        <v>0</v>
      </c>
      <c r="O132" s="16" t="str" cm="1">
        <f t="array" aca="1" ref="O132" ca="1">INDIRECT("Vergleich!"&amp;$Y$2&amp;Z132)</f>
        <v>keine</v>
      </c>
      <c r="P132" s="26" cm="1">
        <f t="array" aca="1" ref="P132" ca="1">INDIRECT("Investition_gewählt!"&amp;$AA$5&amp;AA132)</f>
        <v>3500</v>
      </c>
      <c r="Q132" s="16" cm="1">
        <f t="array" aca="1" ref="Q132" ca="1">IF($U$5=0,0,INDEX(Faktoren!T115:GQ115,1,VLOOKUP($X$5,$L$2:$O$14,4,FALSE)+$U$9*5+VLOOKUP(O132,Auswahllisten!$E$25:$F$28,2,FALSE)))</f>
        <v>0</v>
      </c>
      <c r="R132" s="26">
        <f t="shared" ca="1" si="114"/>
        <v>0</v>
      </c>
      <c r="S132" s="26" cm="1">
        <f t="array" aca="1" ref="S132" ca="1">INDIRECT("Investition_gewählt!"&amp;$AA$6&amp;AA132)</f>
        <v>3500</v>
      </c>
      <c r="T132" s="16" cm="1">
        <f t="array" aca="1" ref="T132" ca="1">IF($U$5=0,0,INDEX(Faktoren!T115:GQ115,1,VLOOKUP($X$6,$L$2:$O$14,4,FALSE)+$U$9*5+VLOOKUP(O132,Auswahllisten!$E$25:$F$28,2,FALSE)))</f>
        <v>0</v>
      </c>
      <c r="U132" s="26">
        <f t="shared" ca="1" si="115"/>
        <v>0</v>
      </c>
      <c r="V132" s="26">
        <f t="shared" ca="1" si="139"/>
        <v>0</v>
      </c>
      <c r="W132" s="26" t="b">
        <f ca="1">(U5=5)</f>
        <v>0</v>
      </c>
      <c r="X132" s="26">
        <f t="shared" ca="1" si="140"/>
        <v>0</v>
      </c>
      <c r="Z132" s="1">
        <v>61</v>
      </c>
      <c r="AA132" s="1">
        <v>115</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305" t="s">
        <v>1230</v>
      </c>
      <c r="B133" s="126" t="s">
        <v>1033</v>
      </c>
      <c r="C133" s="126" t="s">
        <v>970</v>
      </c>
      <c r="D133" s="26" t="str" cm="1">
        <f t="array" aca="1" ref="D133" ca="1">INDIRECT("Vergleich!"&amp;$G$2&amp;Z133)</f>
        <v>keine</v>
      </c>
      <c r="E133" s="26" cm="1">
        <f t="array" aca="1" ref="E133" ca="1">INDIRECT("Investition_gewählt!"&amp;$I$5&amp;AA133)</f>
        <v>0</v>
      </c>
      <c r="F133" s="25" cm="1">
        <f t="array" aca="1" ref="F133" ca="1">IF($C$5=0,0,INDEX(Faktoren!E116:GQ116,1,VLOOKUP($F$5,$L$2:$O$14,4,FALSE)+$C$9*5+VLOOKUP(D133,Auswahllisten!$E$25:$F$29,2,FALSE)))</f>
        <v>0</v>
      </c>
      <c r="G133" s="162">
        <f t="shared" ca="1" si="135"/>
        <v>0</v>
      </c>
      <c r="H133" s="26" cm="1">
        <f t="array" aca="1" ref="H133" ca="1">INDIRECT("Investition_gewählt!"&amp;$I$6&amp;AA133)</f>
        <v>0</v>
      </c>
      <c r="I133" s="25" cm="1">
        <f t="array" aca="1" ref="I133" ca="1">IF($C$5=0,0,INDEX(Faktoren!E116:GQ116,1,VLOOKUP($F$6,$L$2:$O$14,4,FALSE)+$C$9*5+VLOOKUP(D133,Auswahllisten!$E$25:$F$29,2,FALSE)))</f>
        <v>0</v>
      </c>
      <c r="J133" s="162">
        <f t="shared" ca="1" si="136"/>
        <v>0</v>
      </c>
      <c r="K133" s="26">
        <f t="shared" ca="1" si="112"/>
        <v>0</v>
      </c>
      <c r="L133" s="26" t="b">
        <f ca="1">(C5=5)</f>
        <v>0</v>
      </c>
      <c r="M133" s="26">
        <f t="shared" ca="1" si="134"/>
        <v>0</v>
      </c>
      <c r="O133" s="16" t="str" cm="1">
        <f t="array" aca="1" ref="O133" ca="1">INDIRECT("Vergleich!"&amp;$Y$2&amp;Z133)</f>
        <v>keine</v>
      </c>
      <c r="P133" s="26" cm="1">
        <f t="array" aca="1" ref="P133" ca="1">INDIRECT("Investition_gewählt!"&amp;$AA$5&amp;AA133)</f>
        <v>0</v>
      </c>
      <c r="Q133" s="16" cm="1">
        <f t="array" aca="1" ref="Q133" ca="1">IF($U$5=0,0,INDEX(Faktoren!T116:GQ116,1,VLOOKUP($X$5,$L$2:$O$14,4,FALSE)+$U$9*5+VLOOKUP(O133,Auswahllisten!$E$25:$F$28,2,FALSE)))</f>
        <v>0</v>
      </c>
      <c r="R133" s="26">
        <f t="shared" ca="1" si="114"/>
        <v>0</v>
      </c>
      <c r="S133" s="26" cm="1">
        <f t="array" aca="1" ref="S133" ca="1">INDIRECT("Investition_gewählt!"&amp;$AA$6&amp;AA133)</f>
        <v>0</v>
      </c>
      <c r="T133" s="16" cm="1">
        <f t="array" aca="1" ref="T133" ca="1">IF($U$5=0,0,INDEX(Faktoren!T116:GQ116,1,VLOOKUP($X$6,$L$2:$O$14,4,FALSE)+$U$9*5+VLOOKUP(O133,Auswahllisten!$E$25:$F$28,2,FALSE)))</f>
        <v>0</v>
      </c>
      <c r="U133" s="26">
        <f t="shared" ca="1" si="115"/>
        <v>0</v>
      </c>
      <c r="V133" s="26">
        <f t="shared" ca="1" si="139"/>
        <v>0</v>
      </c>
      <c r="W133" s="26" t="b">
        <f ca="1">(U5=5)</f>
        <v>0</v>
      </c>
      <c r="X133" s="26">
        <f t="shared" ca="1" si="140"/>
        <v>0</v>
      </c>
      <c r="Z133" s="1">
        <v>62</v>
      </c>
      <c r="AA133" s="1">
        <v>116</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A134" s="82" t="s">
        <v>1229</v>
      </c>
      <c r="B134" s="64" t="s">
        <v>1246</v>
      </c>
      <c r="C134" s="134" t="s">
        <v>1036</v>
      </c>
      <c r="D134" s="163" t="str" cm="1">
        <f t="array" aca="1" ref="D134" ca="1">INDIRECT("Vergleich!"&amp;$G$2&amp;Z134)</f>
        <v>mittel</v>
      </c>
      <c r="E134" s="163" cm="1">
        <f t="array" aca="1" ref="E134" ca="1">INDIRECT("Investition_gewählt!"&amp;$I$5&amp;AA134)</f>
        <v>1800</v>
      </c>
      <c r="F134" s="61" cm="1">
        <f t="array" aca="1" ref="F134" ca="1">IF($C$5=0,0,INDEX(Faktoren!E117:GQ117,1,VLOOKUP($F$5,$L$2:$O$14,4,FALSE)+$C$9*5+VLOOKUP(D134,Auswahllisten!$E$25:$F$29,2,FALSE)))</f>
        <v>0</v>
      </c>
      <c r="G134" s="216">
        <f t="shared" ca="1" si="135"/>
        <v>0</v>
      </c>
      <c r="H134" s="296" cm="1">
        <f t="array" aca="1" ref="H134" ca="1">INDIRECT("Investition_gewählt!"&amp;$I$6&amp;AA134)</f>
        <v>1800</v>
      </c>
      <c r="I134" s="61" cm="1">
        <f t="array" aca="1" ref="I134" ca="1">IF($C$5=0,0,INDEX(Faktoren!E117:GQ117,1,VLOOKUP($F$6,$L$2:$O$14,4,FALSE)+$C$9*5+VLOOKUP(D134,Auswahllisten!$E$25:$F$29,2,FALSE)))</f>
        <v>0</v>
      </c>
      <c r="J134" s="216">
        <f t="shared" ca="1" si="136"/>
        <v>0</v>
      </c>
      <c r="K134" s="163">
        <f ca="1">IF($C$5=0,0,G134+(J134-G134)*($C$6-$F$5)/($F$6-$F$5))</f>
        <v>0</v>
      </c>
      <c r="L134" s="163" t="b">
        <f ca="1">OR(C5=6,C5=7,C5=14)</f>
        <v>0</v>
      </c>
      <c r="M134" s="163">
        <f t="shared" ca="1" si="134"/>
        <v>0</v>
      </c>
      <c r="O134" s="93" t="str" cm="1">
        <f t="array" aca="1" ref="O134" ca="1">INDIRECT("Vergleich!"&amp;$Y$2&amp;Z134)</f>
        <v>gering</v>
      </c>
      <c r="P134" s="163" cm="1">
        <f t="array" aca="1" ref="P134" ca="1">INDIRECT("Investition_gewählt!"&amp;$AA$5&amp;AA134)</f>
        <v>1800</v>
      </c>
      <c r="Q134" s="93" cm="1">
        <f t="array" aca="1" ref="Q134" ca="1">IF($U$5=0,0,INDEX(Faktoren!T117:GQ117,1,VLOOKUP($X$5,$L$2:$O$14,4,FALSE)+$U$9*5+VLOOKUP(O134,Auswahllisten!$E$25:$F$28,2,FALSE)))</f>
        <v>0</v>
      </c>
      <c r="R134" s="163">
        <f t="shared" ca="1" si="114"/>
        <v>0</v>
      </c>
      <c r="S134" s="163" cm="1">
        <f t="array" aca="1" ref="S134" ca="1">INDIRECT("Investition_gewählt!"&amp;$AA$6&amp;AA134)</f>
        <v>1800</v>
      </c>
      <c r="T134" s="93" cm="1">
        <f t="array" aca="1" ref="T134" ca="1">IF($U$5=0,0,INDEX(Faktoren!T117:GQ117,1,VLOOKUP($X$6,$L$2:$O$14,4,FALSE)+$U$9*5+VLOOKUP(O134,Auswahllisten!$E$25:$F$28,2,FALSE)))</f>
        <v>0</v>
      </c>
      <c r="U134" s="163">
        <f t="shared" ca="1" si="115"/>
        <v>0</v>
      </c>
      <c r="V134" s="163">
        <f t="shared" ca="1" si="139"/>
        <v>0</v>
      </c>
      <c r="W134" s="163" t="b">
        <f ca="1">OR(U5=6,U5=7,U5=14)</f>
        <v>0</v>
      </c>
      <c r="X134" s="163">
        <f t="shared" ca="1" si="140"/>
        <v>0</v>
      </c>
      <c r="Z134" s="1">
        <v>63</v>
      </c>
      <c r="AA134" s="1">
        <v>117</v>
      </c>
      <c r="AB134" s="1">
        <v>-2</v>
      </c>
    </row>
    <row r="135" spans="1:78">
      <c r="M135" s="69"/>
      <c r="AB135" s="1">
        <v>-2</v>
      </c>
    </row>
    <row r="136" spans="1:78">
      <c r="B136" s="125"/>
      <c r="C136" s="64"/>
      <c r="D136" s="69"/>
      <c r="E136" s="69"/>
      <c r="M136" s="69"/>
      <c r="AB136" s="1">
        <v>-2</v>
      </c>
    </row>
    <row r="137" spans="1:78">
      <c r="B137" s="64"/>
      <c r="C137" s="64"/>
      <c r="E137" s="69"/>
      <c r="M137" s="69"/>
      <c r="Z137" s="1">
        <v>0</v>
      </c>
      <c r="AB137" s="1">
        <v>-2</v>
      </c>
    </row>
    <row r="138" spans="1:78">
      <c r="M138" s="69"/>
      <c r="AB138" s="1">
        <v>-2</v>
      </c>
    </row>
    <row r="139" spans="1:78">
      <c r="A139" s="8" t="s">
        <v>1008</v>
      </c>
      <c r="B139" s="8" t="s">
        <v>337</v>
      </c>
      <c r="M139" s="69"/>
      <c r="AB139" s="1">
        <v>-2</v>
      </c>
    </row>
    <row r="140" spans="1:78">
      <c r="A140" s="55"/>
      <c r="B140" s="55"/>
      <c r="C140" s="55" t="s">
        <v>851</v>
      </c>
      <c r="D140" s="25" t="s">
        <v>695</v>
      </c>
      <c r="E140" s="25" cm="1">
        <f t="array" aca="1" ref="E140" ca="1">IF($C$5=0,0,INDIRECT("Vergleich!"&amp;$G$2&amp;Z140))</f>
        <v>0</v>
      </c>
      <c r="M140" s="69"/>
      <c r="Z140" s="1">
        <v>11</v>
      </c>
      <c r="AB140" s="1">
        <v>-2</v>
      </c>
    </row>
    <row r="141" spans="1:78">
      <c r="A141" s="91"/>
      <c r="B141" s="91"/>
      <c r="C141" s="91" t="s">
        <v>850</v>
      </c>
      <c r="D141" s="16" t="s">
        <v>858</v>
      </c>
      <c r="E141" s="26">
        <f ca="1">IF(E140&lt;10,Standardwerte!I60,IF(E140&lt;32,Standardwerte!I61,Standardwerte!I62))</f>
        <v>1950</v>
      </c>
      <c r="M141" s="69"/>
      <c r="AB141" s="1">
        <v>-2</v>
      </c>
    </row>
    <row r="142" spans="1:78">
      <c r="A142" s="35" t="s">
        <v>1254</v>
      </c>
      <c r="B142" s="1" t="s">
        <v>1255</v>
      </c>
      <c r="C142" s="91" t="s">
        <v>854</v>
      </c>
      <c r="D142" s="16" t="s">
        <v>175</v>
      </c>
      <c r="E142" s="26">
        <f ca="1">E140*E141</f>
        <v>0</v>
      </c>
      <c r="F142" s="51"/>
      <c r="G142" s="55"/>
      <c r="H142" s="55"/>
      <c r="I142" s="55"/>
      <c r="J142" s="55"/>
      <c r="K142" s="55"/>
      <c r="L142" s="55"/>
      <c r="M142" s="162">
        <f ca="1">ROUND(IF($C$5=0,0,E142),AB142)*I12</f>
        <v>0</v>
      </c>
      <c r="AB142" s="1">
        <v>-2</v>
      </c>
    </row>
    <row r="143" spans="1:78">
      <c r="A143" s="94"/>
      <c r="B143" s="94"/>
      <c r="C143" s="94" t="s">
        <v>672</v>
      </c>
      <c r="D143" s="93" t="s">
        <v>175</v>
      </c>
      <c r="E143" s="163" cm="1">
        <f t="array" aca="1" ref="E143" ca="1">INDIRECT("Vergleich!"&amp;$G$2&amp;Z143)</f>
        <v>0</v>
      </c>
      <c r="M143" s="69"/>
      <c r="Z143" s="1">
        <v>15</v>
      </c>
      <c r="AB143" s="1">
        <v>-2</v>
      </c>
    </row>
    <row r="144" spans="1:78">
      <c r="E144" s="166"/>
      <c r="M144" s="69"/>
      <c r="AB144" s="1">
        <v>-2</v>
      </c>
    </row>
    <row r="145" spans="1:28">
      <c r="A145" s="8" t="s">
        <v>1023</v>
      </c>
      <c r="B145" s="8" t="s">
        <v>677</v>
      </c>
      <c r="C145" s="7"/>
      <c r="M145" s="69"/>
      <c r="AB145" s="1">
        <v>-2</v>
      </c>
    </row>
    <row r="146" spans="1:28">
      <c r="A146" s="55"/>
      <c r="B146" s="55"/>
      <c r="C146" s="55" t="s">
        <v>1104</v>
      </c>
      <c r="D146" s="25" t="s">
        <v>701</v>
      </c>
      <c r="E146" s="162" cm="1">
        <f t="array" aca="1" ref="E146" ca="1">IF($C$5=0,0,INDIRECT("Vergleich!"&amp;$G$2&amp;Z146))</f>
        <v>0</v>
      </c>
      <c r="F146" s="51"/>
      <c r="G146" s="55"/>
      <c r="H146" s="55"/>
      <c r="I146" s="55"/>
      <c r="J146" s="55"/>
      <c r="K146" s="55"/>
      <c r="L146" s="55"/>
      <c r="M146" s="162"/>
      <c r="Z146" s="1">
        <v>89</v>
      </c>
      <c r="AB146" s="1">
        <v>-2</v>
      </c>
    </row>
    <row r="147" spans="1:28">
      <c r="A147" s="35" t="s">
        <v>1223</v>
      </c>
      <c r="B147" s="1" t="s">
        <v>1251</v>
      </c>
      <c r="C147" s="91" t="s">
        <v>702</v>
      </c>
      <c r="D147" s="16" t="s">
        <v>703</v>
      </c>
      <c r="E147" s="26">
        <f ca="1">IF(E146&lt;=10,Standardwerte!O57,IF(E146&lt;=30,Standardwerte!O58,IF(E146&lt;=100,Standardwerte!O59,Standardwerte!O60)))</f>
        <v>3000</v>
      </c>
      <c r="F147" s="51"/>
      <c r="G147" s="55"/>
      <c r="H147" s="55"/>
      <c r="I147" s="55"/>
      <c r="J147" s="55"/>
      <c r="K147" s="55"/>
      <c r="L147" s="55"/>
      <c r="M147" s="162">
        <f ca="1">ROUND(E146*E147,AB146)*I13</f>
        <v>0</v>
      </c>
      <c r="AB147" s="1">
        <v>-2</v>
      </c>
    </row>
    <row r="148" spans="1:28">
      <c r="A148" s="91"/>
      <c r="B148" s="91"/>
      <c r="C148" s="91" t="s">
        <v>1105</v>
      </c>
      <c r="D148" s="16" t="s">
        <v>701</v>
      </c>
      <c r="E148" s="26" cm="1">
        <f t="array" aca="1" ref="E148" ca="1">IF($C$5=0,0,INDIRECT("Vergleich!"&amp;$G$2&amp;Z148))</f>
        <v>0</v>
      </c>
      <c r="F148" s="51"/>
      <c r="G148" s="55"/>
      <c r="H148" s="55"/>
      <c r="I148" s="55"/>
      <c r="J148" s="55"/>
      <c r="K148" s="55"/>
      <c r="L148" s="55"/>
      <c r="M148" s="162"/>
      <c r="Z148" s="1">
        <v>92</v>
      </c>
      <c r="AB148" s="1">
        <v>-2</v>
      </c>
    </row>
    <row r="149" spans="1:28">
      <c r="A149" s="35" t="s">
        <v>1223</v>
      </c>
      <c r="B149" s="1" t="s">
        <v>1251</v>
      </c>
      <c r="C149" s="91" t="s">
        <v>702</v>
      </c>
      <c r="D149" s="16" t="s">
        <v>703</v>
      </c>
      <c r="E149" s="26">
        <f ca="1">IF(E148&lt;=10,Standardwerte!O57,IF(E148&lt;=30,Standardwerte!O58,IF(E148&lt;=100,Standardwerte!O59,Standardwerte!O60)))</f>
        <v>3000</v>
      </c>
      <c r="F149" s="51"/>
      <c r="G149" s="55"/>
      <c r="H149" s="55"/>
      <c r="I149" s="55"/>
      <c r="J149" s="55"/>
      <c r="K149" s="55"/>
      <c r="L149" s="55"/>
      <c r="M149" s="162">
        <f ca="1">ROUND(E148*E149,AB149)*I13</f>
        <v>0</v>
      </c>
      <c r="AB149" s="1">
        <v>-2</v>
      </c>
    </row>
    <row r="150" spans="1:28">
      <c r="A150" s="308"/>
      <c r="B150" s="91"/>
      <c r="C150" s="91" t="s">
        <v>673</v>
      </c>
      <c r="D150" s="16" t="s">
        <v>175</v>
      </c>
      <c r="E150" s="26" cm="1">
        <f t="array" aca="1" ref="E150" ca="1">INDIRECT("Vergleich!"&amp;$G$2&amp;Z150)</f>
        <v>0</v>
      </c>
      <c r="F150" s="50"/>
      <c r="G150" s="91"/>
      <c r="H150" s="91"/>
      <c r="I150" s="91"/>
      <c r="J150" s="91"/>
      <c r="K150" s="91"/>
      <c r="L150" s="91"/>
      <c r="M150" s="26"/>
      <c r="Z150" s="1">
        <v>96</v>
      </c>
      <c r="AB150" s="1">
        <v>-2</v>
      </c>
    </row>
    <row r="151" spans="1:28">
      <c r="A151" s="308" t="s">
        <v>1244</v>
      </c>
      <c r="B151" s="91" t="s">
        <v>811</v>
      </c>
      <c r="C151" s="91" t="s">
        <v>740</v>
      </c>
      <c r="D151" s="16" t="s">
        <v>175</v>
      </c>
      <c r="E151" s="26">
        <f ca="1">IF((E146+E148)=0,0,IF((E146+E148)&lt;=10,Standardwerte!O61,IF((E146+E148)&lt;=30,Standardwerte!O62,IF((E146+E148)&lt;=100,Standardwerte!O63,Standardwerte!O64))))</f>
        <v>0</v>
      </c>
      <c r="F151" s="50"/>
      <c r="G151" s="91"/>
      <c r="H151" s="91"/>
      <c r="I151" s="91"/>
      <c r="J151" s="91"/>
      <c r="K151" s="91"/>
      <c r="L151" s="91"/>
      <c r="M151" s="26">
        <f ca="1">ROUND(E151,AB151)*I13</f>
        <v>0</v>
      </c>
      <c r="AB151" s="1">
        <v>-2</v>
      </c>
    </row>
    <row r="152" spans="1:28">
      <c r="A152" s="286" t="s">
        <v>1244</v>
      </c>
      <c r="B152" s="63" t="s">
        <v>811</v>
      </c>
      <c r="C152" s="94" t="s">
        <v>814</v>
      </c>
      <c r="D152" s="93" t="s">
        <v>175</v>
      </c>
      <c r="E152" s="163">
        <f ca="1">IF($C$5=0,0,Standardwerte!O70)</f>
        <v>0</v>
      </c>
      <c r="F152" s="92"/>
      <c r="G152" s="94"/>
      <c r="H152" s="94"/>
      <c r="I152" s="94"/>
      <c r="J152" s="94"/>
      <c r="K152" s="94"/>
      <c r="L152" s="94"/>
      <c r="M152" s="163">
        <f ca="1">ROUND(E152,AB152)*I13</f>
        <v>0</v>
      </c>
      <c r="AB152" s="1">
        <v>-2</v>
      </c>
    </row>
    <row r="153" spans="1:28">
      <c r="A153" s="35"/>
      <c r="M153" s="69"/>
      <c r="AB153" s="1">
        <v>-2</v>
      </c>
    </row>
    <row r="154" spans="1:28">
      <c r="A154" s="35"/>
      <c r="M154" s="69"/>
      <c r="AB154" s="1">
        <v>-2</v>
      </c>
    </row>
    <row r="155" spans="1:28">
      <c r="A155" s="124"/>
      <c r="B155" s="8" t="s">
        <v>1253</v>
      </c>
      <c r="M155" s="69"/>
      <c r="AB155" s="1">
        <v>-2</v>
      </c>
    </row>
    <row r="156" spans="1:28">
      <c r="A156" s="287"/>
      <c r="B156" s="55"/>
      <c r="C156" s="55" t="s">
        <v>1098</v>
      </c>
      <c r="D156" s="25"/>
      <c r="E156" s="162">
        <f ca="1">SUM(M19:M152)+SUM(X19:X134)</f>
        <v>0</v>
      </c>
      <c r="F156" s="25"/>
      <c r="G156" s="25"/>
      <c r="H156" s="25"/>
      <c r="I156" s="25"/>
      <c r="J156" s="25"/>
      <c r="K156" s="25"/>
      <c r="L156" s="25"/>
      <c r="M156" s="162"/>
      <c r="AB156" s="1">
        <v>-2</v>
      </c>
    </row>
    <row r="157" spans="1:28">
      <c r="A157" s="178" t="s">
        <v>1221</v>
      </c>
      <c r="B157" s="71" t="s">
        <v>1252</v>
      </c>
      <c r="C157" s="71" t="s">
        <v>1100</v>
      </c>
      <c r="D157" s="16" t="str" cm="1">
        <f t="array" aca="1" ref="D157" ca="1">INDIRECT("Vergleich!"&amp;$G$3&amp;Z157)</f>
        <v>mittel</v>
      </c>
      <c r="E157" s="76" cm="1">
        <f t="array" aca="1" ref="E157" ca="1">INDIRECT("Investition_gewählt!"&amp;$I$5&amp;AA157)</f>
        <v>0.05</v>
      </c>
      <c r="F157" s="76" cm="1">
        <f t="array" aca="1" ref="F157" ca="1">IF($C$5=0,0,INDEX(Faktoren!E120:GQ120,1,VLOOKUP($F$5,$L$2:$O$14,4,FALSE)+$C$9*5+VLOOKUP(D157,Auswahllisten!$E$25:$F$29,2,FALSE)))</f>
        <v>0</v>
      </c>
      <c r="G157" s="76">
        <f t="shared" ref="G157" ca="1" si="141">E157*F157</f>
        <v>0</v>
      </c>
      <c r="H157" s="76" cm="1">
        <f t="array" aca="1" ref="H157" ca="1">INDIRECT("Investition_gewählt!"&amp;$I$6&amp;AA157)</f>
        <v>0.05</v>
      </c>
      <c r="I157" s="76" cm="1">
        <f t="array" aca="1" ref="I157" ca="1">IF($C$5=0,0,INDEX(Faktoren!E120:QG120,1,VLOOKUP($F$6,$L$2:$O$14,4,FALSE)+$C$9*5+VLOOKUP(D157,Auswahllisten!$E$25:$F$29,2,FALSE)))</f>
        <v>0</v>
      </c>
      <c r="J157" s="76">
        <f t="shared" ref="J157" ca="1" si="142">H157*I157</f>
        <v>0</v>
      </c>
      <c r="K157" s="76">
        <f ca="1">IF($C$5=0,0,G157+(J157-G157)*($C$6-$F$5)/($F$6-$F$5))</f>
        <v>0</v>
      </c>
      <c r="L157" s="76">
        <v>1</v>
      </c>
      <c r="M157" s="26">
        <f ca="1">IFERROR(ROUND(K157*E156,-2),0)</f>
        <v>0</v>
      </c>
      <c r="Z157" s="1">
        <v>103</v>
      </c>
      <c r="AA157" s="1">
        <v>120</v>
      </c>
      <c r="AB157" s="1">
        <v>-2</v>
      </c>
    </row>
    <row r="158" spans="1:28">
      <c r="A158" s="286" t="s">
        <v>1222</v>
      </c>
      <c r="B158" s="63" t="s">
        <v>1266</v>
      </c>
      <c r="C158" s="63"/>
      <c r="D158" s="60"/>
      <c r="E158" s="60">
        <f>Projektdaten!E62</f>
        <v>8.1000000000000003E-2</v>
      </c>
      <c r="F158" s="296"/>
      <c r="G158" s="60"/>
      <c r="H158" s="60"/>
      <c r="I158" s="60"/>
      <c r="J158" s="60"/>
      <c r="K158" s="60"/>
      <c r="L158" s="60"/>
      <c r="AB158" s="1">
        <v>-2</v>
      </c>
    </row>
    <row r="159" spans="1:28">
      <c r="A159" s="35"/>
      <c r="M159" s="69"/>
      <c r="AB159" s="1">
        <v>-2</v>
      </c>
    </row>
    <row r="160" spans="1:28">
      <c r="M160" s="69"/>
      <c r="AB160" s="1">
        <v>-2</v>
      </c>
    </row>
    <row r="161" spans="1:28">
      <c r="A161" s="8"/>
      <c r="B161" s="8" t="s">
        <v>326</v>
      </c>
      <c r="M161" s="69"/>
      <c r="AB161" s="1">
        <v>-2</v>
      </c>
    </row>
    <row r="162" spans="1:28">
      <c r="A162" s="8" t="s">
        <v>261</v>
      </c>
      <c r="B162" s="8" t="s">
        <v>0</v>
      </c>
      <c r="L162" s="155">
        <v>1</v>
      </c>
      <c r="M162" s="69"/>
      <c r="AB162" s="1">
        <v>-2</v>
      </c>
    </row>
    <row r="163" spans="1:28">
      <c r="A163" s="117"/>
      <c r="B163" s="55"/>
      <c r="C163" s="55" t="s">
        <v>255</v>
      </c>
      <c r="D163" s="25" t="str" cm="1">
        <f t="array" aca="1" ref="D163" ca="1">INDIRECT("Vergleich!"&amp;$G$2&amp;Z163)</f>
        <v>mittel</v>
      </c>
      <c r="E163" s="25" cm="1">
        <f t="array" aca="1" ref="E163" ca="1">INDIRECT("Unterhalt!"&amp;$J$5&amp;AA163)</f>
        <v>360</v>
      </c>
      <c r="F163" s="25">
        <f ca="1">IF(D163=Auswahllisten!$E$26,0.8,IF(D163=Auswahllisten!$E$27,1,IF(D163=Auswahllisten!$E$29,1.2,0)))</f>
        <v>1</v>
      </c>
      <c r="G163" s="25">
        <f t="shared" ref="G163" ca="1" si="143">E163*F163</f>
        <v>360</v>
      </c>
      <c r="H163" s="25" cm="1">
        <f t="array" aca="1" ref="H163" ca="1">INDIRECT("Unterhalt!"&amp;$J$6&amp;AA163)</f>
        <v>360</v>
      </c>
      <c r="I163" s="25">
        <f ca="1">IF(D163=Auswahllisten!$E$26,0.8,IF(D163=Auswahllisten!$E$27,1,IF(D163=Auswahllisten!$E$29,1.2,0)))</f>
        <v>1</v>
      </c>
      <c r="J163" s="25">
        <f t="shared" ref="J163" ca="1" si="144">H163*I163</f>
        <v>360</v>
      </c>
      <c r="K163" s="25">
        <f ca="1">IF($C$5=0,0,G163+(J163-G163)*($C$6-$F$5)/($F$6-$F$5))</f>
        <v>0</v>
      </c>
      <c r="L163" s="25" t="b">
        <f ca="1">($L$162=$C$5)</f>
        <v>0</v>
      </c>
      <c r="M163" s="162">
        <f ca="1">ROUND(K163*L163,AB163)</f>
        <v>0</v>
      </c>
      <c r="O163" s="25" t="str" cm="1">
        <f t="array" aca="1" ref="O163" ca="1">INDIRECT("Vergleich!"&amp;$Y$2&amp;Z163)</f>
        <v>gering</v>
      </c>
      <c r="P163" s="25" cm="1">
        <f t="array" aca="1" ref="P163" ca="1">INDIRECT("Unterhalt!"&amp;$AB$5&amp;AA163)</f>
        <v>360</v>
      </c>
      <c r="Q163" s="25">
        <f ca="1">IF(O163=Auswahllisten!$E$26,0.8,IF(O163=Auswahllisten!$E$27,1,IF(O163=Auswahllisten!$E$29,1.2,0)))</f>
        <v>0.8</v>
      </c>
      <c r="R163" s="25">
        <f t="shared" ref="R163" ca="1" si="145">P163*Q163</f>
        <v>288</v>
      </c>
      <c r="S163" s="25" cm="1">
        <f t="array" aca="1" ref="S163" ca="1">INDIRECT("Unterhalt!"&amp;$AB$6&amp;AA163)</f>
        <v>360</v>
      </c>
      <c r="T163" s="25">
        <f ca="1">IF(O163=Auswahllisten!$E$26,0.8,IF(O163=Auswahllisten!$E$27,1,IF(O163=Auswahllisten!$E$29,1.2,0)))</f>
        <v>0.8</v>
      </c>
      <c r="U163" s="25">
        <f t="shared" ref="U163" ca="1" si="146">S163*T163</f>
        <v>288</v>
      </c>
      <c r="V163" s="25">
        <f ca="1">IF($U$5=0,0,R163+(U163-R163)*($U$6-$X$5)/($X$6-$X$5))</f>
        <v>0</v>
      </c>
      <c r="W163" s="25" t="b">
        <f ca="1">($L$162=$U$5)</f>
        <v>0</v>
      </c>
      <c r="X163" s="25">
        <f ca="1">ROUND(V163*W163,AB163)</f>
        <v>0</v>
      </c>
      <c r="Z163" s="1">
        <v>54</v>
      </c>
      <c r="AA163" s="1">
        <v>7</v>
      </c>
      <c r="AB163" s="1">
        <v>-1</v>
      </c>
    </row>
    <row r="164" spans="1:28">
      <c r="A164" s="545"/>
      <c r="B164" s="94"/>
      <c r="C164" s="94" t="s">
        <v>256</v>
      </c>
      <c r="D164" s="93" t="str" cm="1">
        <f t="array" aca="1" ref="D164" ca="1">INDIRECT("Vergleich!"&amp;$G$2&amp;Z164)</f>
        <v>mittel</v>
      </c>
      <c r="E164" s="61" cm="1">
        <f t="array" aca="1" ref="E164" ca="1">INDIRECT("Unterhalt!"&amp;$J$5&amp;AA164)</f>
        <v>170</v>
      </c>
      <c r="F164" s="61">
        <f ca="1">IF(D164=Auswahllisten!$E$26,0.8,IF(D164=Auswahllisten!$E$27,1,IF(D164=Auswahllisten!$E$29,1.2,0)))</f>
        <v>1</v>
      </c>
      <c r="G164" s="61">
        <f t="shared" ref="G164:G193" ca="1" si="147">E164*F164</f>
        <v>170</v>
      </c>
      <c r="H164" s="61" cm="1">
        <f t="array" aca="1" ref="H164" ca="1">INDIRECT("Unterhalt!"&amp;$J$6&amp;AA164)</f>
        <v>170</v>
      </c>
      <c r="I164" s="61">
        <f ca="1">IF(D164=Auswahllisten!$E$26,0.8,IF(D164=Auswahllisten!$E$27,1,IF(D164=Auswahllisten!$E$29,1.2,0)))</f>
        <v>1</v>
      </c>
      <c r="J164" s="61">
        <f t="shared" ref="J164:J193" ca="1" si="148">H164*I164</f>
        <v>170</v>
      </c>
      <c r="K164" s="61">
        <f t="shared" ref="K164:K193" ca="1" si="149">IF($C$5=0,0,G164+(J164-G164)*($C$6-$F$5)/($F$6-$F$5))</f>
        <v>0</v>
      </c>
      <c r="L164" s="61" t="b">
        <f ca="1">($L$162=$C$5)</f>
        <v>0</v>
      </c>
      <c r="M164" s="216">
        <f t="shared" ref="M164:M193" ca="1" si="150">ROUND(K164*L164,AB164)</f>
        <v>0</v>
      </c>
      <c r="O164" s="61" t="str" cm="1">
        <f t="array" aca="1" ref="O164" ca="1">INDIRECT("Vergleich!"&amp;$Y$2&amp;Z164)</f>
        <v>gering</v>
      </c>
      <c r="P164" s="61" cm="1">
        <f t="array" aca="1" ref="P164" ca="1">INDIRECT("Unterhalt!"&amp;$AB$5&amp;AA164)</f>
        <v>170</v>
      </c>
      <c r="Q164" s="61">
        <f ca="1">IF(O164=Auswahllisten!$E$26,0.8,IF(O164=Auswahllisten!$E$27,1,IF(O164=Auswahllisten!$E$29,1.2,0)))</f>
        <v>0.8</v>
      </c>
      <c r="R164" s="61">
        <f t="shared" ref="R164:R193" ca="1" si="151">P164*Q164</f>
        <v>136</v>
      </c>
      <c r="S164" s="61" cm="1">
        <f t="array" aca="1" ref="S164" ca="1">INDIRECT("Unterhalt!"&amp;$AB$6&amp;AA164)</f>
        <v>170</v>
      </c>
      <c r="T164" s="61">
        <f ca="1">IF(O164=Auswahllisten!$E$26,0.8,IF(O164=Auswahllisten!$E$27,1,IF(O164=Auswahllisten!$E$29,1.2,0)))</f>
        <v>0.8</v>
      </c>
      <c r="U164" s="61">
        <f t="shared" ref="U164:U193" ca="1" si="152">S164*T164</f>
        <v>136</v>
      </c>
      <c r="V164" s="61">
        <f t="shared" ref="V164:V202" ca="1" si="153">IF($U$5=0,0,R164+(U164-R164)*($U$6-$X$5)/($X$6-$X$5))</f>
        <v>0</v>
      </c>
      <c r="W164" s="61" t="b">
        <f ca="1">($L$162=$U$5)</f>
        <v>0</v>
      </c>
      <c r="X164" s="61">
        <f t="shared" ref="X164:X193" ca="1" si="154">ROUND(V164*W164,AB164)</f>
        <v>0</v>
      </c>
      <c r="Z164" s="1">
        <f>Z163</f>
        <v>54</v>
      </c>
      <c r="AA164" s="1">
        <v>8</v>
      </c>
      <c r="AB164" s="1">
        <v>-1</v>
      </c>
    </row>
    <row r="165" spans="1:28">
      <c r="A165" s="8"/>
      <c r="M165" s="69"/>
      <c r="Z165" s="1">
        <f t="shared" ref="Z165:Z199" si="155">Z164</f>
        <v>54</v>
      </c>
      <c r="AA165" s="1">
        <v>9</v>
      </c>
      <c r="AB165" s="1">
        <v>-1</v>
      </c>
    </row>
    <row r="166" spans="1:28">
      <c r="A166" s="8" t="s">
        <v>990</v>
      </c>
      <c r="B166" s="8" t="s">
        <v>14</v>
      </c>
      <c r="L166" s="155">
        <v>2</v>
      </c>
      <c r="M166" s="69"/>
      <c r="Z166" s="1">
        <f t="shared" si="155"/>
        <v>54</v>
      </c>
      <c r="AA166" s="1">
        <v>10</v>
      </c>
      <c r="AB166" s="1">
        <v>-1</v>
      </c>
    </row>
    <row r="167" spans="1:28">
      <c r="A167" s="117"/>
      <c r="B167" s="55"/>
      <c r="C167" s="5" t="s">
        <v>255</v>
      </c>
      <c r="D167" s="25" t="str" cm="1">
        <f t="array" aca="1" ref="D167" ca="1">INDIRECT("Vergleich!"&amp;$G$2&amp;Z167)</f>
        <v>mittel</v>
      </c>
      <c r="E167" s="25" cm="1">
        <f t="array" aca="1" ref="E167" ca="1">INDIRECT("Unterhalt!"&amp;$J$5&amp;AA167)</f>
        <v>530</v>
      </c>
      <c r="F167" s="25">
        <f ca="1">IF(D167=Auswahllisten!$E$26,0.8,IF(D167=Auswahllisten!$E$27,1,IF(D167=Auswahllisten!$E$29,1.2,0)))</f>
        <v>1</v>
      </c>
      <c r="G167" s="25">
        <f t="shared" ca="1" si="147"/>
        <v>530</v>
      </c>
      <c r="H167" s="25" cm="1">
        <f t="array" aca="1" ref="H167" ca="1">INDIRECT("Unterhalt!"&amp;$J$6&amp;AA167)</f>
        <v>530</v>
      </c>
      <c r="I167" s="25">
        <f ca="1">IF(D167=Auswahllisten!$E$26,0.8,IF(D167=Auswahllisten!$E$27,1,IF(D167=Auswahllisten!$E$29,1.2,0)))</f>
        <v>1</v>
      </c>
      <c r="J167" s="25">
        <f t="shared" ca="1" si="148"/>
        <v>530</v>
      </c>
      <c r="K167" s="25">
        <f t="shared" ca="1" si="149"/>
        <v>0</v>
      </c>
      <c r="L167" s="25" t="b">
        <f ca="1">($L$166=$C$5)</f>
        <v>0</v>
      </c>
      <c r="M167" s="162">
        <f t="shared" ca="1" si="150"/>
        <v>0</v>
      </c>
      <c r="O167" s="25" t="str" cm="1">
        <f t="array" aca="1" ref="O167" ca="1">INDIRECT("Vergleich!"&amp;$Y$2&amp;Z167)</f>
        <v>gering</v>
      </c>
      <c r="P167" s="25" cm="1">
        <f t="array" aca="1" ref="P167" ca="1">INDIRECT("Unterhalt!"&amp;$AB$5&amp;AA167)</f>
        <v>530</v>
      </c>
      <c r="Q167" s="25">
        <f ca="1">IF(O167=Auswahllisten!$E$26,0.8,IF(O167=Auswahllisten!$E$27,1,IF(O167=Auswahllisten!$E$29,1.2,0)))</f>
        <v>0.8</v>
      </c>
      <c r="R167" s="25">
        <f t="shared" ca="1" si="151"/>
        <v>424</v>
      </c>
      <c r="S167" s="25" cm="1">
        <f t="array" aca="1" ref="S167" ca="1">INDIRECT("Unterhalt!"&amp;$AB$6&amp;AA167)</f>
        <v>530</v>
      </c>
      <c r="T167" s="25">
        <f ca="1">IF(O167=Auswahllisten!$E$26,0.8,IF(O167=Auswahllisten!$E$27,1,IF(O167=Auswahllisten!$E$29,1.2,0)))</f>
        <v>0.8</v>
      </c>
      <c r="U167" s="25">
        <f t="shared" ca="1" si="152"/>
        <v>424</v>
      </c>
      <c r="V167" s="25">
        <f t="shared" ca="1" si="153"/>
        <v>0</v>
      </c>
      <c r="W167" s="25" t="b">
        <f ca="1">($L$166=$U$5)</f>
        <v>0</v>
      </c>
      <c r="X167" s="25">
        <f t="shared" ca="1" si="154"/>
        <v>0</v>
      </c>
      <c r="Z167" s="1">
        <f t="shared" si="155"/>
        <v>54</v>
      </c>
      <c r="AA167" s="1">
        <v>11</v>
      </c>
      <c r="AB167" s="1">
        <v>-1</v>
      </c>
    </row>
    <row r="168" spans="1:28">
      <c r="A168" s="546"/>
      <c r="B168" s="71"/>
      <c r="C168" s="2" t="s">
        <v>256</v>
      </c>
      <c r="D168" s="16" t="str" cm="1">
        <f t="array" aca="1" ref="D168" ca="1">INDIRECT("Vergleich!"&amp;$G$2&amp;Z168)</f>
        <v>mittel</v>
      </c>
      <c r="E168" s="25" cm="1">
        <f t="array" aca="1" ref="E168" ca="1">INDIRECT("Unterhalt!"&amp;$J$5&amp;AA168)</f>
        <v>170</v>
      </c>
      <c r="F168" s="25">
        <f ca="1">IF(D168=Auswahllisten!$E$26,0.8,IF(D168=Auswahllisten!$E$27,1,IF(D168=Auswahllisten!$E$29,1.2,0)))</f>
        <v>1</v>
      </c>
      <c r="G168" s="25">
        <f t="shared" ca="1" si="147"/>
        <v>170</v>
      </c>
      <c r="H168" s="25" cm="1">
        <f t="array" aca="1" ref="H168" ca="1">INDIRECT("Unterhalt!"&amp;$J$6&amp;AA168)</f>
        <v>170</v>
      </c>
      <c r="I168" s="25">
        <f ca="1">IF(D168=Auswahllisten!$E$26,0.8,IF(D168=Auswahllisten!$E$27,1,IF(D168=Auswahllisten!$E$29,1.2,0)))</f>
        <v>1</v>
      </c>
      <c r="J168" s="25">
        <f t="shared" ca="1" si="148"/>
        <v>170</v>
      </c>
      <c r="K168" s="25">
        <f t="shared" ca="1" si="149"/>
        <v>0</v>
      </c>
      <c r="L168" s="25" t="b">
        <f ca="1">($L$166=$C$5)</f>
        <v>0</v>
      </c>
      <c r="M168" s="162">
        <f t="shared" ca="1" si="150"/>
        <v>0</v>
      </c>
      <c r="O168" s="25" t="str" cm="1">
        <f t="array" aca="1" ref="O168" ca="1">INDIRECT("Vergleich!"&amp;$Y$2&amp;Z168)</f>
        <v>gering</v>
      </c>
      <c r="P168" s="25" cm="1">
        <f t="array" aca="1" ref="P168" ca="1">INDIRECT("Unterhalt!"&amp;$AB$5&amp;AA168)</f>
        <v>170</v>
      </c>
      <c r="Q168" s="25">
        <f ca="1">IF(O168=Auswahllisten!$E$26,0.8,IF(O168=Auswahllisten!$E$27,1,IF(O168=Auswahllisten!$E$29,1.2,0)))</f>
        <v>0.8</v>
      </c>
      <c r="R168" s="25">
        <f t="shared" ca="1" si="151"/>
        <v>136</v>
      </c>
      <c r="S168" s="25" cm="1">
        <f t="array" aca="1" ref="S168" ca="1">INDIRECT("Unterhalt!"&amp;$AB$6&amp;AA168)</f>
        <v>170</v>
      </c>
      <c r="T168" s="25">
        <f ca="1">IF(O168=Auswahllisten!$E$26,0.8,IF(O168=Auswahllisten!$E$27,1,IF(O168=Auswahllisten!$E$29,1.2,0)))</f>
        <v>0.8</v>
      </c>
      <c r="U168" s="25">
        <f t="shared" ca="1" si="152"/>
        <v>136</v>
      </c>
      <c r="V168" s="25">
        <f t="shared" ca="1" si="153"/>
        <v>0</v>
      </c>
      <c r="W168" s="25" t="b">
        <f ca="1">($L$166=$U$5)</f>
        <v>0</v>
      </c>
      <c r="X168" s="25">
        <f t="shared" ca="1" si="154"/>
        <v>0</v>
      </c>
      <c r="Z168" s="1">
        <f t="shared" si="155"/>
        <v>54</v>
      </c>
      <c r="AA168" s="1">
        <v>12</v>
      </c>
      <c r="AB168" s="1">
        <v>-1</v>
      </c>
    </row>
    <row r="169" spans="1:28">
      <c r="A169" s="545"/>
      <c r="B169" s="94"/>
      <c r="C169" s="142" t="s">
        <v>335</v>
      </c>
      <c r="D169" s="93" t="str" cm="1">
        <f t="array" aca="1" ref="D169" ca="1">INDIRECT("Vergleich!"&amp;$G$2&amp;Z169)</f>
        <v>mittel</v>
      </c>
      <c r="E169" s="61" cm="1">
        <f t="array" aca="1" ref="E169" ca="1">INDIRECT("Unterhalt!"&amp;$J$5&amp;AA169)</f>
        <v>11</v>
      </c>
      <c r="F169" s="61">
        <f ca="1">IF(D169=Auswahllisten!$E$26,0.8,IF(D169=Auswahllisten!$E$27,1,IF(D169=Auswahllisten!$E$29,1.2,0)))</f>
        <v>1</v>
      </c>
      <c r="G169" s="61">
        <f t="shared" ca="1" si="147"/>
        <v>11</v>
      </c>
      <c r="H169" s="61" cm="1">
        <f t="array" aca="1" ref="H169" ca="1">INDIRECT("Unterhalt!"&amp;$J$6&amp;AA169)</f>
        <v>11</v>
      </c>
      <c r="I169" s="61">
        <f ca="1">IF(D169=Auswahllisten!$E$26,0.8,IF(D169=Auswahllisten!$E$27,1,IF(D169=Auswahllisten!$E$29,1.2,0)))</f>
        <v>1</v>
      </c>
      <c r="J169" s="61">
        <f t="shared" ca="1" si="148"/>
        <v>11</v>
      </c>
      <c r="K169" s="61">
        <f t="shared" ca="1" si="149"/>
        <v>0</v>
      </c>
      <c r="L169" s="61" t="b">
        <f ca="1">($L$166=$C$5)</f>
        <v>0</v>
      </c>
      <c r="M169" s="216">
        <f t="shared" ca="1" si="150"/>
        <v>0</v>
      </c>
      <c r="O169" s="61" t="str" cm="1">
        <f t="array" aca="1" ref="O169" ca="1">INDIRECT("Vergleich!"&amp;$Y$2&amp;Z169)</f>
        <v>gering</v>
      </c>
      <c r="P169" s="61" cm="1">
        <f t="array" aca="1" ref="P169" ca="1">INDIRECT("Unterhalt!"&amp;$AB$5&amp;AA169)</f>
        <v>11</v>
      </c>
      <c r="Q169" s="61">
        <f ca="1">IF(O169=Auswahllisten!$E$26,0.8,IF(O169=Auswahllisten!$E$27,1,IF(O169=Auswahllisten!$E$29,1.2,0)))</f>
        <v>0.8</v>
      </c>
      <c r="R169" s="61">
        <f t="shared" ca="1" si="151"/>
        <v>8.8000000000000007</v>
      </c>
      <c r="S169" s="61" cm="1">
        <f t="array" aca="1" ref="S169" ca="1">INDIRECT("Unterhalt!"&amp;$AB$6&amp;AA169)</f>
        <v>11</v>
      </c>
      <c r="T169" s="61">
        <f ca="1">IF(O169=Auswahllisten!$E$26,0.8,IF(O169=Auswahllisten!$E$27,1,IF(O169=Auswahllisten!$E$29,1.2,0)))</f>
        <v>0.8</v>
      </c>
      <c r="U169" s="61">
        <f t="shared" ca="1" si="152"/>
        <v>8.8000000000000007</v>
      </c>
      <c r="V169" s="61">
        <f t="shared" ca="1" si="153"/>
        <v>0</v>
      </c>
      <c r="W169" s="61" t="b">
        <f ca="1">($L$166=$U$5)</f>
        <v>0</v>
      </c>
      <c r="X169" s="61">
        <f t="shared" ca="1" si="154"/>
        <v>0</v>
      </c>
      <c r="Z169" s="1">
        <f t="shared" si="155"/>
        <v>54</v>
      </c>
      <c r="AA169" s="1">
        <v>13</v>
      </c>
      <c r="AB169" s="1">
        <v>-1</v>
      </c>
    </row>
    <row r="170" spans="1:28">
      <c r="A170" s="8"/>
      <c r="M170" s="69"/>
      <c r="Z170" s="1">
        <f t="shared" si="155"/>
        <v>54</v>
      </c>
      <c r="AA170" s="1">
        <v>14</v>
      </c>
      <c r="AB170" s="1">
        <v>-1</v>
      </c>
    </row>
    <row r="171" spans="1:28">
      <c r="A171" s="8" t="str">
        <f>ROMAN(3)</f>
        <v>III</v>
      </c>
      <c r="B171" s="8" t="s">
        <v>1</v>
      </c>
      <c r="L171" s="155">
        <v>3</v>
      </c>
      <c r="M171" s="69"/>
      <c r="Z171" s="1">
        <f t="shared" si="155"/>
        <v>54</v>
      </c>
      <c r="AA171" s="1">
        <v>15</v>
      </c>
      <c r="AB171" s="1">
        <v>-1</v>
      </c>
    </row>
    <row r="172" spans="1:28">
      <c r="A172" s="117"/>
      <c r="B172" s="55"/>
      <c r="C172" s="5" t="s">
        <v>255</v>
      </c>
      <c r="D172" s="25" t="str" cm="1">
        <f t="array" aca="1" ref="D172" ca="1">INDIRECT("Vergleich!"&amp;$G$2&amp;Z172)</f>
        <v>mittel</v>
      </c>
      <c r="E172" s="25" cm="1">
        <f t="array" aca="1" ref="E172" ca="1">INDIRECT("Unterhalt!"&amp;$J$5&amp;AA172)</f>
        <v>490</v>
      </c>
      <c r="F172" s="25">
        <f ca="1">IF(D172=Auswahllisten!$E$26,0.8,IF(D172=Auswahllisten!$E$27,1,IF(D172=Auswahllisten!$E$29,1.2,0)))</f>
        <v>1</v>
      </c>
      <c r="G172" s="25">
        <f t="shared" ca="1" si="147"/>
        <v>490</v>
      </c>
      <c r="H172" s="25" cm="1">
        <f t="array" aca="1" ref="H172" ca="1">INDIRECT("Unterhalt!"&amp;$J$6&amp;AA172)</f>
        <v>490</v>
      </c>
      <c r="I172" s="25">
        <f ca="1">IF(D172=Auswahllisten!$E$26,0.8,IF(D172=Auswahllisten!$E$27,1,IF(D172=Auswahllisten!$E$29,1.2,0)))</f>
        <v>1</v>
      </c>
      <c r="J172" s="25">
        <f t="shared" ca="1" si="148"/>
        <v>490</v>
      </c>
      <c r="K172" s="25">
        <f t="shared" ca="1" si="149"/>
        <v>0</v>
      </c>
      <c r="L172" s="25" t="b">
        <f ca="1">($L$171=$C$5)</f>
        <v>0</v>
      </c>
      <c r="M172" s="162">
        <f t="shared" ca="1" si="150"/>
        <v>0</v>
      </c>
      <c r="O172" s="25" t="str" cm="1">
        <f t="array" aca="1" ref="O172" ca="1">INDIRECT("Vergleich!"&amp;$Y$2&amp;Z172)</f>
        <v>gering</v>
      </c>
      <c r="P172" s="25" cm="1">
        <f t="array" aca="1" ref="P172" ca="1">INDIRECT("Unterhalt!"&amp;$AB$5&amp;AA172)</f>
        <v>490</v>
      </c>
      <c r="Q172" s="25">
        <f ca="1">IF(O172=Auswahllisten!$E$26,0.8,IF(O172=Auswahllisten!$E$27,1,IF(O172=Auswahllisten!$E$29,1.2,0)))</f>
        <v>0.8</v>
      </c>
      <c r="R172" s="25">
        <f t="shared" ca="1" si="151"/>
        <v>392</v>
      </c>
      <c r="S172" s="25" cm="1">
        <f t="array" aca="1" ref="S172" ca="1">INDIRECT("Unterhalt!"&amp;$AB$6&amp;AA172)</f>
        <v>490</v>
      </c>
      <c r="T172" s="25">
        <f ca="1">IF(O172=Auswahllisten!$E$26,0.8,IF(O172=Auswahllisten!$E$27,1,IF(O172=Auswahllisten!$E$29,1.2,0)))</f>
        <v>0.8</v>
      </c>
      <c r="U172" s="25">
        <f t="shared" ca="1" si="152"/>
        <v>392</v>
      </c>
      <c r="V172" s="25">
        <f t="shared" ca="1" si="153"/>
        <v>0</v>
      </c>
      <c r="W172" s="25" t="b">
        <f ca="1">($L$171=$U$5)</f>
        <v>0</v>
      </c>
      <c r="X172" s="25">
        <f t="shared" ca="1" si="154"/>
        <v>0</v>
      </c>
      <c r="Z172" s="1">
        <f t="shared" si="155"/>
        <v>54</v>
      </c>
      <c r="AA172" s="1">
        <v>16</v>
      </c>
      <c r="AB172" s="1">
        <v>-1</v>
      </c>
    </row>
    <row r="173" spans="1:28">
      <c r="A173" s="545"/>
      <c r="B173" s="94"/>
      <c r="C173" s="142" t="s">
        <v>256</v>
      </c>
      <c r="D173" s="93" t="str" cm="1">
        <f t="array" aca="1" ref="D173" ca="1">INDIRECT("Vergleich!"&amp;$G$2&amp;Z173)</f>
        <v>mittel</v>
      </c>
      <c r="E173" s="61" cm="1">
        <f t="array" aca="1" ref="E173" ca="1">INDIRECT("Unterhalt!"&amp;$J$5&amp;AA173)</f>
        <v>170</v>
      </c>
      <c r="F173" s="61">
        <f ca="1">IF(D173=Auswahllisten!$E$26,0.8,IF(D173=Auswahllisten!$E$27,1,IF(D173=Auswahllisten!$E$29,1.2,0)))</f>
        <v>1</v>
      </c>
      <c r="G173" s="61">
        <f t="shared" ca="1" si="147"/>
        <v>170</v>
      </c>
      <c r="H173" s="61" cm="1">
        <f t="array" aca="1" ref="H173" ca="1">INDIRECT("Unterhalt!"&amp;$J$6&amp;AA173)</f>
        <v>170</v>
      </c>
      <c r="I173" s="61">
        <f ca="1">IF(D173=Auswahllisten!$E$26,0.8,IF(D173=Auswahllisten!$E$27,1,IF(D173=Auswahllisten!$E$29,1.2,0)))</f>
        <v>1</v>
      </c>
      <c r="J173" s="61">
        <f t="shared" ca="1" si="148"/>
        <v>170</v>
      </c>
      <c r="K173" s="61">
        <f t="shared" ca="1" si="149"/>
        <v>0</v>
      </c>
      <c r="L173" s="61" t="b">
        <f ca="1">($L$171=$C$5)</f>
        <v>0</v>
      </c>
      <c r="M173" s="216">
        <f t="shared" ca="1" si="150"/>
        <v>0</v>
      </c>
      <c r="O173" s="61" t="str" cm="1">
        <f t="array" aca="1" ref="O173" ca="1">INDIRECT("Vergleich!"&amp;$Y$2&amp;Z173)</f>
        <v>gering</v>
      </c>
      <c r="P173" s="61" cm="1">
        <f t="array" aca="1" ref="P173" ca="1">INDIRECT("Unterhalt!"&amp;$AB$5&amp;AA173)</f>
        <v>170</v>
      </c>
      <c r="Q173" s="61">
        <f ca="1">IF(O173=Auswahllisten!$E$26,0.8,IF(O173=Auswahllisten!$E$27,1,IF(O173=Auswahllisten!$E$29,1.2,0)))</f>
        <v>0.8</v>
      </c>
      <c r="R173" s="61">
        <f t="shared" ca="1" si="151"/>
        <v>136</v>
      </c>
      <c r="S173" s="61" cm="1">
        <f t="array" aca="1" ref="S173" ca="1">INDIRECT("Unterhalt!"&amp;$AB$6&amp;AA173)</f>
        <v>170</v>
      </c>
      <c r="T173" s="61">
        <f ca="1">IF(O173=Auswahllisten!$E$26,0.8,IF(O173=Auswahllisten!$E$27,1,IF(O173=Auswahllisten!$E$29,1.2,0)))</f>
        <v>0.8</v>
      </c>
      <c r="U173" s="61">
        <f t="shared" ca="1" si="152"/>
        <v>136</v>
      </c>
      <c r="V173" s="61">
        <f t="shared" ca="1" si="153"/>
        <v>0</v>
      </c>
      <c r="W173" s="61" t="b">
        <f ca="1">($L$171=$U$5)</f>
        <v>0</v>
      </c>
      <c r="X173" s="61">
        <f t="shared" ca="1" si="154"/>
        <v>0</v>
      </c>
      <c r="Z173" s="1">
        <f t="shared" si="155"/>
        <v>54</v>
      </c>
      <c r="AA173" s="1">
        <v>17</v>
      </c>
      <c r="AB173" s="1">
        <v>-1</v>
      </c>
    </row>
    <row r="174" spans="1:28">
      <c r="A174" s="8"/>
      <c r="M174" s="69"/>
      <c r="Z174" s="1">
        <f t="shared" si="155"/>
        <v>54</v>
      </c>
      <c r="AA174" s="1">
        <v>18</v>
      </c>
      <c r="AB174" s="1">
        <v>-1</v>
      </c>
    </row>
    <row r="175" spans="1:28">
      <c r="A175" s="8" t="str">
        <f>ROMAN(4)</f>
        <v>IV</v>
      </c>
      <c r="B175" s="8" t="s">
        <v>15</v>
      </c>
      <c r="L175" s="155">
        <v>4</v>
      </c>
      <c r="M175" s="69"/>
      <c r="Z175" s="1">
        <f t="shared" si="155"/>
        <v>54</v>
      </c>
      <c r="AA175" s="1">
        <v>19</v>
      </c>
      <c r="AB175" s="1">
        <v>-1</v>
      </c>
    </row>
    <row r="176" spans="1:28">
      <c r="A176" s="117"/>
      <c r="B176" s="55"/>
      <c r="C176" s="5" t="s">
        <v>255</v>
      </c>
      <c r="D176" s="25" t="str" cm="1">
        <f t="array" aca="1" ref="D176" ca="1">INDIRECT("Vergleich!"&amp;$G$2&amp;Z176)</f>
        <v>mittel</v>
      </c>
      <c r="E176" s="25" cm="1">
        <f t="array" aca="1" ref="E176" ca="1">INDIRECT("Unterhalt!"&amp;$J$5&amp;AA176)</f>
        <v>0</v>
      </c>
      <c r="F176" s="25">
        <f ca="1">IF(D176=Auswahllisten!$E$26,0.8,IF(D176=Auswahllisten!$E$27,1,IF(D176=Auswahllisten!$E$29,1.2,0)))</f>
        <v>1</v>
      </c>
      <c r="G176" s="25">
        <f t="shared" ca="1" si="147"/>
        <v>0</v>
      </c>
      <c r="H176" s="25" cm="1">
        <f t="array" aca="1" ref="H176" ca="1">INDIRECT("Unterhalt!"&amp;$J$6&amp;AA176)</f>
        <v>0</v>
      </c>
      <c r="I176" s="25">
        <f ca="1">IF(D176=Auswahllisten!$E$26,0.8,IF(D176=Auswahllisten!$E$27,1,IF(D176=Auswahllisten!$E$29,1.2,0)))</f>
        <v>1</v>
      </c>
      <c r="J176" s="25">
        <f t="shared" ca="1" si="148"/>
        <v>0</v>
      </c>
      <c r="K176" s="25">
        <f t="shared" ca="1" si="149"/>
        <v>0</v>
      </c>
      <c r="L176" s="25" t="b">
        <f ca="1">($L$175=$C$5)</f>
        <v>0</v>
      </c>
      <c r="M176" s="162">
        <f t="shared" ca="1" si="150"/>
        <v>0</v>
      </c>
      <c r="O176" s="25" t="str" cm="1">
        <f t="array" aca="1" ref="O176" ca="1">INDIRECT("Vergleich!"&amp;$Y$2&amp;Z176)</f>
        <v>gering</v>
      </c>
      <c r="P176" s="25" cm="1">
        <f t="array" aca="1" ref="P176" ca="1">INDIRECT("Unterhalt!"&amp;$AB$5&amp;AA176)</f>
        <v>0</v>
      </c>
      <c r="Q176" s="25">
        <f ca="1">IF(O176=Auswahllisten!$E$26,0.8,IF(O176=Auswahllisten!$E$27,1,IF(O176=Auswahllisten!$E$29,1.2,0)))</f>
        <v>0.8</v>
      </c>
      <c r="R176" s="25">
        <f t="shared" ca="1" si="151"/>
        <v>0</v>
      </c>
      <c r="S176" s="25" cm="1">
        <f t="array" aca="1" ref="S176" ca="1">INDIRECT("Unterhalt!"&amp;$AB$6&amp;AA176)</f>
        <v>0</v>
      </c>
      <c r="T176" s="25">
        <f ca="1">IF(O176=Auswahllisten!$E$26,0.8,IF(O176=Auswahllisten!$E$27,1,IF(O176=Auswahllisten!$E$29,1.2,0)))</f>
        <v>0.8</v>
      </c>
      <c r="U176" s="25">
        <f t="shared" ca="1" si="152"/>
        <v>0</v>
      </c>
      <c r="V176" s="25">
        <f t="shared" ca="1" si="153"/>
        <v>0</v>
      </c>
      <c r="W176" s="25" t="b">
        <f ca="1">($L$175=$U$5)</f>
        <v>0</v>
      </c>
      <c r="X176" s="25">
        <f t="shared" ca="1" si="154"/>
        <v>0</v>
      </c>
      <c r="Z176" s="1">
        <f t="shared" si="155"/>
        <v>54</v>
      </c>
      <c r="AA176" s="1">
        <v>20</v>
      </c>
      <c r="AB176" s="1">
        <v>-1</v>
      </c>
    </row>
    <row r="177" spans="1:28">
      <c r="A177" s="545"/>
      <c r="B177" s="94"/>
      <c r="C177" s="142" t="s">
        <v>256</v>
      </c>
      <c r="D177" s="93" t="str" cm="1">
        <f t="array" aca="1" ref="D177" ca="1">INDIRECT("Vergleich!"&amp;$G$2&amp;Z177)</f>
        <v>mittel</v>
      </c>
      <c r="E177" s="61" cm="1">
        <f t="array" aca="1" ref="E177" ca="1">INDIRECT("Unterhalt!"&amp;$J$5&amp;AA177)</f>
        <v>0</v>
      </c>
      <c r="F177" s="61">
        <f ca="1">IF(D177=Auswahllisten!$E$26,0.8,IF(D177=Auswahllisten!$E$27,1,IF(D177=Auswahllisten!$E$29,1.2,0)))</f>
        <v>1</v>
      </c>
      <c r="G177" s="61">
        <f t="shared" ca="1" si="147"/>
        <v>0</v>
      </c>
      <c r="H177" s="61" cm="1">
        <f t="array" aca="1" ref="H177" ca="1">INDIRECT("Unterhalt!"&amp;$J$6&amp;AA177)</f>
        <v>0</v>
      </c>
      <c r="I177" s="61">
        <f ca="1">IF(D177=Auswahllisten!$E$26,0.8,IF(D177=Auswahllisten!$E$27,1,IF(D177=Auswahllisten!$E$29,1.2,0)))</f>
        <v>1</v>
      </c>
      <c r="J177" s="61">
        <f t="shared" ca="1" si="148"/>
        <v>0</v>
      </c>
      <c r="K177" s="61">
        <f t="shared" ca="1" si="149"/>
        <v>0</v>
      </c>
      <c r="L177" s="61" t="b">
        <f ca="1">($L$175=$C$5)</f>
        <v>0</v>
      </c>
      <c r="M177" s="216">
        <f t="shared" ca="1" si="150"/>
        <v>0</v>
      </c>
      <c r="O177" s="61" t="str" cm="1">
        <f t="array" aca="1" ref="O177" ca="1">INDIRECT("Vergleich!"&amp;$Y$2&amp;Z177)</f>
        <v>gering</v>
      </c>
      <c r="P177" s="61" cm="1">
        <f t="array" aca="1" ref="P177" ca="1">INDIRECT("Unterhalt!"&amp;$AB$5&amp;AA177)</f>
        <v>0</v>
      </c>
      <c r="Q177" s="61">
        <f ca="1">IF(O177=Auswahllisten!$E$26,0.8,IF(O177=Auswahllisten!$E$27,1,IF(O177=Auswahllisten!$E$29,1.2,0)))</f>
        <v>0.8</v>
      </c>
      <c r="R177" s="61">
        <f t="shared" ca="1" si="151"/>
        <v>0</v>
      </c>
      <c r="S177" s="61" cm="1">
        <f t="array" aca="1" ref="S177" ca="1">INDIRECT("Unterhalt!"&amp;$AB$6&amp;AA177)</f>
        <v>0</v>
      </c>
      <c r="T177" s="61">
        <f ca="1">IF(O177=Auswahllisten!$E$26,0.8,IF(O177=Auswahllisten!$E$27,1,IF(O177=Auswahllisten!$E$29,1.2,0)))</f>
        <v>0.8</v>
      </c>
      <c r="U177" s="61">
        <f t="shared" ca="1" si="152"/>
        <v>0</v>
      </c>
      <c r="V177" s="61">
        <f t="shared" ca="1" si="153"/>
        <v>0</v>
      </c>
      <c r="W177" s="61" t="b">
        <f ca="1">($L$175=$U$5)</f>
        <v>0</v>
      </c>
      <c r="X177" s="61">
        <f t="shared" ca="1" si="154"/>
        <v>0</v>
      </c>
      <c r="Z177" s="1">
        <f t="shared" si="155"/>
        <v>54</v>
      </c>
      <c r="AA177" s="1">
        <v>21</v>
      </c>
      <c r="AB177" s="1">
        <v>-1</v>
      </c>
    </row>
    <row r="178" spans="1:28">
      <c r="A178" s="8"/>
      <c r="M178" s="69"/>
      <c r="Z178" s="1">
        <f t="shared" si="155"/>
        <v>54</v>
      </c>
      <c r="AA178" s="1">
        <v>22</v>
      </c>
      <c r="AB178" s="1">
        <v>-1</v>
      </c>
    </row>
    <row r="179" spans="1:28">
      <c r="A179" s="8" t="str">
        <f>ROMAN(5)</f>
        <v>V</v>
      </c>
      <c r="B179" s="8" t="s">
        <v>141</v>
      </c>
      <c r="L179" s="155">
        <v>5</v>
      </c>
      <c r="M179" s="69"/>
      <c r="Z179" s="1">
        <f t="shared" si="155"/>
        <v>54</v>
      </c>
      <c r="AA179" s="1">
        <v>23</v>
      </c>
      <c r="AB179" s="1">
        <v>-1</v>
      </c>
    </row>
    <row r="180" spans="1:28">
      <c r="A180" s="117"/>
      <c r="B180" s="55"/>
      <c r="C180" s="5" t="s">
        <v>255</v>
      </c>
      <c r="D180" s="25" t="str" cm="1">
        <f t="array" aca="1" ref="D180" ca="1">INDIRECT("Vergleich!"&amp;$G$2&amp;Z180)</f>
        <v>mittel</v>
      </c>
      <c r="E180" s="25" cm="1">
        <f t="array" aca="1" ref="E180" ca="1">INDIRECT("Unterhalt!"&amp;$J$5&amp;AA180)</f>
        <v>440</v>
      </c>
      <c r="F180" s="25">
        <f ca="1">IF(D180=Auswahllisten!$E$26,0.8,IF(D180=Auswahllisten!$E$27,1,IF(D180=Auswahllisten!$E$29,1.2,0)))</f>
        <v>1</v>
      </c>
      <c r="G180" s="25">
        <f t="shared" ca="1" si="147"/>
        <v>440</v>
      </c>
      <c r="H180" s="25" cm="1">
        <f t="array" aca="1" ref="H180" ca="1">INDIRECT("Unterhalt!"&amp;$J$6&amp;AA180)</f>
        <v>440</v>
      </c>
      <c r="I180" s="25">
        <f ca="1">IF(D180=Auswahllisten!$E$26,0.8,IF(D180=Auswahllisten!$E$27,1,IF(D180=Auswahllisten!$E$29,1.2,0)))</f>
        <v>1</v>
      </c>
      <c r="J180" s="25">
        <f t="shared" ca="1" si="148"/>
        <v>440</v>
      </c>
      <c r="K180" s="25">
        <f t="shared" ca="1" si="149"/>
        <v>0</v>
      </c>
      <c r="L180" s="25" t="b">
        <f ca="1">($L$179=$C$5)</f>
        <v>0</v>
      </c>
      <c r="M180" s="162">
        <f t="shared" ca="1" si="150"/>
        <v>0</v>
      </c>
      <c r="O180" s="25" t="str" cm="1">
        <f t="array" aca="1" ref="O180" ca="1">INDIRECT("Vergleich!"&amp;$Y$2&amp;Z180)</f>
        <v>gering</v>
      </c>
      <c r="P180" s="25" cm="1">
        <f t="array" aca="1" ref="P180" ca="1">INDIRECT("Unterhalt!"&amp;$AB$5&amp;AA180)</f>
        <v>440</v>
      </c>
      <c r="Q180" s="25">
        <f ca="1">IF(O180=Auswahllisten!$E$26,0.8,IF(O180=Auswahllisten!$E$27,1,IF(O180=Auswahllisten!$E$29,1.2,0)))</f>
        <v>0.8</v>
      </c>
      <c r="R180" s="25">
        <f t="shared" ca="1" si="151"/>
        <v>352</v>
      </c>
      <c r="S180" s="25" cm="1">
        <f t="array" aca="1" ref="S180" ca="1">INDIRECT("Unterhalt!"&amp;$AB$6&amp;AA180)</f>
        <v>440</v>
      </c>
      <c r="T180" s="25">
        <f ca="1">IF(O180=Auswahllisten!$E$26,0.8,IF(O180=Auswahllisten!$E$27,1,IF(O180=Auswahllisten!$E$29,1.2,0)))</f>
        <v>0.8</v>
      </c>
      <c r="U180" s="25">
        <f t="shared" ca="1" si="152"/>
        <v>352</v>
      </c>
      <c r="V180" s="25">
        <f t="shared" ca="1" si="153"/>
        <v>0</v>
      </c>
      <c r="W180" s="25" t="b">
        <f ca="1">($L$179=$U$5)</f>
        <v>0</v>
      </c>
      <c r="X180" s="25">
        <f t="shared" ca="1" si="154"/>
        <v>0</v>
      </c>
      <c r="Z180" s="1">
        <f t="shared" si="155"/>
        <v>54</v>
      </c>
      <c r="AA180" s="1">
        <v>24</v>
      </c>
      <c r="AB180" s="1">
        <v>-1</v>
      </c>
    </row>
    <row r="181" spans="1:28">
      <c r="A181" s="546"/>
      <c r="B181" s="71"/>
      <c r="C181" s="2" t="s">
        <v>257</v>
      </c>
      <c r="D181" s="16" t="str" cm="1">
        <f t="array" aca="1" ref="D181" ca="1">INDIRECT("Vergleich!"&amp;$G$2&amp;Z181)</f>
        <v>mittel</v>
      </c>
      <c r="E181" s="25" cm="1">
        <f t="array" aca="1" ref="E181" ca="1">INDIRECT("Unterhalt!"&amp;$J$5&amp;AA181)</f>
        <v>0</v>
      </c>
      <c r="F181" s="25">
        <f ca="1">IF(D181=Auswahllisten!$E$26,0.8,IF(D181=Auswahllisten!$E$27,1,IF(D181=Auswahllisten!$E$29,1.2,0)))</f>
        <v>1</v>
      </c>
      <c r="G181" s="25">
        <f t="shared" ca="1" si="147"/>
        <v>0</v>
      </c>
      <c r="H181" s="25" cm="1">
        <f t="array" aca="1" ref="H181" ca="1">INDIRECT("Unterhalt!"&amp;$J$6&amp;AA181)</f>
        <v>0</v>
      </c>
      <c r="I181" s="25">
        <f ca="1">IF(D181=Auswahllisten!$E$26,0.8,IF(D181=Auswahllisten!$E$27,1,IF(D181=Auswahllisten!$E$29,1.2,0)))</f>
        <v>1</v>
      </c>
      <c r="J181" s="25">
        <f t="shared" ca="1" si="148"/>
        <v>0</v>
      </c>
      <c r="K181" s="25">
        <f t="shared" ca="1" si="149"/>
        <v>0</v>
      </c>
      <c r="L181" s="25" t="b">
        <f ca="1">($L$179=$C$5)</f>
        <v>0</v>
      </c>
      <c r="M181" s="162">
        <f t="shared" ca="1" si="150"/>
        <v>0</v>
      </c>
      <c r="O181" s="25" t="str" cm="1">
        <f t="array" aca="1" ref="O181" ca="1">INDIRECT("Vergleich!"&amp;$Y$2&amp;Z181)</f>
        <v>gering</v>
      </c>
      <c r="P181" s="25" cm="1">
        <f t="array" aca="1" ref="P181" ca="1">INDIRECT("Unterhalt!"&amp;$AB$5&amp;AA181)</f>
        <v>0</v>
      </c>
      <c r="Q181" s="25">
        <f ca="1">IF(O181=Auswahllisten!$E$26,0.8,IF(O181=Auswahllisten!$E$27,1,IF(O181=Auswahllisten!$E$29,1.2,0)))</f>
        <v>0.8</v>
      </c>
      <c r="R181" s="25">
        <f t="shared" ca="1" si="151"/>
        <v>0</v>
      </c>
      <c r="S181" s="25" cm="1">
        <f t="array" aca="1" ref="S181" ca="1">INDIRECT("Unterhalt!"&amp;$AB$6&amp;AA181)</f>
        <v>0</v>
      </c>
      <c r="T181" s="25">
        <f ca="1">IF(O181=Auswahllisten!$E$26,0.8,IF(O181=Auswahllisten!$E$27,1,IF(O181=Auswahllisten!$E$29,1.2,0)))</f>
        <v>0.8</v>
      </c>
      <c r="U181" s="25">
        <f t="shared" ca="1" si="152"/>
        <v>0</v>
      </c>
      <c r="V181" s="25">
        <f t="shared" ca="1" si="153"/>
        <v>0</v>
      </c>
      <c r="W181" s="25" t="b">
        <f ca="1">($L$179=$U$5)</f>
        <v>0</v>
      </c>
      <c r="X181" s="25">
        <f t="shared" ca="1" si="154"/>
        <v>0</v>
      </c>
      <c r="Z181" s="1">
        <f t="shared" si="155"/>
        <v>54</v>
      </c>
      <c r="AA181" s="1">
        <v>25</v>
      </c>
      <c r="AB181" s="1">
        <v>-1</v>
      </c>
    </row>
    <row r="182" spans="1:28">
      <c r="A182" s="546"/>
      <c r="B182" s="71"/>
      <c r="C182" s="2" t="s">
        <v>302</v>
      </c>
      <c r="D182" s="16" t="str" cm="1">
        <f t="array" aca="1" ref="D182" ca="1">INDIRECT("Vergleich!"&amp;$G$2&amp;Z182)</f>
        <v>mittel</v>
      </c>
      <c r="E182" s="25" cm="1">
        <f t="array" aca="1" ref="E182" ca="1">INDIRECT("Unterhalt!"&amp;$J$5&amp;AA182)</f>
        <v>50</v>
      </c>
      <c r="F182" s="25">
        <f ca="1">IF(D182=Auswahllisten!$E$26,0.8,IF(D182=Auswahllisten!$E$27,1,IF(D182=Auswahllisten!$E$29,1.2,0)))</f>
        <v>1</v>
      </c>
      <c r="G182" s="25">
        <f t="shared" ca="1" si="147"/>
        <v>50</v>
      </c>
      <c r="H182" s="25" cm="1">
        <f t="array" aca="1" ref="H182" ca="1">INDIRECT("Unterhalt!"&amp;$J$6&amp;AA182)</f>
        <v>50</v>
      </c>
      <c r="I182" s="25">
        <f ca="1">IF(D182=Auswahllisten!$E$26,0.8,IF(D182=Auswahllisten!$E$27,1,IF(D182=Auswahllisten!$E$29,1.2,0)))</f>
        <v>1</v>
      </c>
      <c r="J182" s="25">
        <f t="shared" ca="1" si="148"/>
        <v>50</v>
      </c>
      <c r="K182" s="25">
        <f t="shared" ca="1" si="149"/>
        <v>0</v>
      </c>
      <c r="L182" s="25" t="b">
        <f ca="1">($L$179=$C$5)</f>
        <v>0</v>
      </c>
      <c r="M182" s="162">
        <f t="shared" ca="1" si="150"/>
        <v>0</v>
      </c>
      <c r="O182" s="25" t="str" cm="1">
        <f t="array" aca="1" ref="O182" ca="1">INDIRECT("Vergleich!"&amp;$Y$2&amp;Z182)</f>
        <v>gering</v>
      </c>
      <c r="P182" s="25" cm="1">
        <f t="array" aca="1" ref="P182" ca="1">INDIRECT("Unterhalt!"&amp;$AB$5&amp;AA182)</f>
        <v>50</v>
      </c>
      <c r="Q182" s="25">
        <f ca="1">IF(O182=Auswahllisten!$E$26,0.8,IF(O182=Auswahllisten!$E$27,1,IF(O182=Auswahllisten!$E$29,1.2,0)))</f>
        <v>0.8</v>
      </c>
      <c r="R182" s="25">
        <f t="shared" ca="1" si="151"/>
        <v>40</v>
      </c>
      <c r="S182" s="25" cm="1">
        <f t="array" aca="1" ref="S182" ca="1">INDIRECT("Unterhalt!"&amp;$AB$6&amp;AA182)</f>
        <v>50</v>
      </c>
      <c r="T182" s="25">
        <f ca="1">IF(O182=Auswahllisten!$E$26,0.8,IF(O182=Auswahllisten!$E$27,1,IF(O182=Auswahllisten!$E$29,1.2,0)))</f>
        <v>0.8</v>
      </c>
      <c r="U182" s="25">
        <f t="shared" ca="1" si="152"/>
        <v>40</v>
      </c>
      <c r="V182" s="25">
        <f t="shared" ca="1" si="153"/>
        <v>0</v>
      </c>
      <c r="W182" s="25" t="b">
        <f ca="1">($L$179=$U$5)</f>
        <v>0</v>
      </c>
      <c r="X182" s="25">
        <f t="shared" ca="1" si="154"/>
        <v>0</v>
      </c>
      <c r="Z182" s="1">
        <f t="shared" si="155"/>
        <v>54</v>
      </c>
      <c r="AA182" s="1">
        <v>26</v>
      </c>
      <c r="AB182" s="1">
        <v>-1</v>
      </c>
    </row>
    <row r="183" spans="1:28">
      <c r="A183" s="545"/>
      <c r="B183" s="94"/>
      <c r="C183" s="142" t="s">
        <v>335</v>
      </c>
      <c r="D183" s="93" t="str" cm="1">
        <f t="array" aca="1" ref="D183" ca="1">INDIRECT("Vergleich!"&amp;$G$2&amp;Z183)</f>
        <v>mittel</v>
      </c>
      <c r="E183" s="61" cm="1">
        <f t="array" aca="1" ref="E183" ca="1">INDIRECT("Unterhalt!"&amp;$J$5&amp;AA183)</f>
        <v>0</v>
      </c>
      <c r="F183" s="61">
        <f ca="1">IF(D183=Auswahllisten!$E$26,0.8,IF(D183=Auswahllisten!$E$27,1,IF(D183=Auswahllisten!$E$29,1.2,0)))</f>
        <v>1</v>
      </c>
      <c r="G183" s="61">
        <f t="shared" ca="1" si="147"/>
        <v>0</v>
      </c>
      <c r="H183" s="61" cm="1">
        <f t="array" aca="1" ref="H183" ca="1">INDIRECT("Unterhalt!"&amp;$J$6&amp;AA183)</f>
        <v>0</v>
      </c>
      <c r="I183" s="61">
        <f ca="1">IF(D183=Auswahllisten!$E$26,0.8,IF(D183=Auswahllisten!$E$27,1,IF(D183=Auswahllisten!$E$29,1.2,0)))</f>
        <v>1</v>
      </c>
      <c r="J183" s="61">
        <f t="shared" ca="1" si="148"/>
        <v>0</v>
      </c>
      <c r="K183" s="61">
        <f t="shared" ca="1" si="149"/>
        <v>0</v>
      </c>
      <c r="L183" s="61" t="b">
        <f ca="1">($L$179=$C$5)</f>
        <v>0</v>
      </c>
      <c r="M183" s="216">
        <f t="shared" ca="1" si="150"/>
        <v>0</v>
      </c>
      <c r="O183" s="61" t="str" cm="1">
        <f t="array" aca="1" ref="O183" ca="1">INDIRECT("Vergleich!"&amp;$Y$2&amp;Z183)</f>
        <v>gering</v>
      </c>
      <c r="P183" s="61" cm="1">
        <f t="array" aca="1" ref="P183" ca="1">INDIRECT("Unterhalt!"&amp;$AB$5&amp;AA183)</f>
        <v>0</v>
      </c>
      <c r="Q183" s="61">
        <f ca="1">IF(O183=Auswahllisten!$E$26,0.8,IF(O183=Auswahllisten!$E$27,1,IF(O183=Auswahllisten!$E$29,1.2,0)))</f>
        <v>0.8</v>
      </c>
      <c r="R183" s="61">
        <f t="shared" ca="1" si="151"/>
        <v>0</v>
      </c>
      <c r="S183" s="61" cm="1">
        <f t="array" aca="1" ref="S183" ca="1">INDIRECT("Unterhalt!"&amp;$AB$6&amp;AA183)</f>
        <v>0</v>
      </c>
      <c r="T183" s="61">
        <f ca="1">IF(O183=Auswahllisten!$E$26,0.8,IF(O183=Auswahllisten!$E$27,1,IF(O183=Auswahllisten!$E$29,1.2,0)))</f>
        <v>0.8</v>
      </c>
      <c r="U183" s="61">
        <f t="shared" ca="1" si="152"/>
        <v>0</v>
      </c>
      <c r="V183" s="61">
        <f t="shared" ca="1" si="153"/>
        <v>0</v>
      </c>
      <c r="W183" s="61" t="b">
        <f ca="1">($L$179=$U$5)</f>
        <v>0</v>
      </c>
      <c r="X183" s="61">
        <f t="shared" ca="1" si="154"/>
        <v>0</v>
      </c>
      <c r="Z183" s="1">
        <f t="shared" si="155"/>
        <v>54</v>
      </c>
      <c r="AA183" s="1">
        <v>27</v>
      </c>
      <c r="AB183" s="1">
        <v>-1</v>
      </c>
    </row>
    <row r="184" spans="1:28">
      <c r="A184" s="8"/>
      <c r="M184" s="69"/>
      <c r="Z184" s="1">
        <f t="shared" si="155"/>
        <v>54</v>
      </c>
      <c r="AA184" s="1">
        <v>28</v>
      </c>
      <c r="AB184" s="1">
        <v>-1</v>
      </c>
    </row>
    <row r="185" spans="1:28">
      <c r="A185" s="8" t="str">
        <f>ROMAN(6)</f>
        <v>VI</v>
      </c>
      <c r="B185" s="8" t="s">
        <v>142</v>
      </c>
      <c r="L185" s="155">
        <v>6</v>
      </c>
      <c r="M185" s="69"/>
      <c r="Z185" s="1">
        <f t="shared" si="155"/>
        <v>54</v>
      </c>
      <c r="AA185" s="1">
        <v>29</v>
      </c>
      <c r="AB185" s="1">
        <v>-1</v>
      </c>
    </row>
    <row r="186" spans="1:28">
      <c r="A186" s="117"/>
      <c r="B186" s="55"/>
      <c r="C186" s="5" t="s">
        <v>255</v>
      </c>
      <c r="D186" s="25" t="str" cm="1">
        <f t="array" aca="1" ref="D186" ca="1">INDIRECT("Vergleich!"&amp;$G$2&amp;Z186)</f>
        <v>mittel</v>
      </c>
      <c r="E186" s="5" cm="1">
        <f t="array" aca="1" ref="E186" ca="1">INDIRECT("Unterhalt!"&amp;$J$5&amp;AA186)</f>
        <v>680</v>
      </c>
      <c r="F186" s="25">
        <f ca="1">IF(D186=Auswahllisten!$E$26,0.8,IF(D186=Auswahllisten!$E$27,1,IF(D186=Auswahllisten!$E$29,1.2,0)))</f>
        <v>1</v>
      </c>
      <c r="G186" s="25">
        <f t="shared" ca="1" si="147"/>
        <v>680</v>
      </c>
      <c r="H186" s="25" cm="1">
        <f t="array" aca="1" ref="H186" ca="1">INDIRECT("Unterhalt!"&amp;$J$6&amp;AA186)</f>
        <v>680</v>
      </c>
      <c r="I186" s="25">
        <f ca="1">IF(D186=Auswahllisten!$E$26,0.8,IF(D186=Auswahllisten!$E$27,1,IF(D186=Auswahllisten!$E$29,1.2,0)))</f>
        <v>1</v>
      </c>
      <c r="J186" s="25">
        <f t="shared" ca="1" si="148"/>
        <v>680</v>
      </c>
      <c r="K186" s="25">
        <f t="shared" ca="1" si="149"/>
        <v>0</v>
      </c>
      <c r="L186" s="25" t="b">
        <f ca="1">($L$185=$C$5)</f>
        <v>0</v>
      </c>
      <c r="M186" s="162">
        <f t="shared" ca="1" si="150"/>
        <v>0</v>
      </c>
      <c r="O186" s="5" t="str" cm="1">
        <f t="array" aca="1" ref="O186" ca="1">INDIRECT("Vergleich!"&amp;$Y$2&amp;Z186)</f>
        <v>gering</v>
      </c>
      <c r="P186" s="5" cm="1">
        <f t="array" aca="1" ref="P186" ca="1">INDIRECT("Unterhalt!"&amp;$AB$5&amp;AA186)</f>
        <v>680</v>
      </c>
      <c r="Q186" s="25">
        <f ca="1">IF(O186=Auswahllisten!$E$26,0.8,IF(O186=Auswahllisten!$E$27,1,IF(O186=Auswahllisten!$E$29,1.2,0)))</f>
        <v>0.8</v>
      </c>
      <c r="R186" s="25">
        <f t="shared" ca="1" si="151"/>
        <v>544</v>
      </c>
      <c r="S186" s="25" cm="1">
        <f t="array" aca="1" ref="S186" ca="1">INDIRECT("Unterhalt!"&amp;$AB$6&amp;AA186)</f>
        <v>680</v>
      </c>
      <c r="T186" s="25">
        <f ca="1">IF(O186=Auswahllisten!$E$26,0.8,IF(O186=Auswahllisten!$E$27,1,IF(O186=Auswahllisten!$E$29,1.2,0)))</f>
        <v>0.8</v>
      </c>
      <c r="U186" s="25">
        <f t="shared" ca="1" si="152"/>
        <v>544</v>
      </c>
      <c r="V186" s="25">
        <f t="shared" ca="1" si="153"/>
        <v>0</v>
      </c>
      <c r="W186" s="25" t="b">
        <f ca="1">($L$185=$U$5)</f>
        <v>0</v>
      </c>
      <c r="X186" s="25">
        <f t="shared" ca="1" si="154"/>
        <v>0</v>
      </c>
      <c r="Z186" s="1">
        <f t="shared" si="155"/>
        <v>54</v>
      </c>
      <c r="AA186" s="1">
        <v>30</v>
      </c>
      <c r="AB186" s="1">
        <v>-1</v>
      </c>
    </row>
    <row r="187" spans="1:28">
      <c r="A187" s="546"/>
      <c r="B187" s="71"/>
      <c r="C187" s="2" t="s">
        <v>302</v>
      </c>
      <c r="D187" s="16" t="str" cm="1">
        <f t="array" aca="1" ref="D187" ca="1">INDIRECT("Vergleich!"&amp;$G$2&amp;Z187)</f>
        <v>mittel</v>
      </c>
      <c r="E187" s="5" cm="1">
        <f t="array" aca="1" ref="E187" ca="1">INDIRECT("Unterhalt!"&amp;$J$5&amp;AA187)</f>
        <v>50</v>
      </c>
      <c r="F187" s="25">
        <f ca="1">IF(D187=Auswahllisten!$E$26,0.8,IF(D187=Auswahllisten!$E$27,1,IF(D187=Auswahllisten!$E$29,1.2,0)))</f>
        <v>1</v>
      </c>
      <c r="G187" s="25">
        <f t="shared" ca="1" si="147"/>
        <v>50</v>
      </c>
      <c r="H187" s="25" cm="1">
        <f t="array" aca="1" ref="H187" ca="1">INDIRECT("Unterhalt!"&amp;$J$6&amp;AA187)</f>
        <v>50</v>
      </c>
      <c r="I187" s="25">
        <f ca="1">IF(D187=Auswahllisten!$E$26,0.8,IF(D187=Auswahllisten!$E$27,1,IF(D187=Auswahllisten!$E$29,1.2,0)))</f>
        <v>1</v>
      </c>
      <c r="J187" s="25">
        <f t="shared" ca="1" si="148"/>
        <v>50</v>
      </c>
      <c r="K187" s="25">
        <f t="shared" ca="1" si="149"/>
        <v>0</v>
      </c>
      <c r="L187" s="25" t="b">
        <f ca="1">($L$185=$C$5)</f>
        <v>0</v>
      </c>
      <c r="M187" s="162">
        <f t="shared" ca="1" si="150"/>
        <v>0</v>
      </c>
      <c r="O187" s="5" t="str" cm="1">
        <f t="array" aca="1" ref="O187" ca="1">INDIRECT("Vergleich!"&amp;$Y$2&amp;Z187)</f>
        <v>gering</v>
      </c>
      <c r="P187" s="5" cm="1">
        <f t="array" aca="1" ref="P187" ca="1">INDIRECT("Unterhalt!"&amp;$AB$5&amp;AA187)</f>
        <v>50</v>
      </c>
      <c r="Q187" s="25">
        <f ca="1">IF(O187=Auswahllisten!$E$26,0.8,IF(O187=Auswahllisten!$E$27,1,IF(O187=Auswahllisten!$E$29,1.2,0)))</f>
        <v>0.8</v>
      </c>
      <c r="R187" s="25">
        <f t="shared" ca="1" si="151"/>
        <v>40</v>
      </c>
      <c r="S187" s="25" cm="1">
        <f t="array" aca="1" ref="S187" ca="1">INDIRECT("Unterhalt!"&amp;$AB$6&amp;AA187)</f>
        <v>50</v>
      </c>
      <c r="T187" s="25">
        <f ca="1">IF(O187=Auswahllisten!$E$26,0.8,IF(O187=Auswahllisten!$E$27,1,IF(O187=Auswahllisten!$E$29,1.2,0)))</f>
        <v>0.8</v>
      </c>
      <c r="U187" s="25">
        <f t="shared" ca="1" si="152"/>
        <v>40</v>
      </c>
      <c r="V187" s="25">
        <f t="shared" ca="1" si="153"/>
        <v>0</v>
      </c>
      <c r="W187" s="25" t="b">
        <f ca="1">($L$185=$U$5)</f>
        <v>0</v>
      </c>
      <c r="X187" s="25">
        <f t="shared" ca="1" si="154"/>
        <v>0</v>
      </c>
      <c r="Z187" s="1">
        <f t="shared" si="155"/>
        <v>54</v>
      </c>
      <c r="AA187" s="1">
        <v>31</v>
      </c>
      <c r="AB187" s="1">
        <v>-1</v>
      </c>
    </row>
    <row r="188" spans="1:28">
      <c r="A188" s="545"/>
      <c r="B188" s="94"/>
      <c r="C188" s="142" t="s">
        <v>335</v>
      </c>
      <c r="D188" s="93" t="str" cm="1">
        <f t="array" aca="1" ref="D188" ca="1">INDIRECT("Vergleich!"&amp;$G$2&amp;Z188)</f>
        <v>mittel</v>
      </c>
      <c r="E188" s="4" cm="1">
        <f t="array" aca="1" ref="E188" ca="1">INDIRECT("Unterhalt!"&amp;$J$5&amp;AA188)</f>
        <v>0</v>
      </c>
      <c r="F188" s="61">
        <f ca="1">IF(D188=Auswahllisten!$E$26,0.8,IF(D188=Auswahllisten!$E$27,1,IF(D188=Auswahllisten!$E$29,1.2,0)))</f>
        <v>1</v>
      </c>
      <c r="G188" s="61">
        <f t="shared" ca="1" si="147"/>
        <v>0</v>
      </c>
      <c r="H188" s="61" cm="1">
        <f t="array" aca="1" ref="H188" ca="1">INDIRECT("Unterhalt!"&amp;$J$6&amp;AA188)</f>
        <v>0</v>
      </c>
      <c r="I188" s="61">
        <f ca="1">IF(D188=Auswahllisten!$E$26,0.8,IF(D188=Auswahllisten!$E$27,1,IF(D188=Auswahllisten!$E$29,1.2,0)))</f>
        <v>1</v>
      </c>
      <c r="J188" s="61">
        <f t="shared" ca="1" si="148"/>
        <v>0</v>
      </c>
      <c r="K188" s="61">
        <f t="shared" ca="1" si="149"/>
        <v>0</v>
      </c>
      <c r="L188" s="61" t="b">
        <f ca="1">($L$185=$C$5)</f>
        <v>0</v>
      </c>
      <c r="M188" s="216">
        <f t="shared" ca="1" si="150"/>
        <v>0</v>
      </c>
      <c r="O188" s="4" t="str" cm="1">
        <f t="array" aca="1" ref="O188" ca="1">INDIRECT("Vergleich!"&amp;$Y$2&amp;Z188)</f>
        <v>gering</v>
      </c>
      <c r="P188" s="4" cm="1">
        <f t="array" aca="1" ref="P188" ca="1">INDIRECT("Unterhalt!"&amp;$AB$5&amp;AA188)</f>
        <v>0</v>
      </c>
      <c r="Q188" s="61">
        <f ca="1">IF(O188=Auswahllisten!$E$26,0.8,IF(O188=Auswahllisten!$E$27,1,IF(O188=Auswahllisten!$E$29,1.2,0)))</f>
        <v>0.8</v>
      </c>
      <c r="R188" s="61">
        <f t="shared" ca="1" si="151"/>
        <v>0</v>
      </c>
      <c r="S188" s="61" cm="1">
        <f t="array" aca="1" ref="S188" ca="1">INDIRECT("Unterhalt!"&amp;$AB$6&amp;AA188)</f>
        <v>0</v>
      </c>
      <c r="T188" s="61">
        <f ca="1">IF(O188=Auswahllisten!$E$26,0.8,IF(O188=Auswahllisten!$E$27,1,IF(O188=Auswahllisten!$E$29,1.2,0)))</f>
        <v>0.8</v>
      </c>
      <c r="U188" s="61">
        <f t="shared" ca="1" si="152"/>
        <v>0</v>
      </c>
      <c r="V188" s="61">
        <f t="shared" ca="1" si="153"/>
        <v>0</v>
      </c>
      <c r="W188" s="61" t="b">
        <f ca="1">($L$185=$U$5)</f>
        <v>0</v>
      </c>
      <c r="X188" s="61">
        <f t="shared" ca="1" si="154"/>
        <v>0</v>
      </c>
      <c r="Z188" s="1">
        <f t="shared" si="155"/>
        <v>54</v>
      </c>
      <c r="AA188" s="1">
        <v>32</v>
      </c>
      <c r="AB188" s="1">
        <v>-1</v>
      </c>
    </row>
    <row r="189" spans="1:28">
      <c r="A189" s="8"/>
      <c r="M189" s="69"/>
      <c r="Z189" s="1">
        <f t="shared" si="155"/>
        <v>54</v>
      </c>
      <c r="AA189" s="1">
        <v>33</v>
      </c>
      <c r="AB189" s="1">
        <v>-1</v>
      </c>
    </row>
    <row r="190" spans="1:28">
      <c r="A190" s="8" t="str">
        <f>ROMAN(7)</f>
        <v>VII</v>
      </c>
      <c r="B190" s="8" t="s">
        <v>143</v>
      </c>
      <c r="L190" s="155">
        <v>7</v>
      </c>
      <c r="M190" s="69"/>
      <c r="Z190" s="1">
        <f t="shared" si="155"/>
        <v>54</v>
      </c>
      <c r="AA190" s="1">
        <v>34</v>
      </c>
      <c r="AB190" s="1">
        <v>-1</v>
      </c>
    </row>
    <row r="191" spans="1:28">
      <c r="A191" s="117"/>
      <c r="B191" s="55"/>
      <c r="C191" s="5" t="s">
        <v>255</v>
      </c>
      <c r="D191" s="25" t="str" cm="1">
        <f t="array" aca="1" ref="D191" ca="1">INDIRECT("Vergleich!"&amp;$G$2&amp;Z191)</f>
        <v>mittel</v>
      </c>
      <c r="E191" s="25" cm="1">
        <f t="array" aca="1" ref="E191" ca="1">INDIRECT("Unterhalt!"&amp;$J$5&amp;AA191)</f>
        <v>680</v>
      </c>
      <c r="F191" s="25">
        <f ca="1">IF(D191=Auswahllisten!$E$26,0.8,IF(D191=Auswahllisten!$E$27,1,IF(D191=Auswahllisten!$E$29,1.2,0)))</f>
        <v>1</v>
      </c>
      <c r="G191" s="25">
        <f t="shared" ca="1" si="147"/>
        <v>680</v>
      </c>
      <c r="H191" s="25" cm="1">
        <f t="array" aca="1" ref="H191" ca="1">INDIRECT("Unterhalt!"&amp;$J$6&amp;AA191)</f>
        <v>680</v>
      </c>
      <c r="I191" s="25">
        <f ca="1">IF(D191=Auswahllisten!$E$26,0.8,IF(D191=Auswahllisten!$E$27,1,IF(D191=Auswahllisten!$E$29,1.2,0)))</f>
        <v>1</v>
      </c>
      <c r="J191" s="25">
        <f t="shared" ca="1" si="148"/>
        <v>680</v>
      </c>
      <c r="K191" s="25">
        <f t="shared" ca="1" si="149"/>
        <v>0</v>
      </c>
      <c r="L191" s="25" t="b">
        <f ca="1">($L$190=$C$5)</f>
        <v>0</v>
      </c>
      <c r="M191" s="162">
        <f t="shared" ca="1" si="150"/>
        <v>0</v>
      </c>
      <c r="O191" s="25" t="str" cm="1">
        <f t="array" aca="1" ref="O191" ca="1">INDIRECT("Vergleich!"&amp;$Y$2&amp;Z191)</f>
        <v>gering</v>
      </c>
      <c r="P191" s="25" cm="1">
        <f t="array" aca="1" ref="P191" ca="1">INDIRECT("Unterhalt!"&amp;$AB$5&amp;AA191)</f>
        <v>680</v>
      </c>
      <c r="Q191" s="25">
        <f ca="1">IF(O191=Auswahllisten!$E$26,0.8,IF(O191=Auswahllisten!$E$27,1,IF(O191=Auswahllisten!$E$29,1.2,0)))</f>
        <v>0.8</v>
      </c>
      <c r="R191" s="25">
        <f t="shared" ca="1" si="151"/>
        <v>544</v>
      </c>
      <c r="S191" s="25" cm="1">
        <f t="array" aca="1" ref="S191" ca="1">INDIRECT("Unterhalt!"&amp;$AB$6&amp;AA191)</f>
        <v>680</v>
      </c>
      <c r="T191" s="25">
        <f ca="1">IF(O191=Auswahllisten!$E$26,0.8,IF(O191=Auswahllisten!$E$27,1,IF(O191=Auswahllisten!$E$29,1.2,0)))</f>
        <v>0.8</v>
      </c>
      <c r="U191" s="25">
        <f t="shared" ca="1" si="152"/>
        <v>544</v>
      </c>
      <c r="V191" s="25">
        <f t="shared" ca="1" si="153"/>
        <v>0</v>
      </c>
      <c r="W191" s="25" t="b">
        <f ca="1">($L$190=$U$5)</f>
        <v>0</v>
      </c>
      <c r="X191" s="25">
        <f t="shared" ca="1" si="154"/>
        <v>0</v>
      </c>
      <c r="Z191" s="1">
        <f t="shared" si="155"/>
        <v>54</v>
      </c>
      <c r="AA191" s="1">
        <v>35</v>
      </c>
      <c r="AB191" s="1">
        <v>-1</v>
      </c>
    </row>
    <row r="192" spans="1:28">
      <c r="A192" s="546"/>
      <c r="B192" s="71"/>
      <c r="C192" s="2" t="s">
        <v>302</v>
      </c>
      <c r="D192" s="16" t="str" cm="1">
        <f t="array" aca="1" ref="D192" ca="1">INDIRECT("Vergleich!"&amp;$G$2&amp;Z192)</f>
        <v>mittel</v>
      </c>
      <c r="E192" s="25" cm="1">
        <f t="array" aca="1" ref="E192" ca="1">INDIRECT("Unterhalt!"&amp;$J$5&amp;AA192)</f>
        <v>50</v>
      </c>
      <c r="F192" s="25">
        <f ca="1">IF(D192=Auswahllisten!$E$26,0.8,IF(D192=Auswahllisten!$E$27,1,IF(D192=Auswahllisten!$E$29,1.2,0)))</f>
        <v>1</v>
      </c>
      <c r="G192" s="25">
        <f t="shared" ca="1" si="147"/>
        <v>50</v>
      </c>
      <c r="H192" s="25" cm="1">
        <f t="array" aca="1" ref="H192" ca="1">INDIRECT("Unterhalt!"&amp;$J$6&amp;AA192)</f>
        <v>50</v>
      </c>
      <c r="I192" s="25">
        <f ca="1">IF(D192=Auswahllisten!$E$26,0.8,IF(D192=Auswahllisten!$E$27,1,IF(D192=Auswahllisten!$E$29,1.2,0)))</f>
        <v>1</v>
      </c>
      <c r="J192" s="25">
        <f t="shared" ca="1" si="148"/>
        <v>50</v>
      </c>
      <c r="K192" s="25">
        <f t="shared" ca="1" si="149"/>
        <v>0</v>
      </c>
      <c r="L192" s="25" t="b">
        <f ca="1">($L$190=$C$5)</f>
        <v>0</v>
      </c>
      <c r="M192" s="162">
        <f t="shared" ca="1" si="150"/>
        <v>0</v>
      </c>
      <c r="O192" s="25" t="str" cm="1">
        <f t="array" aca="1" ref="O192" ca="1">INDIRECT("Vergleich!"&amp;$Y$2&amp;Z192)</f>
        <v>gering</v>
      </c>
      <c r="P192" s="25" cm="1">
        <f t="array" aca="1" ref="P192" ca="1">INDIRECT("Unterhalt!"&amp;$AB$5&amp;AA192)</f>
        <v>50</v>
      </c>
      <c r="Q192" s="25">
        <f ca="1">IF(O192=Auswahllisten!$E$26,0.8,IF(O192=Auswahllisten!$E$27,1,IF(O192=Auswahllisten!$E$29,1.2,0)))</f>
        <v>0.8</v>
      </c>
      <c r="R192" s="25">
        <f t="shared" ca="1" si="151"/>
        <v>40</v>
      </c>
      <c r="S192" s="25" cm="1">
        <f t="array" aca="1" ref="S192" ca="1">INDIRECT("Unterhalt!"&amp;$AB$6&amp;AA192)</f>
        <v>50</v>
      </c>
      <c r="T192" s="25">
        <f ca="1">IF(O192=Auswahllisten!$E$26,0.8,IF(O192=Auswahllisten!$E$27,1,IF(O192=Auswahllisten!$E$29,1.2,0)))</f>
        <v>0.8</v>
      </c>
      <c r="U192" s="25">
        <f t="shared" ca="1" si="152"/>
        <v>40</v>
      </c>
      <c r="V192" s="25">
        <f t="shared" ca="1" si="153"/>
        <v>0</v>
      </c>
      <c r="W192" s="25" t="b">
        <f ca="1">($L$190=$U$5)</f>
        <v>0</v>
      </c>
      <c r="X192" s="25">
        <f t="shared" ca="1" si="154"/>
        <v>0</v>
      </c>
      <c r="Z192" s="1">
        <f t="shared" si="155"/>
        <v>54</v>
      </c>
      <c r="AA192" s="1">
        <v>36</v>
      </c>
      <c r="AB192" s="1">
        <v>-1</v>
      </c>
    </row>
    <row r="193" spans="1:28">
      <c r="A193" s="545"/>
      <c r="B193" s="94"/>
      <c r="C193" s="142" t="s">
        <v>335</v>
      </c>
      <c r="D193" s="93" t="str" cm="1">
        <f t="array" aca="1" ref="D193" ca="1">INDIRECT("Vergleich!"&amp;$G$2&amp;Z193)</f>
        <v>mittel</v>
      </c>
      <c r="E193" s="61" cm="1">
        <f t="array" aca="1" ref="E193" ca="1">INDIRECT("Unterhalt!"&amp;$J$5&amp;AA193)</f>
        <v>0</v>
      </c>
      <c r="F193" s="61">
        <f ca="1">IF(D193=Auswahllisten!$E$26,0.8,IF(D193=Auswahllisten!$E$27,1,IF(D193=Auswahllisten!$E$29,1.2,0)))</f>
        <v>1</v>
      </c>
      <c r="G193" s="61">
        <f t="shared" ca="1" si="147"/>
        <v>0</v>
      </c>
      <c r="H193" s="61" cm="1">
        <f t="array" aca="1" ref="H193" ca="1">INDIRECT("Unterhalt!"&amp;$J$6&amp;AA193)</f>
        <v>0</v>
      </c>
      <c r="I193" s="61">
        <f ca="1">IF(D193=Auswahllisten!$E$26,0.8,IF(D193=Auswahllisten!$E$27,1,IF(D193=Auswahllisten!$E$29,1.2,0)))</f>
        <v>1</v>
      </c>
      <c r="J193" s="61">
        <f t="shared" ca="1" si="148"/>
        <v>0</v>
      </c>
      <c r="K193" s="61">
        <f t="shared" ca="1" si="149"/>
        <v>0</v>
      </c>
      <c r="L193" s="61" t="b">
        <f ca="1">($L$190=$C$5)</f>
        <v>0</v>
      </c>
      <c r="M193" s="216">
        <f t="shared" ca="1" si="150"/>
        <v>0</v>
      </c>
      <c r="O193" s="61" t="str" cm="1">
        <f t="array" aca="1" ref="O193" ca="1">INDIRECT("Vergleich!"&amp;$Y$2&amp;Z193)</f>
        <v>gering</v>
      </c>
      <c r="P193" s="61" cm="1">
        <f t="array" aca="1" ref="P193" ca="1">INDIRECT("Unterhalt!"&amp;$AB$5&amp;AA193)</f>
        <v>0</v>
      </c>
      <c r="Q193" s="61">
        <f ca="1">IF(O193=Auswahllisten!$E$26,0.8,IF(O193=Auswahllisten!$E$27,1,IF(O193=Auswahllisten!$E$29,1.2,0)))</f>
        <v>0.8</v>
      </c>
      <c r="R193" s="61">
        <f t="shared" ca="1" si="151"/>
        <v>0</v>
      </c>
      <c r="S193" s="61" cm="1">
        <f t="array" aca="1" ref="S193" ca="1">INDIRECT("Unterhalt!"&amp;$AB$6&amp;AA193)</f>
        <v>0</v>
      </c>
      <c r="T193" s="61">
        <f ca="1">IF(O193=Auswahllisten!$E$26,0.8,IF(O193=Auswahllisten!$E$27,1,IF(O193=Auswahllisten!$E$29,1.2,0)))</f>
        <v>0.8</v>
      </c>
      <c r="U193" s="61">
        <f t="shared" ca="1" si="152"/>
        <v>0</v>
      </c>
      <c r="V193" s="61">
        <f t="shared" ca="1" si="153"/>
        <v>0</v>
      </c>
      <c r="W193" s="61" t="b">
        <f ca="1">($L$190=$U$5)</f>
        <v>0</v>
      </c>
      <c r="X193" s="61">
        <f t="shared" ca="1" si="154"/>
        <v>0</v>
      </c>
      <c r="Z193" s="1">
        <f t="shared" si="155"/>
        <v>54</v>
      </c>
      <c r="AA193" s="1">
        <v>37</v>
      </c>
      <c r="AB193" s="1">
        <v>-1</v>
      </c>
    </row>
    <row r="194" spans="1:28">
      <c r="A194" s="8"/>
      <c r="M194" s="69"/>
      <c r="Z194" s="1">
        <f t="shared" si="155"/>
        <v>54</v>
      </c>
      <c r="AA194" s="1">
        <v>38</v>
      </c>
      <c r="AB194" s="1">
        <v>-1</v>
      </c>
    </row>
    <row r="195" spans="1:28">
      <c r="A195" s="8" t="str">
        <f>ROMAN(8)</f>
        <v>VIII</v>
      </c>
      <c r="B195" s="8" t="s">
        <v>1810</v>
      </c>
      <c r="L195" s="155">
        <v>14</v>
      </c>
      <c r="M195" s="69"/>
      <c r="Z195" s="1">
        <f t="shared" si="155"/>
        <v>54</v>
      </c>
      <c r="AA195" s="1">
        <v>39</v>
      </c>
      <c r="AB195" s="1">
        <v>-1</v>
      </c>
    </row>
    <row r="196" spans="1:28">
      <c r="A196" s="117"/>
      <c r="B196" s="55"/>
      <c r="C196" s="5" t="s">
        <v>255</v>
      </c>
      <c r="D196" s="25" t="str" cm="1">
        <f t="array" aca="1" ref="D196" ca="1">INDIRECT("Vergleich!"&amp;$G$2&amp;Z196)</f>
        <v>mittel</v>
      </c>
      <c r="E196" s="25" cm="1">
        <f t="array" aca="1" ref="E196" ca="1">INDIRECT("Unterhalt!"&amp;$J$5&amp;AA196)</f>
        <v>680</v>
      </c>
      <c r="F196" s="25">
        <f ca="1">IF(D196=Auswahllisten!$E$26,0.8,IF(D196=Auswahllisten!$E$27,1,IF(D196=Auswahllisten!$E$29,1.2,0)))</f>
        <v>1</v>
      </c>
      <c r="G196" s="25">
        <f t="shared" ref="G196:G198" ca="1" si="156">E196*F196</f>
        <v>680</v>
      </c>
      <c r="H196" s="25" cm="1">
        <f t="array" aca="1" ref="H196" ca="1">INDIRECT("Unterhalt!"&amp;$J$6&amp;AA196)</f>
        <v>680</v>
      </c>
      <c r="I196" s="25">
        <f ca="1">IF(D196=Auswahllisten!$E$26,0.8,IF(D196=Auswahllisten!$E$27,1,IF(D196=Auswahllisten!$E$29,1.2,0)))</f>
        <v>1</v>
      </c>
      <c r="J196" s="25">
        <f t="shared" ref="J196:J198" ca="1" si="157">H196*I196</f>
        <v>680</v>
      </c>
      <c r="K196" s="25">
        <f t="shared" ref="K196:K198" ca="1" si="158">IF($C$5=0,0,G196+(J196-G196)*($C$6-$F$5)/($F$6-$F$5))</f>
        <v>0</v>
      </c>
      <c r="L196" s="25" t="b">
        <f ca="1">($L$195=$C$5)</f>
        <v>0</v>
      </c>
      <c r="M196" s="162">
        <f t="shared" ref="M196:M198" ca="1" si="159">ROUND(K196*L196,AB196)</f>
        <v>0</v>
      </c>
      <c r="O196" s="25" t="str" cm="1">
        <f t="array" aca="1" ref="O196" ca="1">INDIRECT("Vergleich!"&amp;$Y$2&amp;Z196)</f>
        <v>gering</v>
      </c>
      <c r="P196" s="25" cm="1">
        <f t="array" aca="1" ref="P196" ca="1">INDIRECT("Unterhalt!"&amp;$AB$5&amp;AA196)</f>
        <v>680</v>
      </c>
      <c r="Q196" s="25">
        <f ca="1">IF(O196=Auswahllisten!$E$26,0.8,IF(O196=Auswahllisten!$E$27,1,IF(O196=Auswahllisten!$E$29,1.2,0)))</f>
        <v>0.8</v>
      </c>
      <c r="R196" s="25">
        <f t="shared" ref="R196:R198" ca="1" si="160">P196*Q196</f>
        <v>544</v>
      </c>
      <c r="S196" s="25" cm="1">
        <f t="array" aca="1" ref="S196" ca="1">INDIRECT("Unterhalt!"&amp;$AB$6&amp;AA196)</f>
        <v>680</v>
      </c>
      <c r="T196" s="25">
        <f ca="1">IF(O196=Auswahllisten!$E$26,0.8,IF(O196=Auswahllisten!$E$27,1,IF(O196=Auswahllisten!$E$29,1.2,0)))</f>
        <v>0.8</v>
      </c>
      <c r="U196" s="25">
        <f t="shared" ref="U196:U198" ca="1" si="161">S196*T196</f>
        <v>544</v>
      </c>
      <c r="V196" s="25">
        <f t="shared" ca="1" si="153"/>
        <v>0</v>
      </c>
      <c r="W196" s="25" t="b">
        <f ca="1">($L$195=$U$5)</f>
        <v>0</v>
      </c>
      <c r="X196" s="25">
        <f t="shared" ref="X196:X198" ca="1" si="162">ROUND(V196*W196,AB196)</f>
        <v>0</v>
      </c>
      <c r="Z196" s="1">
        <f t="shared" si="155"/>
        <v>54</v>
      </c>
      <c r="AA196" s="1">
        <v>40</v>
      </c>
      <c r="AB196" s="1">
        <v>-1</v>
      </c>
    </row>
    <row r="197" spans="1:28">
      <c r="A197" s="546"/>
      <c r="B197" s="71"/>
      <c r="C197" s="2" t="s">
        <v>302</v>
      </c>
      <c r="D197" s="16" t="str" cm="1">
        <f t="array" aca="1" ref="D197" ca="1">INDIRECT("Vergleich!"&amp;$G$2&amp;Z197)</f>
        <v>mittel</v>
      </c>
      <c r="E197" s="25" cm="1">
        <f t="array" aca="1" ref="E197" ca="1">INDIRECT("Unterhalt!"&amp;$J$5&amp;AA197)</f>
        <v>50</v>
      </c>
      <c r="F197" s="25">
        <f ca="1">IF(D197=Auswahllisten!$E$26,0.8,IF(D197=Auswahllisten!$E$27,1,IF(D197=Auswahllisten!$E$29,1.2,0)))</f>
        <v>1</v>
      </c>
      <c r="G197" s="25">
        <f t="shared" ca="1" si="156"/>
        <v>50</v>
      </c>
      <c r="H197" s="25" cm="1">
        <f t="array" aca="1" ref="H197" ca="1">INDIRECT("Unterhalt!"&amp;$J$6&amp;AA197)</f>
        <v>50</v>
      </c>
      <c r="I197" s="25">
        <f ca="1">IF(D197=Auswahllisten!$E$26,0.8,IF(D197=Auswahllisten!$E$27,1,IF(D197=Auswahllisten!$E$29,1.2,0)))</f>
        <v>1</v>
      </c>
      <c r="J197" s="25">
        <f t="shared" ca="1" si="157"/>
        <v>50</v>
      </c>
      <c r="K197" s="25">
        <f t="shared" ca="1" si="158"/>
        <v>0</v>
      </c>
      <c r="L197" s="25" t="b">
        <f ca="1">($L$195=$C$5)</f>
        <v>0</v>
      </c>
      <c r="M197" s="162">
        <f t="shared" ca="1" si="159"/>
        <v>0</v>
      </c>
      <c r="O197" s="25" t="str" cm="1">
        <f t="array" aca="1" ref="O197" ca="1">INDIRECT("Vergleich!"&amp;$Y$2&amp;Z197)</f>
        <v>gering</v>
      </c>
      <c r="P197" s="25" cm="1">
        <f t="array" aca="1" ref="P197" ca="1">INDIRECT("Unterhalt!"&amp;$AB$5&amp;AA197)</f>
        <v>50</v>
      </c>
      <c r="Q197" s="25">
        <f ca="1">IF(O197=Auswahllisten!$E$26,0.8,IF(O197=Auswahllisten!$E$27,1,IF(O197=Auswahllisten!$E$29,1.2,0)))</f>
        <v>0.8</v>
      </c>
      <c r="R197" s="25">
        <f t="shared" ca="1" si="160"/>
        <v>40</v>
      </c>
      <c r="S197" s="25" cm="1">
        <f t="array" aca="1" ref="S197" ca="1">INDIRECT("Unterhalt!"&amp;$AB$6&amp;AA197)</f>
        <v>50</v>
      </c>
      <c r="T197" s="25">
        <f ca="1">IF(O197=Auswahllisten!$E$26,0.8,IF(O197=Auswahllisten!$E$27,1,IF(O197=Auswahllisten!$E$29,1.2,0)))</f>
        <v>0.8</v>
      </c>
      <c r="U197" s="25">
        <f t="shared" ca="1" si="161"/>
        <v>40</v>
      </c>
      <c r="V197" s="25">
        <f ca="1">IF($U$5=0,0,R197+(U197-R197)*($U$6-$X$5)/($X$6-$X$5))</f>
        <v>0</v>
      </c>
      <c r="W197" s="25" t="b">
        <f ca="1">($L$195=$U$5)</f>
        <v>0</v>
      </c>
      <c r="X197" s="25">
        <f t="shared" ca="1" si="162"/>
        <v>0</v>
      </c>
      <c r="Z197" s="1">
        <f t="shared" si="155"/>
        <v>54</v>
      </c>
      <c r="AA197" s="1">
        <v>41</v>
      </c>
      <c r="AB197" s="1">
        <v>-1</v>
      </c>
    </row>
    <row r="198" spans="1:28">
      <c r="A198" s="545"/>
      <c r="B198" s="94"/>
      <c r="C198" s="142" t="s">
        <v>335</v>
      </c>
      <c r="D198" s="93" t="str" cm="1">
        <f t="array" aca="1" ref="D198" ca="1">INDIRECT("Vergleich!"&amp;$G$2&amp;Z198)</f>
        <v>mittel</v>
      </c>
      <c r="E198" s="61" cm="1">
        <f t="array" aca="1" ref="E198" ca="1">INDIRECT("Unterhalt!"&amp;$J$5&amp;AA198)</f>
        <v>0</v>
      </c>
      <c r="F198" s="61">
        <f ca="1">IF(D198=Auswahllisten!$E$26,0.8,IF(D198=Auswahllisten!$E$27,1,IF(D198=Auswahllisten!$E$29,1.2,0)))</f>
        <v>1</v>
      </c>
      <c r="G198" s="61">
        <f t="shared" ca="1" si="156"/>
        <v>0</v>
      </c>
      <c r="H198" s="61" cm="1">
        <f t="array" aca="1" ref="H198" ca="1">INDIRECT("Unterhalt!"&amp;$J$6&amp;AA198)</f>
        <v>0</v>
      </c>
      <c r="I198" s="61">
        <f ca="1">IF(D198=Auswahllisten!$E$26,0.8,IF(D198=Auswahllisten!$E$27,1,IF(D198=Auswahllisten!$E$29,1.2,0)))</f>
        <v>1</v>
      </c>
      <c r="J198" s="61">
        <f t="shared" ca="1" si="157"/>
        <v>0</v>
      </c>
      <c r="K198" s="61">
        <f t="shared" ca="1" si="158"/>
        <v>0</v>
      </c>
      <c r="L198" s="61" t="b">
        <f ca="1">($L$195=$C$5)</f>
        <v>0</v>
      </c>
      <c r="M198" s="216">
        <f t="shared" ca="1" si="159"/>
        <v>0</v>
      </c>
      <c r="O198" s="61" t="str" cm="1">
        <f t="array" aca="1" ref="O198" ca="1">INDIRECT("Vergleich!"&amp;$Y$2&amp;Z198)</f>
        <v>gering</v>
      </c>
      <c r="P198" s="61" cm="1">
        <f t="array" aca="1" ref="P198" ca="1">INDIRECT("Unterhalt!"&amp;$AB$5&amp;AA198)</f>
        <v>0</v>
      </c>
      <c r="Q198" s="61">
        <f ca="1">IF(O198=Auswahllisten!$E$26,0.8,IF(O198=Auswahllisten!$E$27,1,IF(O198=Auswahllisten!$E$29,1.2,0)))</f>
        <v>0.8</v>
      </c>
      <c r="R198" s="61">
        <f t="shared" ca="1" si="160"/>
        <v>0</v>
      </c>
      <c r="S198" s="61" cm="1">
        <f t="array" aca="1" ref="S198" ca="1">INDIRECT("Unterhalt!"&amp;$AB$6&amp;AA198)</f>
        <v>0</v>
      </c>
      <c r="T198" s="61">
        <f ca="1">IF(O198=Auswahllisten!$E$26,0.8,IF(O198=Auswahllisten!$E$27,1,IF(O198=Auswahllisten!$E$29,1.2,0)))</f>
        <v>0.8</v>
      </c>
      <c r="U198" s="61">
        <f t="shared" ca="1" si="161"/>
        <v>0</v>
      </c>
      <c r="V198" s="61">
        <f t="shared" ca="1" si="153"/>
        <v>0</v>
      </c>
      <c r="W198" s="61" t="b">
        <f ca="1">($L$195=$U$5)</f>
        <v>0</v>
      </c>
      <c r="X198" s="61">
        <f t="shared" ca="1" si="162"/>
        <v>0</v>
      </c>
      <c r="Z198" s="1">
        <f t="shared" si="155"/>
        <v>54</v>
      </c>
      <c r="AA198" s="1">
        <v>42</v>
      </c>
      <c r="AB198" s="1">
        <v>-1</v>
      </c>
    </row>
    <row r="199" spans="1:28">
      <c r="A199" s="8"/>
      <c r="M199" s="69"/>
      <c r="Z199" s="1">
        <f t="shared" si="155"/>
        <v>54</v>
      </c>
      <c r="AA199" s="1">
        <v>43</v>
      </c>
      <c r="AB199" s="1">
        <v>-1</v>
      </c>
    </row>
    <row r="200" spans="1:28">
      <c r="A200" s="8" t="str">
        <f>ROMAN(9)</f>
        <v>IX</v>
      </c>
      <c r="B200" s="8" t="s">
        <v>32</v>
      </c>
      <c r="L200" s="394"/>
      <c r="M200" s="69"/>
      <c r="W200" s="394"/>
      <c r="Z200" s="1">
        <f>Z194</f>
        <v>54</v>
      </c>
      <c r="AA200" s="1">
        <v>44</v>
      </c>
      <c r="AB200" s="1">
        <v>-1</v>
      </c>
    </row>
    <row r="201" spans="1:28">
      <c r="A201" s="117"/>
      <c r="B201" s="55"/>
      <c r="C201" s="5" t="s">
        <v>258</v>
      </c>
      <c r="D201" s="25" t="str" cm="1">
        <f t="array" aca="1" ref="D201" ca="1">INDIRECT("Vergleich!"&amp;$G$2&amp;Z201)</f>
        <v>mittel</v>
      </c>
      <c r="E201" s="25" cm="1">
        <f t="array" aca="1" ref="E201" ca="1">INDIRECT("Unterhalt!"&amp;$J$5&amp;AA201)</f>
        <v>250</v>
      </c>
      <c r="F201" s="25">
        <f ca="1">IF(D201=Auswahllisten!$E$26,0.8,IF(D201=Auswahllisten!$E$27,1,IF(D201=Auswahllisten!$E$29,1.2,0)))</f>
        <v>1</v>
      </c>
      <c r="G201" s="25">
        <f ca="1">E201*F201</f>
        <v>250</v>
      </c>
      <c r="H201" s="25" cm="1">
        <f t="array" aca="1" ref="H201" ca="1">INDIRECT("Unterhalt!"&amp;$J$6&amp;AA201)</f>
        <v>250</v>
      </c>
      <c r="I201" s="25">
        <f ca="1">IF(D201=Auswahllisten!$E$26,0.8,IF(D201=Auswahllisten!$E$27,1,IF(D201=Auswahllisten!$E$29,1.2,0)))</f>
        <v>1</v>
      </c>
      <c r="J201" s="25">
        <f ca="1">H201*I201</f>
        <v>250</v>
      </c>
      <c r="K201" s="25">
        <f ca="1">IF($C$5=0,0,G201+(J201-G201)*($C$6-$F$5)/($F$6-$F$5))</f>
        <v>0</v>
      </c>
      <c r="L201" s="25" t="b">
        <f ca="1">OR($C$5=10,$C$5=11,$C$5=12,$C$5=13)</f>
        <v>0</v>
      </c>
      <c r="M201" s="162">
        <f ca="1">ROUND(K201*L201,AB201)</f>
        <v>0</v>
      </c>
      <c r="O201" s="25" t="str" cm="1">
        <f t="array" aca="1" ref="O201" ca="1">INDIRECT("Vergleich!"&amp;$Y$2&amp;Z201)</f>
        <v>gering</v>
      </c>
      <c r="P201" s="25" cm="1">
        <f t="array" aca="1" ref="P201" ca="1">INDIRECT("Unterhalt!"&amp;$AB$5&amp;AA201)</f>
        <v>250</v>
      </c>
      <c r="Q201" s="25">
        <f ca="1">IF(O201=Auswahllisten!$E$26,0.8,IF(O201=Auswahllisten!$E$27,1,IF(O201=Auswahllisten!$E$29,1.2,0)))</f>
        <v>0.8</v>
      </c>
      <c r="R201" s="25">
        <f ca="1">P201*Q201</f>
        <v>200</v>
      </c>
      <c r="S201" s="25" cm="1">
        <f t="array" aca="1" ref="S201" ca="1">INDIRECT("Unterhalt!"&amp;$AB$6&amp;AA201)</f>
        <v>250</v>
      </c>
      <c r="T201" s="25">
        <f ca="1">IF(O201=Auswahllisten!$E$26,0.8,IF(O201=Auswahllisten!$E$27,1,IF(O201=Auswahllisten!$E$29,1.2,0)))</f>
        <v>0.8</v>
      </c>
      <c r="U201" s="25">
        <f ca="1">S201*T201</f>
        <v>200</v>
      </c>
      <c r="V201" s="25">
        <f t="shared" ca="1" si="153"/>
        <v>0</v>
      </c>
      <c r="W201" s="25" t="b">
        <f ca="1">OR($U$5=10,$U$5=11,$U$5=12,$U$5=13)</f>
        <v>0</v>
      </c>
      <c r="X201" s="25">
        <f ca="1">ROUND(V201*W201,AB201)</f>
        <v>0</v>
      </c>
      <c r="Z201" s="1">
        <f t="shared" ref="Z201:Z207" si="163">Z200</f>
        <v>54</v>
      </c>
      <c r="AA201" s="1">
        <v>45</v>
      </c>
      <c r="AB201" s="1">
        <v>-1</v>
      </c>
    </row>
    <row r="202" spans="1:28">
      <c r="A202" s="545"/>
      <c r="B202" s="94"/>
      <c r="C202" s="142" t="s">
        <v>335</v>
      </c>
      <c r="D202" s="93" t="str" cm="1">
        <f t="array" aca="1" ref="D202" ca="1">INDIRECT("Vergleich!"&amp;$G$2&amp;Z202)</f>
        <v>mittel</v>
      </c>
      <c r="E202" s="61" cm="1">
        <f t="array" aca="1" ref="E202" ca="1">INDIRECT("Unterhalt!"&amp;$J$5&amp;AA202)</f>
        <v>0</v>
      </c>
      <c r="F202" s="61">
        <f ca="1">IF(D202=Auswahllisten!$E$26,0.8,IF(D202=Auswahllisten!$E$27,1,IF(D202=Auswahllisten!$E$29,1.2,0)))</f>
        <v>1</v>
      </c>
      <c r="G202" s="61">
        <f ca="1">E202*F202</f>
        <v>0</v>
      </c>
      <c r="H202" s="61" cm="1">
        <f t="array" aca="1" ref="H202" ca="1">INDIRECT("Unterhalt!"&amp;$J$6&amp;AA202)</f>
        <v>0</v>
      </c>
      <c r="I202" s="61">
        <f ca="1">IF(D202=Auswahllisten!$E$26,0.8,IF(D202=Auswahllisten!$E$27,1,IF(D202=Auswahllisten!$E$29,1.2,0)))</f>
        <v>1</v>
      </c>
      <c r="J202" s="61">
        <f ca="1">H202*I202</f>
        <v>0</v>
      </c>
      <c r="K202" s="61">
        <f ca="1">IF($C$5=0,0,G202+(J202-G202)*($C$6-$F$5)/($F$6-$F$5))</f>
        <v>0</v>
      </c>
      <c r="L202" s="61" t="b">
        <f ca="1">OR($C$5=10,$C$5=11,$C$5=12,$C$5=13)</f>
        <v>0</v>
      </c>
      <c r="M202" s="216">
        <f ca="1">ROUND(K202*L202,AB202)</f>
        <v>0</v>
      </c>
      <c r="O202" s="61" t="str" cm="1">
        <f t="array" aca="1" ref="O202" ca="1">INDIRECT("Vergleich!"&amp;$Y$2&amp;Z202)</f>
        <v>gering</v>
      </c>
      <c r="P202" s="61" cm="1">
        <f t="array" aca="1" ref="P202" ca="1">INDIRECT("Unterhalt!"&amp;$AB$5&amp;AA202)</f>
        <v>0</v>
      </c>
      <c r="Q202" s="61">
        <f ca="1">IF(O202=Auswahllisten!$E$26,0.8,IF(O202=Auswahllisten!$E$27,1,IF(O202=Auswahllisten!$E$29,1.2,0)))</f>
        <v>0.8</v>
      </c>
      <c r="R202" s="61">
        <f ca="1">P202*Q202</f>
        <v>0</v>
      </c>
      <c r="S202" s="61" cm="1">
        <f t="array" aca="1" ref="S202" ca="1">INDIRECT("Unterhalt!"&amp;$AB$6&amp;AA202)</f>
        <v>0</v>
      </c>
      <c r="T202" s="61">
        <f ca="1">IF(O202=Auswahllisten!$E$26,0.8,IF(O202=Auswahllisten!$E$27,1,IF(O202=Auswahllisten!$E$29,1.2,0)))</f>
        <v>0.8</v>
      </c>
      <c r="U202" s="61">
        <f ca="1">S202*T202</f>
        <v>0</v>
      </c>
      <c r="V202" s="61">
        <f t="shared" ca="1" si="153"/>
        <v>0</v>
      </c>
      <c r="W202" s="60" t="b">
        <f ca="1">OR($U$5=10,$U$5=11,$U$5=12,$U$5=13)</f>
        <v>0</v>
      </c>
      <c r="X202" s="61">
        <f ca="1">ROUND(V202*W202,AB202)</f>
        <v>0</v>
      </c>
      <c r="Z202" s="1">
        <f t="shared" si="163"/>
        <v>54</v>
      </c>
      <c r="AA202" s="1">
        <v>46</v>
      </c>
      <c r="AB202" s="1">
        <v>-1</v>
      </c>
    </row>
    <row r="203" spans="1:28">
      <c r="A203" s="8"/>
      <c r="M203" s="69"/>
      <c r="Z203" s="1">
        <f t="shared" si="163"/>
        <v>54</v>
      </c>
      <c r="AA203" s="1">
        <v>47</v>
      </c>
      <c r="AB203" s="1">
        <v>-1</v>
      </c>
    </row>
    <row r="204" spans="1:28">
      <c r="A204" s="8" t="s">
        <v>1008</v>
      </c>
      <c r="B204" s="8" t="s">
        <v>1062</v>
      </c>
      <c r="D204" s="394"/>
      <c r="E204" s="394"/>
      <c r="F204" s="394"/>
      <c r="G204" s="394"/>
      <c r="H204" s="394"/>
      <c r="I204" s="394"/>
      <c r="J204" s="394"/>
      <c r="K204" s="394"/>
      <c r="L204" s="155">
        <v>8</v>
      </c>
      <c r="M204" s="69"/>
      <c r="O204" s="394"/>
      <c r="P204" s="394"/>
      <c r="Q204" s="394"/>
      <c r="R204" s="394"/>
      <c r="S204" s="394"/>
      <c r="T204" s="394"/>
      <c r="U204" s="394"/>
      <c r="V204" s="394"/>
      <c r="W204" s="394"/>
      <c r="X204" s="394"/>
      <c r="Z204" s="1">
        <f t="shared" si="163"/>
        <v>54</v>
      </c>
      <c r="AA204" s="1">
        <v>48</v>
      </c>
      <c r="AB204" s="1">
        <v>-1</v>
      </c>
    </row>
    <row r="205" spans="1:28">
      <c r="A205" s="117"/>
      <c r="B205" s="55"/>
      <c r="C205" s="5" t="s">
        <v>255</v>
      </c>
      <c r="D205" s="25" t="str" cm="1">
        <f t="array" aca="1" ref="D205" ca="1">INDIRECT("Vergleich!"&amp;$G$2&amp;Z205)</f>
        <v>mittel</v>
      </c>
      <c r="E205" s="25" cm="1">
        <f t="array" aca="1" ref="E205" ca="1">INDIRECT("Unterhalt!"&amp;$J$5&amp;AA205)</f>
        <v>10</v>
      </c>
      <c r="F205" s="25">
        <f ca="1">IF(D205=Auswahllisten!$E$26,0.8,IF(D205=Auswahllisten!$E$27,1,IF(D205=Auswahllisten!$E$28,1.2,0)))</f>
        <v>1</v>
      </c>
      <c r="G205" s="25">
        <f ca="1">E205*F205</f>
        <v>10</v>
      </c>
      <c r="H205" s="25" cm="1">
        <f t="array" aca="1" ref="H205" ca="1">INDIRECT("Unterhalt!"&amp;$J$6&amp;AA205)</f>
        <v>10</v>
      </c>
      <c r="I205" s="25">
        <f ca="1">IF(D205=Auswahllisten!$E$26,0.8,IF(D205=Auswahllisten!$E$27,1,IF(D205=Auswahllisten!$E$28,1.2,0)))</f>
        <v>1</v>
      </c>
      <c r="J205" s="25">
        <f ca="1">H205*I205</f>
        <v>10</v>
      </c>
      <c r="K205" s="25">
        <f ca="1">IF($C$5=0,0,G205+(J205-G205)*($C$6-$F$5)/($F$6-$F$5))</f>
        <v>0</v>
      </c>
      <c r="L205" s="25" t="b">
        <f ca="1">($L$204=$C$5)</f>
        <v>0</v>
      </c>
      <c r="M205" s="162">
        <f ca="1">ROUND(K205*L205,AB205)</f>
        <v>0</v>
      </c>
      <c r="O205" s="25" t="str" cm="1">
        <f t="array" aca="1" ref="O205" ca="1">INDIRECT("Vergleich!"&amp;$Y$2&amp;Z205)</f>
        <v>gering</v>
      </c>
      <c r="P205" s="25" cm="1">
        <f t="array" aca="1" ref="P205" ca="1">INDIRECT("Unterhalt!"&amp;$AB$5&amp;AA205)</f>
        <v>10</v>
      </c>
      <c r="Q205" s="25">
        <f ca="1">IF(O205=Auswahllisten!$E$26,0.8,IF(O205=Auswahllisten!$E$27,1,IF(O205=Auswahllisten!$E$28,1.2,0)))</f>
        <v>0.8</v>
      </c>
      <c r="R205" s="25">
        <f ca="1">P205*Q205</f>
        <v>8</v>
      </c>
      <c r="S205" s="25" cm="1">
        <f t="array" aca="1" ref="S205" ca="1">INDIRECT("Unterhalt!"&amp;$AB$6&amp;AA205)</f>
        <v>10</v>
      </c>
      <c r="T205" s="25">
        <f ca="1">IF(O205=Auswahllisten!$E$26,0.8,IF(O205=Auswahllisten!$E$27,1,IF(O205=Auswahllisten!$E$28,1.2,0)))</f>
        <v>0.8</v>
      </c>
      <c r="U205" s="25">
        <f ca="1">S205*T205</f>
        <v>8</v>
      </c>
      <c r="V205" s="25">
        <f ca="1">IF($U$5=0,0,R205+(U205-R205)*($U$6-$X$5)/($X$6-$X$5))</f>
        <v>0</v>
      </c>
      <c r="W205" s="25" t="b">
        <f ca="1">($L$204=$U$5)</f>
        <v>0</v>
      </c>
      <c r="X205" s="25">
        <f ca="1">ROUND(V205*W205,AB205)</f>
        <v>0</v>
      </c>
      <c r="Z205" s="1">
        <f t="shared" si="163"/>
        <v>54</v>
      </c>
      <c r="AA205" s="1">
        <v>49</v>
      </c>
      <c r="AB205" s="1">
        <v>-1</v>
      </c>
    </row>
    <row r="206" spans="1:28">
      <c r="A206" s="71"/>
      <c r="B206" s="71"/>
      <c r="C206" s="2" t="s">
        <v>256</v>
      </c>
      <c r="D206" s="16" t="str" cm="1">
        <f t="array" aca="1" ref="D206" ca="1">INDIRECT("Vergleich!"&amp;$G$2&amp;Z206)</f>
        <v>mittel</v>
      </c>
      <c r="E206" s="25" cm="1">
        <f t="array" aca="1" ref="E206" ca="1">INDIRECT("Unterhalt!"&amp;$J$5&amp;AA206)</f>
        <v>11</v>
      </c>
      <c r="F206" s="25">
        <f ca="1">IF(D206=Auswahllisten!$E$26,0.8,IF(D206=Auswahllisten!$E$27,1,IF(D206=Auswahllisten!$E$28,1.2,0)))</f>
        <v>1</v>
      </c>
      <c r="G206" s="25">
        <f ca="1">E206*F206</f>
        <v>11</v>
      </c>
      <c r="H206" s="25" cm="1">
        <f t="array" aca="1" ref="H206" ca="1">INDIRECT("Unterhalt!"&amp;$J$6&amp;AA206)</f>
        <v>11</v>
      </c>
      <c r="I206" s="25">
        <f ca="1">IF(D206=Auswahllisten!$E$26,0.8,IF(D206=Auswahllisten!$E$27,1,IF(D206=Auswahllisten!$E$28,1.2,0)))</f>
        <v>1</v>
      </c>
      <c r="J206" s="25">
        <f ca="1">H206*I206</f>
        <v>11</v>
      </c>
      <c r="K206" s="25">
        <f ca="1">IF($C$5=0,0,G206+(J206-G206)*($C$6-$F$5)/($F$6-$F$5))</f>
        <v>0</v>
      </c>
      <c r="L206" s="25" t="b">
        <f ca="1">($L$204=$C$5)</f>
        <v>0</v>
      </c>
      <c r="M206" s="162">
        <f ca="1">ROUND(K206*L206,AB206)</f>
        <v>0</v>
      </c>
      <c r="O206" s="25" t="str" cm="1">
        <f t="array" aca="1" ref="O206" ca="1">INDIRECT("Vergleich!"&amp;$Y$2&amp;Z206)</f>
        <v>gering</v>
      </c>
      <c r="P206" s="25" cm="1">
        <f t="array" aca="1" ref="P206" ca="1">INDIRECT("Unterhalt!"&amp;$AB$5&amp;AA206)</f>
        <v>11</v>
      </c>
      <c r="Q206" s="25">
        <f ca="1">IF(O206=Auswahllisten!$E$26,0.8,IF(O206=Auswahllisten!$E$27,1,IF(O206=Auswahllisten!$E$28,1.2,0)))</f>
        <v>0.8</v>
      </c>
      <c r="R206" s="25">
        <f ca="1">P206*Q206</f>
        <v>8.8000000000000007</v>
      </c>
      <c r="S206" s="25" cm="1">
        <f t="array" aca="1" ref="S206" ca="1">INDIRECT("Unterhalt!"&amp;$AB$6&amp;AA206)</f>
        <v>11</v>
      </c>
      <c r="T206" s="25">
        <f ca="1">IF(O206=Auswahllisten!$E$26,0.8,IF(O206=Auswahllisten!$E$27,1,IF(O206=Auswahllisten!$E$28,1.2,0)))</f>
        <v>0.8</v>
      </c>
      <c r="U206" s="25">
        <f ca="1">S206*T206</f>
        <v>8.8000000000000007</v>
      </c>
      <c r="V206" s="25">
        <f t="shared" ref="V206:V208" ca="1" si="164">IF($U$5=0,0,R206+(U206-R206)*($U$6-$X$5)/($X$6-$X$5))</f>
        <v>0</v>
      </c>
      <c r="W206" s="25" t="b">
        <f ca="1">($L$204=$U$5)</f>
        <v>0</v>
      </c>
      <c r="X206" s="25">
        <f ca="1">ROUND(V206*W206,AB206)</f>
        <v>0</v>
      </c>
      <c r="Z206" s="1">
        <f t="shared" si="163"/>
        <v>54</v>
      </c>
      <c r="AA206" s="1">
        <v>50</v>
      </c>
      <c r="AB206" s="1">
        <v>-1</v>
      </c>
    </row>
    <row r="207" spans="1:28">
      <c r="A207" s="94"/>
      <c r="B207" s="94"/>
      <c r="C207" s="142" t="s">
        <v>335</v>
      </c>
      <c r="D207" s="93" t="str" cm="1">
        <f t="array" aca="1" ref="D207" ca="1">INDIRECT("Vergleich!"&amp;$G$2&amp;Z207)</f>
        <v>mittel</v>
      </c>
      <c r="E207" s="61" cm="1">
        <f t="array" aca="1" ref="E207" ca="1">INDIRECT("Unterhalt!"&amp;$J$5&amp;AA207)</f>
        <v>12</v>
      </c>
      <c r="F207" s="61">
        <f ca="1">IF(D207=Auswahllisten!$E$26,0.8,IF(D207=Auswahllisten!$E$27,1,IF(D207=Auswahllisten!$E$28,1.2,0)))</f>
        <v>1</v>
      </c>
      <c r="G207" s="61">
        <f ca="1">E207*F207</f>
        <v>12</v>
      </c>
      <c r="H207" s="61" cm="1">
        <f t="array" aca="1" ref="H207" ca="1">INDIRECT("Unterhalt!"&amp;$J$6&amp;AA207)</f>
        <v>12</v>
      </c>
      <c r="I207" s="61">
        <f ca="1">IF(D207=Auswahllisten!$E$26,0.8,IF(D207=Auswahllisten!$E$27,1,IF(D207=Auswahllisten!$E$28,1.2,0)))</f>
        <v>1</v>
      </c>
      <c r="J207" s="61">
        <f ca="1">H207*I207</f>
        <v>12</v>
      </c>
      <c r="K207" s="61">
        <f ca="1">IF($C$5=0,0,G207+(J207-G207)*($C$6-$F$5)/($F$6-$F$5))</f>
        <v>0</v>
      </c>
      <c r="L207" s="61" t="b">
        <f ca="1">($L$204=$C$5)</f>
        <v>0</v>
      </c>
      <c r="M207" s="216">
        <f ca="1">ROUND(K207*L207,AB207)</f>
        <v>0</v>
      </c>
      <c r="O207" s="61" t="str" cm="1">
        <f t="array" aca="1" ref="O207" ca="1">INDIRECT("Vergleich!"&amp;$Y$2&amp;Z207)</f>
        <v>gering</v>
      </c>
      <c r="P207" s="61" cm="1">
        <f t="array" aca="1" ref="P207" ca="1">INDIRECT("Unterhalt!"&amp;$AB$5&amp;AA207)</f>
        <v>12</v>
      </c>
      <c r="Q207" s="61">
        <f ca="1">IF(O207=Auswahllisten!$E$26,0.8,IF(O207=Auswahllisten!$E$27,1,IF(O207=Auswahllisten!$E$28,1.2,0)))</f>
        <v>0.8</v>
      </c>
      <c r="R207" s="61">
        <f ca="1">P207*Q207</f>
        <v>9.6000000000000014</v>
      </c>
      <c r="S207" s="61" cm="1">
        <f t="array" aca="1" ref="S207" ca="1">INDIRECT("Unterhalt!"&amp;$AB$6&amp;AA207)</f>
        <v>12</v>
      </c>
      <c r="T207" s="61">
        <f ca="1">IF(O207=Auswahllisten!$E$26,0.8,IF(O207=Auswahllisten!$E$27,1,IF(O207=Auswahllisten!$E$28,1.2,0)))</f>
        <v>0.8</v>
      </c>
      <c r="U207" s="61">
        <f ca="1">S207*T207</f>
        <v>9.6000000000000014</v>
      </c>
      <c r="V207" s="61">
        <f t="shared" ca="1" si="164"/>
        <v>0</v>
      </c>
      <c r="W207" s="61" t="b">
        <f ca="1">($L$204=$U$5)</f>
        <v>0</v>
      </c>
      <c r="X207" s="61">
        <f ca="1">ROUND(V207*W207,AB207)</f>
        <v>0</v>
      </c>
      <c r="Z207" s="1">
        <f t="shared" si="163"/>
        <v>54</v>
      </c>
      <c r="AA207" s="1">
        <v>51</v>
      </c>
      <c r="AB207" s="1">
        <v>-1</v>
      </c>
    </row>
    <row r="208" spans="1:28">
      <c r="A208" s="63"/>
      <c r="B208" s="63"/>
      <c r="C208" s="297" t="s">
        <v>1213</v>
      </c>
      <c r="D208" s="395"/>
      <c r="E208" s="395" cm="1">
        <f t="array" aca="1" ref="E208" ca="1">INDIRECT("Unterhalt!"&amp;$J$5&amp;AA208)</f>
        <v>0.3</v>
      </c>
      <c r="F208" s="395">
        <v>1</v>
      </c>
      <c r="G208" s="395">
        <f ca="1">E208*F208</f>
        <v>0.3</v>
      </c>
      <c r="H208" s="395" cm="1">
        <f t="array" aca="1" ref="H208" ca="1">INDIRECT("Unterhalt!"&amp;$J$6&amp;AA208)</f>
        <v>0.3</v>
      </c>
      <c r="I208" s="395">
        <v>1</v>
      </c>
      <c r="J208" s="395">
        <f ca="1">H208*I208</f>
        <v>0.3</v>
      </c>
      <c r="K208" s="395">
        <f ca="1">IF($C$5=0,0,G208+(J208-G208)*($C$6-$F$5)/($F$6-$F$5))</f>
        <v>0</v>
      </c>
      <c r="L208" s="395" t="b">
        <f ca="1">($L$204=$C$5)</f>
        <v>0</v>
      </c>
      <c r="M208" s="395">
        <f ca="1">ROUND(K208*L208,AB208)</f>
        <v>0</v>
      </c>
      <c r="O208" s="395"/>
      <c r="P208" s="395" cm="1">
        <f t="array" aca="1" ref="P208" ca="1">INDIRECT("Unterhalt!"&amp;$AB$5&amp;AA208)</f>
        <v>0.3</v>
      </c>
      <c r="Q208" s="395">
        <v>1</v>
      </c>
      <c r="R208" s="395">
        <f ca="1">P208*Q208</f>
        <v>0.3</v>
      </c>
      <c r="S208" s="395" cm="1">
        <f t="array" aca="1" ref="S208" ca="1">INDIRECT("Unterhalt!"&amp;$AB$6&amp;AA208)</f>
        <v>0.3</v>
      </c>
      <c r="T208" s="395">
        <v>1</v>
      </c>
      <c r="U208" s="395">
        <f ca="1">S208*T208</f>
        <v>0.3</v>
      </c>
      <c r="V208" s="395">
        <f t="shared" ca="1" si="164"/>
        <v>0</v>
      </c>
      <c r="W208" s="395" t="b">
        <f ca="1">($L$204=$U$5)</f>
        <v>0</v>
      </c>
      <c r="X208" s="395">
        <f ca="1">ROUND(V208*W208,AB208)</f>
        <v>0</v>
      </c>
      <c r="AA208" s="1">
        <v>52</v>
      </c>
      <c r="AB208" s="1">
        <v>2</v>
      </c>
    </row>
    <row r="209" spans="1:28">
      <c r="M209" s="69"/>
      <c r="AB209" s="1">
        <v>-1</v>
      </c>
    </row>
    <row r="210" spans="1:28">
      <c r="B210" s="8" t="s">
        <v>337</v>
      </c>
      <c r="E210" s="1" t="s">
        <v>194</v>
      </c>
      <c r="F210" s="1" t="s">
        <v>348</v>
      </c>
      <c r="G210" s="1" t="s">
        <v>131</v>
      </c>
      <c r="M210" s="69"/>
      <c r="AB210" s="1">
        <v>-1</v>
      </c>
    </row>
    <row r="211" spans="1:28">
      <c r="A211" s="55"/>
      <c r="B211" s="55"/>
      <c r="C211" s="5" t="s">
        <v>203</v>
      </c>
      <c r="D211" s="25" t="str" cm="1">
        <f t="array" aca="1" ref="D211" ca="1">INDIRECT("Vergleich!"&amp;$G$2&amp;Z211)</f>
        <v>mittel</v>
      </c>
      <c r="E211" s="25">
        <f ca="1">IF(E140&lt;10,Standardwerte!I57,IF(E140&lt;32,Standardwerte!I58,Standardwerte!I59))</f>
        <v>0</v>
      </c>
      <c r="F211" s="25">
        <f ca="1">IF(D211=Auswahllisten!$E$26,0.8,IF(D211=Auswahllisten!$E$27,1,IF(D211=Auswahllisten!$E$28,1.2,1)))</f>
        <v>1</v>
      </c>
      <c r="G211" s="162" cm="1">
        <f t="array" aca="1" ref="G211" ca="1">INDIRECT("Energie!"&amp;$G$10&amp;AA211)</f>
        <v>0</v>
      </c>
      <c r="H211" s="25"/>
      <c r="I211" s="25"/>
      <c r="J211" s="25"/>
      <c r="K211" s="25"/>
      <c r="L211" s="25"/>
      <c r="M211" s="162">
        <f ca="1">ROUND(E211*F211*G211,AB211)*I12</f>
        <v>0</v>
      </c>
      <c r="Z211" s="1">
        <v>19</v>
      </c>
      <c r="AA211" s="1">
        <v>64</v>
      </c>
      <c r="AB211" s="1">
        <v>-1</v>
      </c>
    </row>
    <row r="212" spans="1:28">
      <c r="AB212" s="1">
        <v>-1</v>
      </c>
    </row>
    <row r="213" spans="1:28">
      <c r="B213" s="8" t="s">
        <v>677</v>
      </c>
      <c r="E213" s="1" t="s">
        <v>194</v>
      </c>
      <c r="F213" s="1" t="s">
        <v>348</v>
      </c>
      <c r="G213" s="1" t="s">
        <v>131</v>
      </c>
      <c r="AB213" s="1">
        <v>-1</v>
      </c>
    </row>
    <row r="214" spans="1:28">
      <c r="A214" s="55"/>
      <c r="B214" s="55"/>
      <c r="C214" s="5" t="s">
        <v>203</v>
      </c>
      <c r="D214" s="25" t="str" cm="1">
        <f t="array" aca="1" ref="D214" ca="1">INDIRECT("Vergleich!"&amp;$G$2&amp;Z214)</f>
        <v>mittel</v>
      </c>
      <c r="E214" s="25">
        <f ca="1">IF((E146+E148)&lt;=10,Standardwerte!O66,IF((E146+E148)&lt;=30,Standardwerte!O67,IF((E146+E148)&lt;=100,Standardwerte!O68,Standardwerte!O69)))</f>
        <v>0.03</v>
      </c>
      <c r="F214" s="25">
        <f ca="1">IF(D214=Auswahllisten!$E$26,0.8,IF(D214=Auswahllisten!$E$27,1,IF(D214=Auswahllisten!$E$28,1.2,1)))</f>
        <v>1</v>
      </c>
      <c r="G214" s="162" cm="1">
        <f t="array" aca="1" ref="G214" ca="1">INDIRECT("Energie!"&amp;$G$10&amp;AA214)</f>
        <v>0</v>
      </c>
      <c r="H214" s="25"/>
      <c r="I214" s="25"/>
      <c r="J214" s="25"/>
      <c r="K214" s="25"/>
      <c r="L214" s="25"/>
      <c r="M214" s="162">
        <f ca="1">ROUND(E214*F214*G214,AB214)*I13</f>
        <v>0</v>
      </c>
      <c r="Z214" s="1">
        <v>98</v>
      </c>
      <c r="AA214" s="1">
        <v>84</v>
      </c>
      <c r="AB214" s="1">
        <v>-1</v>
      </c>
    </row>
  </sheetData>
  <mergeCells count="6">
    <mergeCell ref="AX18:AY18"/>
    <mergeCell ref="BQ18:BR18"/>
    <mergeCell ref="BS18:BW18"/>
    <mergeCell ref="BX18:BY18"/>
    <mergeCell ref="BE18:BF18"/>
    <mergeCell ref="AZ18:BD18"/>
  </mergeCells>
  <phoneticPr fontId="28" type="noConversion"/>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U64"/>
  <sheetViews>
    <sheetView zoomScale="90" zoomScaleNormal="90" zoomScalePageLayoutView="80" workbookViewId="0">
      <selection activeCell="M2" sqref="M2"/>
    </sheetView>
  </sheetViews>
  <sheetFormatPr baseColWidth="10" defaultColWidth="11.42578125" defaultRowHeight="12.75"/>
  <cols>
    <col min="1" max="1" width="7.140625" style="1" customWidth="1"/>
    <col min="2" max="2" width="11.42578125" style="1"/>
    <col min="3" max="3" width="14.5703125" style="1" customWidth="1"/>
    <col min="4" max="4" width="7.5703125" style="1" customWidth="1"/>
    <col min="5" max="5" width="13.42578125" style="1" customWidth="1"/>
    <col min="6" max="13" width="14.140625" style="1" customWidth="1"/>
    <col min="14" max="14" width="5.140625" style="1" customWidth="1"/>
    <col min="15" max="15" width="13.42578125" style="1" customWidth="1"/>
    <col min="16" max="16" width="27.140625" style="1" customWidth="1"/>
    <col min="17" max="17" width="0" style="1" hidden="1" customWidth="1"/>
    <col min="18" max="18" width="19.42578125" style="1" hidden="1" customWidth="1"/>
    <col min="19" max="21" width="0" style="1" hidden="1" customWidth="1"/>
    <col min="22" max="16384" width="11.42578125" style="1"/>
  </cols>
  <sheetData>
    <row r="1" spans="2:16" ht="23.25">
      <c r="B1" s="54" t="str">
        <f ca="1">Sprache!E9</f>
        <v>Heizkostenvergleichsrechner</v>
      </c>
    </row>
    <row r="2" spans="2:16">
      <c r="B2" s="55"/>
      <c r="C2" s="55"/>
      <c r="D2" s="55"/>
      <c r="E2" s="55"/>
      <c r="F2" s="55"/>
      <c r="G2" s="55"/>
      <c r="H2" s="55"/>
      <c r="I2" s="55"/>
      <c r="J2" s="55"/>
      <c r="K2" s="55"/>
      <c r="L2" s="55"/>
      <c r="M2" s="56">
        <v>46099</v>
      </c>
      <c r="N2" s="8"/>
      <c r="O2" s="8"/>
    </row>
    <row r="3" spans="2:16">
      <c r="M3" s="396" t="s">
        <v>3</v>
      </c>
      <c r="N3" s="8"/>
      <c r="O3" s="8"/>
    </row>
    <row r="4" spans="2:16" ht="15.75" customHeight="1">
      <c r="B4" s="57" t="str">
        <f ca="1">Sprache!E35</f>
        <v>Kontakt</v>
      </c>
      <c r="N4" s="8"/>
      <c r="O4" s="8"/>
    </row>
    <row r="5" spans="2:16" ht="15.75" customHeight="1">
      <c r="C5" s="7" t="str">
        <f ca="1">Sprache!E36</f>
        <v>Firma:</v>
      </c>
      <c r="D5" s="562"/>
      <c r="E5" s="563"/>
      <c r="F5" s="563"/>
      <c r="G5" s="563"/>
      <c r="H5" s="563"/>
      <c r="I5" s="563"/>
      <c r="J5" s="563"/>
      <c r="K5" s="563"/>
      <c r="L5" s="563"/>
      <c r="M5" s="563"/>
      <c r="N5" s="65"/>
      <c r="O5" s="65"/>
    </row>
    <row r="6" spans="2:16" ht="15.75" customHeight="1">
      <c r="C6" s="7" t="str">
        <f ca="1">Sprache!E37</f>
        <v>Vorname, Name:</v>
      </c>
      <c r="D6" s="573"/>
      <c r="E6" s="574"/>
      <c r="F6" s="574"/>
      <c r="G6" s="574"/>
      <c r="H6" s="574"/>
      <c r="K6" s="465"/>
      <c r="L6" s="465"/>
      <c r="M6" s="465"/>
      <c r="N6" s="381"/>
      <c r="O6" s="8"/>
    </row>
    <row r="7" spans="2:16" ht="15.6" customHeight="1"/>
    <row r="8" spans="2:16" ht="15.6" customHeight="1">
      <c r="B8" s="57" t="str">
        <f ca="1">Sprache!E42</f>
        <v>Objektadresse</v>
      </c>
    </row>
    <row r="9" spans="2:16" ht="15.6" customHeight="1">
      <c r="C9" s="7" t="str">
        <f ca="1">Sprache!E43</f>
        <v>Objektdaten:</v>
      </c>
      <c r="D9" s="564"/>
      <c r="E9" s="563"/>
      <c r="F9" s="563"/>
      <c r="G9" s="563"/>
      <c r="H9" s="563"/>
      <c r="I9" s="563"/>
      <c r="J9" s="563"/>
      <c r="K9" s="563"/>
      <c r="L9" s="563"/>
      <c r="M9" s="563"/>
      <c r="N9" s="497"/>
      <c r="O9" s="497"/>
      <c r="P9" s="269"/>
    </row>
    <row r="10" spans="2:16" ht="15.6" customHeight="1">
      <c r="C10" s="7" t="str">
        <f ca="1">Sprache!E38</f>
        <v>Strasse / Nr.:</v>
      </c>
      <c r="D10" s="565"/>
      <c r="E10" s="566"/>
      <c r="F10" s="566"/>
      <c r="G10" s="566"/>
      <c r="H10" s="566"/>
      <c r="I10" s="566"/>
      <c r="J10" s="566"/>
      <c r="K10" s="566"/>
      <c r="L10" s="566"/>
      <c r="M10" s="566"/>
      <c r="N10" s="497"/>
      <c r="O10" s="497"/>
      <c r="P10" s="498"/>
    </row>
    <row r="11" spans="2:16" ht="15.6" customHeight="1">
      <c r="C11" s="7" t="str">
        <f ca="1">Sprache!E41</f>
        <v>PLZ, Ort:</v>
      </c>
      <c r="D11" s="565"/>
      <c r="E11" s="566"/>
      <c r="F11" s="566"/>
      <c r="G11" s="566"/>
      <c r="H11" s="566"/>
      <c r="I11" s="566"/>
      <c r="J11" s="566"/>
      <c r="K11" s="566"/>
      <c r="L11" s="566"/>
      <c r="M11" s="566"/>
      <c r="N11" s="497"/>
      <c r="O11" s="497"/>
      <c r="P11" s="498"/>
    </row>
    <row r="12" spans="2:16" ht="15.6" customHeight="1">
      <c r="B12" s="55"/>
      <c r="C12" s="55"/>
      <c r="D12" s="55"/>
      <c r="E12" s="55"/>
      <c r="F12" s="55"/>
      <c r="G12" s="55"/>
      <c r="H12" s="55"/>
      <c r="I12" s="55"/>
      <c r="J12" s="55"/>
      <c r="K12" s="55"/>
      <c r="L12" s="55"/>
      <c r="M12" s="55"/>
    </row>
    <row r="13" spans="2:16" ht="11.25" customHeight="1"/>
    <row r="14" spans="2:16" ht="15.6" customHeight="1">
      <c r="B14" s="57" t="str">
        <f ca="1">Sprache!E51</f>
        <v>Projektdaten</v>
      </c>
      <c r="F14" s="122"/>
    </row>
    <row r="15" spans="2:16" ht="15.75" customHeight="1">
      <c r="B15" s="57"/>
      <c r="C15" s="120" t="str">
        <f ca="1">Sprache!E52</f>
        <v>Projekt:</v>
      </c>
      <c r="D15" s="381"/>
      <c r="E15" s="578" t="s">
        <v>127</v>
      </c>
      <c r="F15" s="579"/>
      <c r="G15" s="580"/>
    </row>
    <row r="16" spans="2:16" ht="15.6" customHeight="1">
      <c r="B16" s="57"/>
      <c r="C16" s="129" t="str">
        <f ca="1">Sprache!E329</f>
        <v>Wassererwärmung mitrechnen?</v>
      </c>
      <c r="E16" s="570" t="s">
        <v>332</v>
      </c>
      <c r="F16" s="571"/>
      <c r="G16" s="572"/>
      <c r="K16" s="155" t="str">
        <f ca="1">Sprache!$E$449</f>
        <v>Informationen für Berechnung relevant.</v>
      </c>
      <c r="L16" s="155"/>
      <c r="M16" s="155"/>
    </row>
    <row r="17" spans="2:20" ht="5.25" customHeight="1">
      <c r="B17" s="57"/>
    </row>
    <row r="18" spans="2:20" ht="15.6" customHeight="1">
      <c r="B18" s="57"/>
      <c r="C18" s="129" t="str">
        <f ca="1">Sprache!$E$53</f>
        <v>Gebäudenutzung:</v>
      </c>
      <c r="E18" s="567" t="s">
        <v>67</v>
      </c>
      <c r="F18" s="568"/>
      <c r="G18" s="569"/>
      <c r="K18" s="397" t="str">
        <f ca="1">Sprache!$E$450</f>
        <v>Sind informative Eingaben.</v>
      </c>
      <c r="L18" s="397"/>
      <c r="M18" s="397"/>
    </row>
    <row r="19" spans="2:20" ht="6" customHeight="1">
      <c r="B19" s="57"/>
      <c r="C19" s="129"/>
      <c r="E19" s="28"/>
      <c r="F19" s="465"/>
      <c r="G19" s="465"/>
    </row>
    <row r="20" spans="2:20" ht="15.6" customHeight="1">
      <c r="B20" s="57"/>
      <c r="C20" s="129" t="str">
        <f ca="1">Sprache!$E$468&amp;":"</f>
        <v>Stromverbraucherprofil:</v>
      </c>
      <c r="E20" s="18" t="str">
        <f ca="1">VLOOKUP(E18,Auswahllisten!K40:L43,2,FALSE)</f>
        <v>H7</v>
      </c>
      <c r="F20" s="499"/>
      <c r="G20" s="507" t="s">
        <v>1744</v>
      </c>
      <c r="K20" s="407" t="str">
        <f ca="1">Sprache!$E$466</f>
        <v xml:space="preserve">Hier steht eine Auswahl zur Verfügung </v>
      </c>
      <c r="L20" s="407"/>
      <c r="M20" s="407"/>
    </row>
    <row r="21" spans="2:20" ht="5.25" customHeight="1">
      <c r="B21" s="57"/>
    </row>
    <row r="22" spans="2:20" ht="15.6" customHeight="1">
      <c r="C22" s="129" t="str">
        <f ca="1">Sprache!E294&amp;":"</f>
        <v>Standorthöhe:</v>
      </c>
      <c r="D22" s="82" t="str">
        <f ca="1">Sprache!E305</f>
        <v>m ü.M.</v>
      </c>
      <c r="E22" s="408"/>
      <c r="F22" s="1" t="s">
        <v>1316</v>
      </c>
      <c r="K22" s="455" t="str">
        <f ca="1">Sprache!$E$467</f>
        <v>Überschreibt die Standartwerte</v>
      </c>
      <c r="L22" s="455"/>
      <c r="M22" s="455"/>
    </row>
    <row r="23" spans="2:20" ht="17.25" customHeight="1">
      <c r="C23" s="7" t="str">
        <f ca="1">Sprache!$E$58</f>
        <v>Energiebezugsfläche (EBF):</v>
      </c>
      <c r="D23" s="62" t="s">
        <v>1732</v>
      </c>
      <c r="E23" s="408"/>
      <c r="F23" s="1" t="s">
        <v>1612</v>
      </c>
    </row>
    <row r="24" spans="2:20" ht="6" customHeight="1">
      <c r="C24" s="7"/>
      <c r="D24" s="35"/>
      <c r="E24" s="456"/>
    </row>
    <row r="25" spans="2:20" ht="17.25" customHeight="1">
      <c r="C25" s="129" t="str">
        <f ca="1">Sprache!$E$332&amp;":"</f>
        <v>ZEV:</v>
      </c>
      <c r="E25" s="583" t="s">
        <v>122</v>
      </c>
      <c r="F25" s="584"/>
      <c r="G25" s="585"/>
    </row>
    <row r="26" spans="2:20" ht="17.25" customHeight="1"/>
    <row r="27" spans="2:20" ht="15.6" customHeight="1">
      <c r="C27" s="388" t="str">
        <f ca="1">Sprache!E103</f>
        <v>Neubau</v>
      </c>
      <c r="J27" s="123"/>
      <c r="R27" s="508" t="s">
        <v>1330</v>
      </c>
      <c r="S27" s="508"/>
      <c r="T27" s="508"/>
    </row>
    <row r="28" spans="2:20" ht="15.6" customHeight="1">
      <c r="C28" s="129" t="str">
        <f ca="1">Sprache!E153</f>
        <v>Daten vorhanden?</v>
      </c>
      <c r="E28" s="575" t="s">
        <v>122</v>
      </c>
      <c r="F28" s="581"/>
      <c r="G28" s="582"/>
      <c r="R28" s="524" t="b">
        <f ca="1">Auswahllisten!G31=1</f>
        <v>0</v>
      </c>
      <c r="S28" s="508"/>
      <c r="T28" s="508"/>
    </row>
    <row r="29" spans="2:20" ht="15.6" customHeight="1">
      <c r="C29" s="129" t="str">
        <f ca="1">Sprache!$E$54</f>
        <v>Klimastation:</v>
      </c>
      <c r="E29" s="575" t="s">
        <v>122</v>
      </c>
      <c r="F29" s="576"/>
      <c r="G29" s="577"/>
      <c r="R29" s="523"/>
      <c r="S29" s="508"/>
      <c r="T29" s="508"/>
    </row>
    <row r="30" spans="2:20" ht="15.6" customHeight="1">
      <c r="C30" s="7" t="str">
        <f ca="1">Sprache!E57</f>
        <v>Standard</v>
      </c>
      <c r="E30" s="575" t="s">
        <v>122</v>
      </c>
      <c r="F30" s="576"/>
      <c r="G30" s="577"/>
      <c r="R30" s="508"/>
      <c r="S30" s="508"/>
      <c r="T30" s="508"/>
    </row>
    <row r="31" spans="2:20" ht="8.25" customHeight="1">
      <c r="C31" s="7"/>
      <c r="E31" s="28"/>
      <c r="F31" s="500"/>
      <c r="G31" s="500"/>
      <c r="R31" s="508"/>
      <c r="S31" s="508"/>
      <c r="T31" s="508"/>
    </row>
    <row r="32" spans="2:20" ht="16.5" customHeight="1">
      <c r="L32" s="7" t="str">
        <f ca="1">Sprache!E195</f>
        <v>Möglich ist eine Leistung bis 2000 kW.</v>
      </c>
      <c r="R32" s="508"/>
      <c r="S32" s="508"/>
      <c r="T32" s="508"/>
    </row>
    <row r="33" spans="2:21" ht="17.25" customHeight="1">
      <c r="L33" s="7"/>
      <c r="R33" s="508"/>
      <c r="S33" s="508"/>
      <c r="T33" s="508"/>
    </row>
    <row r="34" spans="2:21" ht="17.25" customHeight="1">
      <c r="C34" s="388" t="str">
        <f ca="1">Sprache!E104</f>
        <v>Ersatz (Instandsetzung)</v>
      </c>
      <c r="J34" s="7" t="str">
        <f ca="1">Sprache!E107</f>
        <v>Wärmeerzeugerleistung</v>
      </c>
      <c r="K34" s="504" t="s">
        <v>219</v>
      </c>
      <c r="L34" s="37"/>
      <c r="M34" s="1" t="s">
        <v>136</v>
      </c>
      <c r="R34" s="508"/>
      <c r="S34" s="508"/>
      <c r="T34" s="525" t="b">
        <f ca="1">OR(AND(Auswahllisten!G31=1,Auswahllisten!G46=1),AND(Auswahllisten!G31=2,Auswahllisten!G116=1))</f>
        <v>0</v>
      </c>
      <c r="U34" s="527"/>
    </row>
    <row r="35" spans="2:21" ht="17.25" customHeight="1">
      <c r="B35" s="8"/>
      <c r="C35" s="129" t="str">
        <f ca="1">Sprache!E330&amp;":"</f>
        <v>Vorhandene Wärmeerzeugung 1:</v>
      </c>
      <c r="E35" s="575" t="s">
        <v>0</v>
      </c>
      <c r="F35" s="581"/>
      <c r="G35" s="582"/>
      <c r="J35" s="129" t="str">
        <f ca="1">Sprache!$E$47&amp;":"</f>
        <v>Heizwärmebedarf:</v>
      </c>
      <c r="K35" s="97" t="s">
        <v>1103</v>
      </c>
      <c r="L35" s="46"/>
      <c r="M35" s="1" t="s">
        <v>263</v>
      </c>
      <c r="R35" s="525" t="b">
        <f ca="1">Auswahllisten!G31=2</f>
        <v>1</v>
      </c>
      <c r="S35" s="526"/>
      <c r="T35" s="523"/>
    </row>
    <row r="36" spans="2:21" ht="17.25" customHeight="1">
      <c r="C36" s="129" t="str">
        <f ca="1">Sprache!E331&amp;":"</f>
        <v>Vorhandene Wärmeerzeugung 2:</v>
      </c>
      <c r="E36" s="575" t="s">
        <v>122</v>
      </c>
      <c r="F36" s="581"/>
      <c r="G36" s="582"/>
      <c r="J36" s="129" t="str">
        <f ca="1">Sprache!$E$328&amp;":"</f>
        <v>Wärmebedarf für Warmwasser:</v>
      </c>
      <c r="K36" s="97" t="s">
        <v>1200</v>
      </c>
      <c r="L36" s="294"/>
      <c r="M36" s="1" t="s">
        <v>263</v>
      </c>
      <c r="R36" s="523"/>
      <c r="S36" s="508"/>
      <c r="T36" s="524" t="b">
        <f ca="1">OR(AND(Auswahllisten!G31=1,Auswahllisten!G46=1,Auswahllisten!G52=1),AND(Auswahllisten!G31=2,Auswahllisten!G116=1,Auswahllisten!G52=1))</f>
        <v>0</v>
      </c>
    </row>
    <row r="37" spans="2:21" ht="6.75" customHeight="1">
      <c r="Q37" s="528"/>
      <c r="R37" s="529"/>
      <c r="S37" s="508"/>
      <c r="T37" s="523"/>
    </row>
    <row r="38" spans="2:21" ht="17.25" customHeight="1">
      <c r="B38" s="8"/>
      <c r="C38" s="129" t="str">
        <f ca="1">Sprache!E153</f>
        <v>Daten vorhanden?</v>
      </c>
      <c r="E38" s="575" t="s">
        <v>1357</v>
      </c>
      <c r="F38" s="576"/>
      <c r="G38" s="577"/>
      <c r="L38" s="168" t="str">
        <f ca="1">IF(L52&gt;2000,Sprache!E196,"-")</f>
        <v>-</v>
      </c>
      <c r="R38" s="524" t="b">
        <f ca="1">Auswahllisten!G31=2</f>
        <v>1</v>
      </c>
      <c r="S38" s="508"/>
      <c r="T38" s="508"/>
    </row>
    <row r="39" spans="2:21" ht="17.25" customHeight="1">
      <c r="B39" s="8"/>
      <c r="C39" s="129" t="str">
        <f ca="1">Sprache!$E$448</f>
        <v>Daten inkl. Warmwasser?</v>
      </c>
      <c r="E39" s="575" t="s">
        <v>331</v>
      </c>
      <c r="F39" s="576"/>
      <c r="G39" s="577"/>
      <c r="R39" s="524" t="b">
        <f ca="1">AND(Auswahllisten!G31=2,Auswahllisten!G116=2)</f>
        <v>1</v>
      </c>
      <c r="S39" s="508"/>
      <c r="T39" s="508"/>
    </row>
    <row r="40" spans="2:21" ht="17.25" customHeight="1">
      <c r="B40" s="8"/>
      <c r="C40" s="129" t="str">
        <f ca="1">Sprache!$E$54</f>
        <v>Klimastation:</v>
      </c>
      <c r="E40" s="575" t="s">
        <v>87</v>
      </c>
      <c r="F40" s="576"/>
      <c r="G40" s="577"/>
      <c r="R40" s="530" t="b">
        <f ca="1">AND(Auswahllisten!G31=2,OR(Auswahllisten!G116=2,Auswahllisten!G116=3))</f>
        <v>1</v>
      </c>
      <c r="S40" s="508"/>
      <c r="T40" s="508"/>
    </row>
    <row r="41" spans="2:21" ht="7.5" customHeight="1">
      <c r="B41" s="8"/>
      <c r="C41" s="129"/>
      <c r="E41" s="28"/>
      <c r="F41" s="465"/>
      <c r="G41" s="465"/>
      <c r="R41" s="508"/>
      <c r="S41" s="508"/>
      <c r="T41" s="508"/>
    </row>
    <row r="42" spans="2:21" ht="7.5" customHeight="1">
      <c r="B42" s="8"/>
      <c r="C42" s="129"/>
      <c r="E42" s="28"/>
      <c r="F42" s="465"/>
      <c r="G42" s="465"/>
      <c r="R42" s="508"/>
      <c r="S42" s="508"/>
      <c r="T42" s="508"/>
    </row>
    <row r="43" spans="2:21" ht="19.5" customHeight="1">
      <c r="B43" s="8"/>
      <c r="E43" s="60" t="str">
        <f ca="1">Sprache!E192</f>
        <v>Jahr</v>
      </c>
      <c r="F43" s="555" t="str">
        <f ca="1">Sprache!E16</f>
        <v>Öl</v>
      </c>
      <c r="G43" s="555" t="str">
        <f ca="1">Sprache!E17</f>
        <v>Erdgas</v>
      </c>
      <c r="H43" s="555" t="str">
        <f ca="1">Sprache!E18</f>
        <v>Pellets</v>
      </c>
      <c r="I43" s="555" t="str">
        <f ca="1">Sprache!E19</f>
        <v>Hackschnitzel  (ab 20 kW)</v>
      </c>
      <c r="J43" s="555" t="str">
        <f ca="1">Sprache!E20</f>
        <v>WP (LW) (max. 200 kW)</v>
      </c>
      <c r="K43" s="555" t="str">
        <f ca="1">Sprache!E21</f>
        <v>WP (WW)</v>
      </c>
      <c r="L43" s="555" t="str">
        <f ca="1">Sprache!$E$22</f>
        <v>WP (SW)</v>
      </c>
      <c r="M43" s="559" t="str">
        <f ca="1">Sprache!E433</f>
        <v>Wärmenetz</v>
      </c>
      <c r="N43" s="561"/>
      <c r="O43" s="557"/>
      <c r="R43" s="508"/>
      <c r="S43" s="508"/>
      <c r="T43" s="508"/>
    </row>
    <row r="44" spans="2:21" ht="19.5" customHeight="1">
      <c r="B44" s="8"/>
      <c r="E44" s="61"/>
      <c r="F44" s="556"/>
      <c r="G44" s="556"/>
      <c r="H44" s="556"/>
      <c r="I44" s="556"/>
      <c r="J44" s="556"/>
      <c r="K44" s="556"/>
      <c r="L44" s="556"/>
      <c r="M44" s="560"/>
      <c r="N44" s="558"/>
      <c r="O44" s="558"/>
      <c r="R44" s="508"/>
      <c r="S44" s="508"/>
      <c r="T44" s="508"/>
    </row>
    <row r="45" spans="2:21" ht="17.25" customHeight="1">
      <c r="B45" s="8"/>
      <c r="E45" s="25"/>
      <c r="F45" s="18" t="s">
        <v>130</v>
      </c>
      <c r="G45" s="18" t="s">
        <v>131</v>
      </c>
      <c r="H45" s="18" t="s">
        <v>132</v>
      </c>
      <c r="I45" s="18" t="s">
        <v>132</v>
      </c>
      <c r="J45" s="18" t="s">
        <v>131</v>
      </c>
      <c r="K45" s="18" t="s">
        <v>131</v>
      </c>
      <c r="L45" s="18" t="s">
        <v>131</v>
      </c>
      <c r="M45" s="18" t="s">
        <v>131</v>
      </c>
      <c r="N45" s="35"/>
      <c r="O45" s="35"/>
      <c r="R45" s="531"/>
      <c r="S45" s="508"/>
      <c r="T45" s="508"/>
    </row>
    <row r="46" spans="2:21" ht="17.25" customHeight="1">
      <c r="B46" s="8"/>
      <c r="C46" s="7" t="str">
        <f ca="1">Sprache!$E$106</f>
        <v>Verbrauch</v>
      </c>
      <c r="D46" s="62" t="s">
        <v>211</v>
      </c>
      <c r="E46" s="66">
        <v>2025</v>
      </c>
      <c r="F46" s="38">
        <v>2000</v>
      </c>
      <c r="G46" s="38"/>
      <c r="H46" s="38"/>
      <c r="I46" s="38"/>
      <c r="J46" s="38"/>
      <c r="K46" s="38"/>
      <c r="L46" s="38"/>
      <c r="M46" s="38"/>
      <c r="N46" s="68"/>
      <c r="O46" s="68"/>
      <c r="R46" s="531" t="b">
        <f ca="1">AND(Auswahllisten!G31=2,Auswahllisten!G116=2)</f>
        <v>1</v>
      </c>
      <c r="S46" s="508"/>
      <c r="T46" s="508"/>
    </row>
    <row r="47" spans="2:21" ht="17.25" customHeight="1">
      <c r="B47" s="8"/>
      <c r="C47" s="7" t="str">
        <f ca="1">Sprache!$E$106</f>
        <v>Verbrauch</v>
      </c>
      <c r="D47" s="62" t="s">
        <v>211</v>
      </c>
      <c r="E47" s="66" t="s">
        <v>122</v>
      </c>
      <c r="F47" s="38"/>
      <c r="G47" s="38"/>
      <c r="H47" s="38"/>
      <c r="I47" s="38"/>
      <c r="J47" s="38"/>
      <c r="K47" s="38"/>
      <c r="L47" s="38"/>
      <c r="M47" s="38"/>
      <c r="N47" s="68"/>
      <c r="O47" s="68"/>
      <c r="R47" s="533"/>
    </row>
    <row r="48" spans="2:21" ht="17.25" customHeight="1">
      <c r="B48" s="8"/>
      <c r="C48" s="7" t="str">
        <f ca="1">Sprache!$E$106</f>
        <v>Verbrauch</v>
      </c>
      <c r="D48" s="62" t="s">
        <v>211</v>
      </c>
      <c r="E48" s="66" t="s">
        <v>122</v>
      </c>
      <c r="F48" s="38"/>
      <c r="G48" s="38"/>
      <c r="H48" s="38"/>
      <c r="I48" s="38"/>
      <c r="J48" s="38"/>
      <c r="K48" s="38"/>
      <c r="L48" s="38"/>
      <c r="M48" s="38"/>
      <c r="N48" s="68"/>
      <c r="O48" s="68"/>
      <c r="R48" s="532"/>
    </row>
    <row r="49" spans="1:16" ht="17.25" customHeight="1">
      <c r="B49" s="8"/>
      <c r="C49" s="7" t="str">
        <f ca="1">Sprache!$E$106</f>
        <v>Verbrauch</v>
      </c>
      <c r="D49" s="62" t="s">
        <v>211</v>
      </c>
      <c r="E49" s="66" t="s">
        <v>122</v>
      </c>
      <c r="F49" s="38"/>
      <c r="G49" s="38"/>
      <c r="H49" s="38"/>
      <c r="I49" s="38"/>
      <c r="J49" s="38"/>
      <c r="K49" s="38"/>
      <c r="L49" s="38"/>
      <c r="M49" s="38"/>
      <c r="N49" s="68"/>
      <c r="O49" s="68"/>
    </row>
    <row r="50" spans="1:16" ht="17.25" customHeight="1">
      <c r="B50" s="8"/>
      <c r="C50" s="7" t="str">
        <f ca="1">Sprache!$E$106</f>
        <v>Verbrauch</v>
      </c>
      <c r="D50" s="62" t="s">
        <v>211</v>
      </c>
      <c r="E50" s="66" t="s">
        <v>122</v>
      </c>
      <c r="F50" s="38"/>
      <c r="G50" s="38"/>
      <c r="H50" s="38"/>
      <c r="I50" s="38"/>
      <c r="J50" s="38"/>
      <c r="K50" s="38"/>
      <c r="L50" s="38"/>
      <c r="M50" s="38"/>
      <c r="N50" s="68"/>
      <c r="O50" s="68"/>
    </row>
    <row r="51" spans="1:16" ht="17.25" customHeight="1">
      <c r="B51" s="8"/>
      <c r="C51" s="7"/>
      <c r="D51" s="62"/>
      <c r="E51" s="94"/>
      <c r="F51" s="270"/>
      <c r="G51" s="270"/>
      <c r="H51" s="270"/>
      <c r="I51" s="270"/>
      <c r="J51" s="270"/>
      <c r="K51" s="270"/>
      <c r="L51" s="270"/>
      <c r="M51" s="270"/>
      <c r="N51" s="68"/>
      <c r="O51" s="68"/>
    </row>
    <row r="52" spans="1:16" ht="17.25" customHeight="1">
      <c r="B52" s="125" t="str">
        <f ca="1">Sprache!$E$333</f>
        <v>Ausgangswerte für die Berechnung</v>
      </c>
      <c r="G52" s="68"/>
      <c r="H52" s="68"/>
      <c r="J52" s="7" t="str">
        <f ca="1">Sprache!E107</f>
        <v>Wärmeerzeugerleistung</v>
      </c>
      <c r="K52" s="504" t="s">
        <v>219</v>
      </c>
      <c r="L52" s="229">
        <f ca="1">Energie!K3</f>
        <v>9.4</v>
      </c>
      <c r="M52" s="1" t="s">
        <v>136</v>
      </c>
      <c r="N52" s="68"/>
      <c r="O52" s="68"/>
    </row>
    <row r="53" spans="1:16" ht="17.25" customHeight="1">
      <c r="B53" s="8"/>
      <c r="G53" s="68"/>
      <c r="H53" s="68"/>
      <c r="J53" s="129" t="str">
        <f ca="1">Sprache!$E$47&amp;":"</f>
        <v>Heizwärmebedarf:</v>
      </c>
      <c r="K53" s="97" t="s">
        <v>1103</v>
      </c>
      <c r="L53" s="271">
        <f ca="1">Energie!K4*0.001</f>
        <v>20.7</v>
      </c>
      <c r="M53" s="1" t="s">
        <v>263</v>
      </c>
      <c r="N53" s="68"/>
      <c r="O53" s="68"/>
    </row>
    <row r="54" spans="1:16" ht="17.25" customHeight="1">
      <c r="B54" s="8"/>
      <c r="G54" s="68"/>
      <c r="H54" s="68"/>
      <c r="J54" s="129" t="str">
        <f ca="1">Sprache!$E$328&amp;":"</f>
        <v>Wärmebedarf für Warmwasser:</v>
      </c>
      <c r="K54" s="97" t="s">
        <v>1200</v>
      </c>
      <c r="L54" s="22">
        <f ca="1">Energie!K5*0.001</f>
        <v>0</v>
      </c>
      <c r="M54" s="1" t="s">
        <v>263</v>
      </c>
      <c r="N54" s="68"/>
      <c r="O54" s="68"/>
    </row>
    <row r="55" spans="1:16" ht="17.25" customHeight="1">
      <c r="B55" s="117"/>
      <c r="C55" s="118"/>
      <c r="D55" s="119"/>
      <c r="E55" s="55"/>
      <c r="F55" s="272"/>
      <c r="G55" s="272"/>
      <c r="H55" s="272"/>
      <c r="I55" s="272"/>
      <c r="J55" s="272"/>
      <c r="K55" s="272"/>
      <c r="L55" s="272"/>
      <c r="M55" s="272"/>
      <c r="N55" s="68"/>
      <c r="O55" s="68"/>
    </row>
    <row r="56" spans="1:16" ht="15.6" customHeight="1">
      <c r="A56" s="465"/>
      <c r="B56" s="465"/>
      <c r="C56" s="465"/>
      <c r="D56" s="465"/>
      <c r="E56" s="465"/>
      <c r="F56" s="465"/>
      <c r="G56" s="465"/>
      <c r="H56" s="465"/>
      <c r="I56" s="465"/>
      <c r="J56" s="465"/>
      <c r="K56" s="465"/>
      <c r="L56" s="465"/>
      <c r="M56" s="465"/>
      <c r="N56" s="465"/>
      <c r="O56" s="465"/>
      <c r="P56" s="465"/>
    </row>
    <row r="57" spans="1:16" ht="15.6" customHeight="1">
      <c r="A57" s="465"/>
      <c r="B57" s="57" t="str">
        <f ca="1">Sprache!E459</f>
        <v>Grundlagen für die Wirtschaftlichkeitsberechnung</v>
      </c>
      <c r="C57" s="465"/>
      <c r="D57" s="465"/>
      <c r="E57" s="465"/>
      <c r="F57" s="465"/>
      <c r="G57" s="465"/>
      <c r="H57" s="465"/>
      <c r="I57" s="465"/>
      <c r="J57" s="465"/>
      <c r="K57" s="465"/>
      <c r="L57" s="465"/>
      <c r="M57" s="465"/>
      <c r="N57" s="465"/>
      <c r="O57" s="465"/>
      <c r="P57" s="465"/>
    </row>
    <row r="58" spans="1:16" ht="15.6" customHeight="1">
      <c r="A58" s="465"/>
      <c r="B58" s="465"/>
      <c r="C58" s="129" t="str">
        <f ca="1">Sprache!$E$334&amp;":"</f>
        <v>Betrachtungsperiode:</v>
      </c>
      <c r="D58" s="501" t="s">
        <v>313</v>
      </c>
      <c r="E58" s="505">
        <v>20</v>
      </c>
      <c r="F58" s="1" t="s">
        <v>192</v>
      </c>
      <c r="G58" s="465"/>
      <c r="H58" s="465"/>
      <c r="I58" s="502"/>
      <c r="J58" s="503"/>
      <c r="L58" s="465"/>
      <c r="M58" s="465"/>
      <c r="N58" s="465"/>
      <c r="O58" s="465"/>
      <c r="P58" s="465"/>
    </row>
    <row r="59" spans="1:16" ht="15.6" customHeight="1">
      <c r="A59" s="465"/>
      <c r="B59" s="465"/>
      <c r="C59" s="129" t="str">
        <f ca="1">Sprache!$E$335&amp;":"</f>
        <v>Kapitalzinssatz real:</v>
      </c>
      <c r="D59" s="501" t="s">
        <v>1730</v>
      </c>
      <c r="E59" s="506">
        <v>0.02</v>
      </c>
      <c r="G59" s="465"/>
      <c r="H59" s="465"/>
      <c r="I59" s="129" t="str">
        <f ca="1">Sprache!$E$338&amp;":"</f>
        <v>Jährliche Preissteigerung der Unterhaltskosten:</v>
      </c>
      <c r="J59" s="506">
        <v>0</v>
      </c>
      <c r="L59" s="465"/>
      <c r="M59" s="465"/>
      <c r="N59" s="465"/>
      <c r="O59" s="465"/>
      <c r="P59" s="465"/>
    </row>
    <row r="60" spans="1:16" ht="15.6" customHeight="1">
      <c r="A60" s="465"/>
      <c r="B60" s="465"/>
      <c r="C60" s="129" t="str">
        <f ca="1">Sprache!$E$149&amp;":"</f>
        <v>Teuerung:</v>
      </c>
      <c r="D60" s="501" t="s">
        <v>1731</v>
      </c>
      <c r="E60" s="506">
        <v>5.0000000000000001E-3</v>
      </c>
      <c r="G60" s="465"/>
      <c r="H60" s="465"/>
      <c r="I60" s="129" t="str">
        <f ca="1">Sprache!$E$339&amp;":"</f>
        <v>Jährliche Preissteigerung der Investitionskosten:</v>
      </c>
      <c r="J60" s="506">
        <v>0</v>
      </c>
      <c r="K60" s="465"/>
      <c r="L60" s="465"/>
      <c r="M60" s="465"/>
      <c r="N60" s="465"/>
      <c r="O60" s="465"/>
      <c r="P60" s="465"/>
    </row>
    <row r="62" spans="1:16">
      <c r="C62" s="129" t="str">
        <f ca="1">Sprache!$E$336&amp;":"</f>
        <v>Mehrwertsteuer (MwSt.):</v>
      </c>
      <c r="E62" s="469">
        <v>8.1000000000000003E-2</v>
      </c>
    </row>
    <row r="63" spans="1:16">
      <c r="C63" s="7" t="str">
        <f ca="1">Sprache!E451</f>
        <v>MwSt. Stromverkauf.</v>
      </c>
      <c r="E63" s="469">
        <v>0</v>
      </c>
    </row>
    <row r="64" spans="1:16">
      <c r="M64" s="7" t="s">
        <v>1794</v>
      </c>
    </row>
  </sheetData>
  <sheetProtection algorithmName="SHA-512" hashValue="hk3xWAtJA4810fcX+MY6QorYaaAIHAv+8eQPQRl7ej9b+C6w1TCxwK2ukfz7R3XxK73l8jdVSTHeYN88gAE0Tg==" saltValue="NF0ump/ebymv0kGSEqRybg==" spinCount="100000" sheet="1" objects="1" scenarios="1"/>
  <mergeCells count="27">
    <mergeCell ref="E38:G38"/>
    <mergeCell ref="E39:G39"/>
    <mergeCell ref="E40:G40"/>
    <mergeCell ref="E15:G15"/>
    <mergeCell ref="E35:G35"/>
    <mergeCell ref="E36:G36"/>
    <mergeCell ref="E30:G30"/>
    <mergeCell ref="E28:G28"/>
    <mergeCell ref="E29:G29"/>
    <mergeCell ref="E25:G25"/>
    <mergeCell ref="D5:M5"/>
    <mergeCell ref="D9:M9"/>
    <mergeCell ref="D10:M10"/>
    <mergeCell ref="D11:M11"/>
    <mergeCell ref="E18:G18"/>
    <mergeCell ref="E16:G16"/>
    <mergeCell ref="D6:H6"/>
    <mergeCell ref="K43:K44"/>
    <mergeCell ref="O43:O44"/>
    <mergeCell ref="L43:L44"/>
    <mergeCell ref="M43:M44"/>
    <mergeCell ref="N43:N44"/>
    <mergeCell ref="F43:F44"/>
    <mergeCell ref="G43:G44"/>
    <mergeCell ref="H43:H44"/>
    <mergeCell ref="I43:I44"/>
    <mergeCell ref="J43:J44"/>
  </mergeCells>
  <conditionalFormatting sqref="E46:E50">
    <cfRule type="expression" dxfId="119" priority="8">
      <formula>$R$46</formula>
    </cfRule>
  </conditionalFormatting>
  <conditionalFormatting sqref="E28:G28">
    <cfRule type="expression" dxfId="118" priority="16">
      <formula>$R$28</formula>
    </cfRule>
  </conditionalFormatting>
  <conditionalFormatting sqref="E29:G30">
    <cfRule type="expression" dxfId="117" priority="201">
      <formula>#REF!</formula>
    </cfRule>
  </conditionalFormatting>
  <conditionalFormatting sqref="E35:G36">
    <cfRule type="expression" dxfId="116" priority="11">
      <formula>$R$35</formula>
    </cfRule>
  </conditionalFormatting>
  <conditionalFormatting sqref="E38:G38">
    <cfRule type="expression" dxfId="115" priority="10">
      <formula>$R$38</formula>
    </cfRule>
  </conditionalFormatting>
  <conditionalFormatting sqref="E39:G39">
    <cfRule type="expression" dxfId="114" priority="9">
      <formula>$R$39</formula>
    </cfRule>
  </conditionalFormatting>
  <conditionalFormatting sqref="E40:G40">
    <cfRule type="expression" dxfId="113" priority="6">
      <formula>$R$40</formula>
    </cfRule>
  </conditionalFormatting>
  <conditionalFormatting sqref="F46:M50">
    <cfRule type="expression" dxfId="112" priority="2">
      <formula>$R$46</formula>
    </cfRule>
  </conditionalFormatting>
  <conditionalFormatting sqref="L34:L35">
    <cfRule type="expression" dxfId="111" priority="14">
      <formula>$T$34</formula>
    </cfRule>
  </conditionalFormatting>
  <conditionalFormatting sqref="L36">
    <cfRule type="expression" dxfId="110" priority="12">
      <formula>$T$36</formula>
    </cfRule>
  </conditionalFormatting>
  <dataValidations xWindow="1440" yWindow="372" count="14">
    <dataValidation type="list" allowBlank="1" showInputMessage="1" promptTitle="Hinweis/Indication" prompt="Die Auswahllisten müssen von Hand angepasst werden._x000a__x000a_Les listes de sélection doivent être ajustées manuellement._x000a_" sqref="M3" xr:uid="{00000000-0002-0000-0000-000000000000}">
      <formula1>Sprache</formula1>
    </dataValidation>
    <dataValidation type="list" allowBlank="1" showInputMessage="1" showErrorMessage="1" sqref="E29 E40:G40" xr:uid="{00000000-0002-0000-0000-000001000000}">
      <formula1>Klimastation</formula1>
    </dataValidation>
    <dataValidation type="list" allowBlank="1" showInputMessage="1" showErrorMessage="1" sqref="E15" xr:uid="{00000000-0002-0000-0000-000002000000}">
      <formula1>Bauvorhaben</formula1>
    </dataValidation>
    <dataValidation type="list" allowBlank="1" showInputMessage="1" showErrorMessage="1" sqref="E30:E31" xr:uid="{00000000-0002-0000-0000-000003000000}">
      <formula1>Standard</formula1>
    </dataValidation>
    <dataValidation type="list" allowBlank="1" showInputMessage="1" showErrorMessage="1" sqref="E18" xr:uid="{00000000-0002-0000-0000-000004000000}">
      <formula1>Gebäudenutzung</formula1>
    </dataValidation>
    <dataValidation type="list" allowBlank="1" showInputMessage="1" showErrorMessage="1" sqref="E28:G28" xr:uid="{00000000-0002-0000-0000-000005000000}">
      <formula1>Datenvorhanden_Neubau</formula1>
    </dataValidation>
    <dataValidation type="list" allowBlank="1" showInputMessage="1" showErrorMessage="1" sqref="E16:G16" xr:uid="{00000000-0002-0000-0000-000006000000}">
      <formula1>MitWarmwasser</formula1>
    </dataValidation>
    <dataValidation type="list" allowBlank="1" showInputMessage="1" showErrorMessage="1" sqref="E46 E48:E50 E47" xr:uid="{00000000-0002-0000-0000-000007000000}">
      <formula1>JahrVerbrauch</formula1>
    </dataValidation>
    <dataValidation errorStyle="warning" allowBlank="1" promptTitle="Werte ni" prompt="gdfdg" sqref="L34 L52" xr:uid="{00000000-0002-0000-0000-000008000000}"/>
    <dataValidation type="list" allowBlank="1" showInputMessage="1" showErrorMessage="1" sqref="E35:E36" xr:uid="{3030D13C-420A-4233-9A73-B1D2B0B7DA97}">
      <formula1>ArtWärmeerzeuger</formula1>
    </dataValidation>
    <dataValidation type="whole" allowBlank="1" showInputMessage="1" showErrorMessage="1" sqref="E58" xr:uid="{6E8A22A7-F6A9-4D50-A359-089233BEA49E}">
      <formula1>1</formula1>
      <formula2>100</formula2>
    </dataValidation>
    <dataValidation type="decimal" allowBlank="1" showInputMessage="1" showErrorMessage="1" sqref="J58:J60 E59:E60" xr:uid="{917E4B49-72D3-4CA2-84F3-62EA41DD2D4E}">
      <formula1>0</formula1>
      <formula2>1</formula2>
    </dataValidation>
    <dataValidation type="list" allowBlank="1" showInputMessage="1" showErrorMessage="1" sqref="E38:G38" xr:uid="{E0362E46-F113-4AF5-A071-991958235564}">
      <formula1>Datenvorhanden_Ersatz</formula1>
    </dataValidation>
    <dataValidation type="list" allowBlank="1" showInputMessage="1" showErrorMessage="1" sqref="E39:G39" xr:uid="{B46E13A2-3322-47F4-B1EF-9015B79AB0DF}">
      <formula1>DatenInklWW_Ersatz</formula1>
    </dataValidation>
  </dataValidations>
  <hyperlinks>
    <hyperlink ref="G20" r:id="rId1" xr:uid="{B162CCD7-6402-40A2-859C-569FBADEBCCA}"/>
  </hyperlinks>
  <pageMargins left="0.70866141732283472" right="0.70866141732283472" top="1.1811023622047245" bottom="0.78740157480314965" header="0.31496062992125984" footer="0.31496062992125984"/>
  <pageSetup paperSize="9" scale="48" fitToHeight="0" orientation="portrait" horizontalDpi="1200" verticalDpi="1200" r:id="rId2"/>
  <headerFooter>
    <oddHeader>&amp;R&amp;G</oddHeader>
    <oddFooter>&amp;C&amp;D&amp;R&amp;P/&amp;N</oddFooter>
  </headerFooter>
  <colBreaks count="1" manualBreakCount="1">
    <brk id="14" max="60" man="1"/>
  </colBreaks>
  <legacyDrawingHF r:id="rId3"/>
  <extLst>
    <ext xmlns:x14="http://schemas.microsoft.com/office/spreadsheetml/2009/9/main" uri="{CCE6A557-97BC-4b89-ADB6-D9C93CAAB3DF}">
      <x14:dataValidations xmlns:xm="http://schemas.microsoft.com/office/excel/2006/main" xWindow="1440" yWindow="372" count="2">
        <x14:dataValidation type="list" allowBlank="1" showInputMessage="1" showErrorMessage="1" xr:uid="{3B3417FA-8162-4769-BB40-0A0C43CD6F2F}">
          <x14:formula1>
            <xm:f>Auswahllisten!$E$127:$E$129</xm:f>
          </x14:formula1>
          <xm:sqref>E25:G25</xm:sqref>
        </x14:dataValidation>
        <x14:dataValidation type="list" showInputMessage="1" showErrorMessage="1" xr:uid="{1C3724FA-CC7F-44DF-8EFE-1567C13261EE}">
          <x14:formula1>
            <xm:f>Auswahllisten!$E$132:$E$147</xm:f>
          </x14:formula1>
          <xm:sqref>F20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9B8EF-E271-40DD-B387-6AF0B395ED2E}">
  <sheetPr>
    <tabColor rgb="FFFF0000"/>
  </sheetPr>
  <dimension ref="A1:BZ214"/>
  <sheetViews>
    <sheetView zoomScale="70" zoomScaleNormal="70" workbookViewId="0">
      <pane xSplit="3" ySplit="17" topLeftCell="AF18" activePane="bottomRight" state="frozen"/>
      <selection pane="topRight" activeCell="D1" sqref="D1"/>
      <selection pane="bottomLeft" activeCell="A18" sqref="A18"/>
      <selection pane="bottomRight" activeCell="BS12" sqref="BS12"/>
    </sheetView>
  </sheetViews>
  <sheetFormatPr baseColWidth="10" defaultColWidth="11.5703125" defaultRowHeight="12.75"/>
  <cols>
    <col min="1" max="1" width="10.8554687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5" width="14.140625" style="1" customWidth="1"/>
    <col min="56" max="57" width="11.5703125" style="1"/>
    <col min="58" max="58" width="13.5703125" style="1" bestFit="1" customWidth="1"/>
    <col min="59" max="59" width="11.5703125" style="1"/>
    <col min="60" max="60" width="2.85546875" style="1" customWidth="1"/>
    <col min="61" max="70" width="11.5703125" style="1"/>
    <col min="71" max="74" width="14.5703125" style="1" customWidth="1"/>
    <col min="75" max="16384" width="11.5703125" style="1"/>
  </cols>
  <sheetData>
    <row r="1" spans="2:76">
      <c r="M1" s="1" t="s">
        <v>869</v>
      </c>
      <c r="N1" s="1" t="s">
        <v>203</v>
      </c>
      <c r="O1" s="1" t="s">
        <v>348</v>
      </c>
    </row>
    <row r="2" spans="2:76">
      <c r="B2" s="1" t="s">
        <v>1039</v>
      </c>
      <c r="G2" s="155" t="s">
        <v>363</v>
      </c>
      <c r="K2" s="1" t="s">
        <v>182</v>
      </c>
      <c r="L2" s="1">
        <v>0</v>
      </c>
      <c r="M2" s="1" t="s">
        <v>9</v>
      </c>
      <c r="N2" s="1" t="s">
        <v>1086</v>
      </c>
      <c r="O2" s="1">
        <v>1</v>
      </c>
      <c r="T2" s="1" t="s">
        <v>1039</v>
      </c>
      <c r="Y2" s="155" t="s">
        <v>688</v>
      </c>
      <c r="BK2" s="1" t="s">
        <v>1186</v>
      </c>
      <c r="BL2" s="1" t="s">
        <v>1187</v>
      </c>
    </row>
    <row r="3" spans="2:76">
      <c r="G3" s="155" t="s">
        <v>687</v>
      </c>
      <c r="K3" s="1" t="s">
        <v>16</v>
      </c>
      <c r="L3" s="1">
        <v>5</v>
      </c>
      <c r="M3" s="1" t="s">
        <v>10</v>
      </c>
      <c r="N3" s="1" t="s">
        <v>996</v>
      </c>
      <c r="O3" s="1">
        <f>O2+15</f>
        <v>16</v>
      </c>
      <c r="Y3" s="155" t="s">
        <v>689</v>
      </c>
      <c r="AP3" s="1" t="s">
        <v>1064</v>
      </c>
      <c r="AR3" s="58" t="s">
        <v>1065</v>
      </c>
      <c r="AS3" s="1">
        <f>Projektdaten!E58</f>
        <v>20</v>
      </c>
      <c r="BI3" s="8" t="s">
        <v>1066</v>
      </c>
    </row>
    <row r="4" spans="2:76">
      <c r="B4" s="154" t="s">
        <v>950</v>
      </c>
      <c r="C4" s="69" t="str" cm="1">
        <f t="array" aca="1" ref="C4" ca="1">INDIRECT("Vergleich!"&amp;G2&amp;"7")</f>
        <v>Bitte wählen …</v>
      </c>
      <c r="D4" s="1" t="str">
        <f ca="1">Vergleich!F3</f>
        <v>Variante A</v>
      </c>
      <c r="I4" s="1" t="s">
        <v>869</v>
      </c>
      <c r="J4" s="1" t="s">
        <v>203</v>
      </c>
      <c r="K4" s="1" t="s">
        <v>17</v>
      </c>
      <c r="L4" s="1">
        <v>10</v>
      </c>
      <c r="M4" s="1" t="s">
        <v>13</v>
      </c>
      <c r="N4" s="1" t="s">
        <v>1087</v>
      </c>
      <c r="O4" s="1">
        <f t="shared" ref="O4:O14" si="0">O3+15</f>
        <v>31</v>
      </c>
      <c r="T4" s="154" t="s">
        <v>951</v>
      </c>
      <c r="U4" s="69" t="str" cm="1">
        <f t="array" aca="1" ref="U4" ca="1">INDIRECT("Vergleich!"&amp;Y2&amp;"7")</f>
        <v>Bitte wählen …</v>
      </c>
      <c r="AA4" s="1" t="s">
        <v>869</v>
      </c>
      <c r="AB4" s="1" t="s">
        <v>203</v>
      </c>
      <c r="BF4" s="226"/>
      <c r="BJ4" s="7" t="s">
        <v>319</v>
      </c>
      <c r="BK4" s="69">
        <f ca="1">SUM(AP25:AV25)+SUM(AW26:AW125)</f>
        <v>0</v>
      </c>
      <c r="BL4" s="69">
        <f ca="1">SUM(BI25:BO25)+SUM(BP26:BP125)</f>
        <v>0</v>
      </c>
    </row>
    <row r="5" spans="2:76" ht="15.75">
      <c r="B5" s="7" t="s">
        <v>1047</v>
      </c>
      <c r="C5" s="1">
        <f ca="1">VLOOKUP(C4,Auswahllisten!E9:F22,2,FALSE)</f>
        <v>0</v>
      </c>
      <c r="E5" s="1" t="s">
        <v>1041</v>
      </c>
      <c r="F5" s="1">
        <f ca="1">IF(C5=0,0,INDEX(L2:L15,MATCH(C6,L2:L15,1)))</f>
        <v>0</v>
      </c>
      <c r="G5" s="1" t="s">
        <v>136</v>
      </c>
      <c r="H5" s="1" t="s">
        <v>183</v>
      </c>
      <c r="I5" s="1" t="str">
        <f ca="1">VLOOKUP(F5,L2:M15,2,FALSE)</f>
        <v>F</v>
      </c>
      <c r="J5" s="1" t="str">
        <f ca="1">VLOOKUP(F5,$L$2:$N$15,3,FALSE)</f>
        <v>U</v>
      </c>
      <c r="K5" s="1" t="s">
        <v>18</v>
      </c>
      <c r="L5" s="1">
        <v>20</v>
      </c>
      <c r="M5" s="1" t="s">
        <v>261</v>
      </c>
      <c r="N5" s="1" t="s">
        <v>1008</v>
      </c>
      <c r="O5" s="1">
        <f t="shared" si="0"/>
        <v>46</v>
      </c>
      <c r="T5" s="7" t="s">
        <v>1047</v>
      </c>
      <c r="U5" s="1">
        <f ca="1">VLOOKUP(U4,Auswahllisten!E9:F22,2,FALSE)</f>
        <v>0</v>
      </c>
      <c r="W5" s="1" t="s">
        <v>1041</v>
      </c>
      <c r="X5" s="1">
        <f ca="1">IF($U$5=0,0,INDEX(L2:L15,MATCH(U6,L2:L15,1)))</f>
        <v>0</v>
      </c>
      <c r="Y5" s="1" t="s">
        <v>136</v>
      </c>
      <c r="Z5" s="1" t="s">
        <v>183</v>
      </c>
      <c r="AA5" s="1" t="str">
        <f ca="1">VLOOKUP(X5,L2:M15,2,FALSE)</f>
        <v>F</v>
      </c>
      <c r="AB5" s="1" t="str">
        <f ca="1">VLOOKUP(X5,$L$2:$N$15,3,FALSE)</f>
        <v>U</v>
      </c>
      <c r="AO5" s="157"/>
      <c r="AP5" s="1" t="s">
        <v>1063</v>
      </c>
      <c r="AR5" s="58" t="s">
        <v>1099</v>
      </c>
      <c r="AS5" s="156">
        <f>Projektdaten!E59</f>
        <v>0.02</v>
      </c>
      <c r="AZ5" s="157"/>
      <c r="BA5" s="157"/>
      <c r="BB5" s="157"/>
      <c r="BC5" s="157"/>
      <c r="BF5" s="226"/>
      <c r="BJ5" s="7" t="s">
        <v>326</v>
      </c>
      <c r="BK5" s="225">
        <f ca="1">SUM(AY26:AY125)</f>
        <v>0</v>
      </c>
      <c r="BL5" s="69">
        <f ca="1">SUM(BR26:BR125)</f>
        <v>0</v>
      </c>
    </row>
    <row r="6" spans="2:76">
      <c r="B6" s="7" t="s">
        <v>953</v>
      </c>
      <c r="C6" s="33" t="str" cm="1">
        <f t="array" aca="1" ref="C6" ca="1">INDIRECT("Vergleich!"&amp;G3&amp;"25")</f>
        <v/>
      </c>
      <c r="D6" s="1" t="s">
        <v>136</v>
      </c>
      <c r="E6" s="1" t="s">
        <v>1042</v>
      </c>
      <c r="F6" s="1" cm="1">
        <f t="array" aca="1" ref="F6" ca="1">IF(C5=0,0,INDEX(L2:L15,MATCH(C6,L2:L15,1)+1))</f>
        <v>0</v>
      </c>
      <c r="G6" s="1" t="s">
        <v>136</v>
      </c>
      <c r="H6" s="1" t="s">
        <v>183</v>
      </c>
      <c r="I6" s="1" t="str">
        <f ca="1">VLOOKUP(F6,L2:M15,2,FALSE)</f>
        <v>F</v>
      </c>
      <c r="J6" s="1" t="str">
        <f ca="1">VLOOKUP(F6,$L$2:$N$15,3,FALSE)</f>
        <v>U</v>
      </c>
      <c r="K6" s="1" t="s">
        <v>19</v>
      </c>
      <c r="L6" s="1">
        <v>70</v>
      </c>
      <c r="M6" s="1" t="s">
        <v>362</v>
      </c>
      <c r="N6" s="1" t="s">
        <v>1088</v>
      </c>
      <c r="O6" s="1">
        <f t="shared" si="0"/>
        <v>61</v>
      </c>
      <c r="T6" s="7" t="s">
        <v>953</v>
      </c>
      <c r="U6" s="1" t="str" cm="1">
        <f t="array" aca="1" ref="U6" ca="1">INDIRECT("Vergleich!"&amp;Y3&amp;"25")</f>
        <v/>
      </c>
      <c r="V6" s="1" t="s">
        <v>136</v>
      </c>
      <c r="W6" s="1" t="s">
        <v>1042</v>
      </c>
      <c r="X6" s="1" cm="1">
        <f t="array" aca="1" ref="X6" ca="1">IF($U$5=0,0,INDEX(L2:L15,MATCH(U6,L2:L15,1)+1))</f>
        <v>0</v>
      </c>
      <c r="Y6" s="1" t="s">
        <v>136</v>
      </c>
      <c r="Z6" s="1" t="s">
        <v>183</v>
      </c>
      <c r="AA6" s="1" t="str">
        <f ca="1">VLOOKUP(X6,L2:M15,2,FALSE)</f>
        <v>F</v>
      </c>
      <c r="AB6" s="1" t="str">
        <f ca="1">VLOOKUP(X6,$L$2:$N$15,3,FALSE)</f>
        <v>U</v>
      </c>
      <c r="AO6" s="157"/>
      <c r="AP6" s="1" t="s">
        <v>200</v>
      </c>
      <c r="AS6" s="156">
        <f>Projektdaten!E60</f>
        <v>5.0000000000000001E-3</v>
      </c>
      <c r="AZ6" s="157"/>
      <c r="BA6" s="157"/>
      <c r="BB6" s="157"/>
      <c r="BC6" s="157"/>
      <c r="BF6" s="226"/>
      <c r="BJ6" s="7" t="s">
        <v>193</v>
      </c>
      <c r="BK6" s="69">
        <f ca="1">SUM(BD26:BD125)</f>
        <v>0</v>
      </c>
      <c r="BL6" s="69">
        <f ca="1">SUM(BW26:BW125)</f>
        <v>0</v>
      </c>
    </row>
    <row r="7" spans="2:76">
      <c r="B7" s="7"/>
      <c r="C7" s="33"/>
      <c r="K7" s="1" t="s">
        <v>178</v>
      </c>
      <c r="L7" s="1">
        <v>100</v>
      </c>
      <c r="M7" s="1" t="s">
        <v>363</v>
      </c>
      <c r="N7" s="1" t="s">
        <v>1089</v>
      </c>
      <c r="O7" s="1">
        <f t="shared" si="0"/>
        <v>76</v>
      </c>
      <c r="T7" s="7"/>
      <c r="AO7" s="157"/>
      <c r="AS7" s="156"/>
      <c r="AZ7" s="157"/>
      <c r="BA7" s="157"/>
      <c r="BB7" s="157"/>
      <c r="BC7" s="157"/>
      <c r="BD7" s="69"/>
      <c r="BF7" s="226"/>
      <c r="BI7" s="8" t="s">
        <v>1075</v>
      </c>
      <c r="BL7" s="157"/>
    </row>
    <row r="8" spans="2:76">
      <c r="B8" s="120" t="s">
        <v>1048</v>
      </c>
      <c r="C8" s="1" t="str">
        <f ca="1">IF(Projektdaten!$E$15=Auswahllisten!$E$31,"keine Auswahl",IF(Projektdaten!$E$15=Auswahllisten!$E$32,"Neubau",IF(OR(E12,E14),"1:1-Ersatz","Systemwechsel")))</f>
        <v>1:1-Ersatz</v>
      </c>
      <c r="K8" s="1" t="s">
        <v>179</v>
      </c>
      <c r="L8" s="1">
        <v>200</v>
      </c>
      <c r="M8" s="1" t="s">
        <v>687</v>
      </c>
      <c r="N8" s="1" t="s">
        <v>1090</v>
      </c>
      <c r="O8" s="1">
        <f t="shared" si="0"/>
        <v>91</v>
      </c>
      <c r="T8" s="120" t="s">
        <v>1048</v>
      </c>
      <c r="U8" s="1" t="str">
        <f ca="1">IF(Projektdaten!$E$15=Auswahllisten!$E$31,"keine Auswahl",IF(Projektdaten!$E$15=Auswahllisten!$E$32,"Neubau",IF(OR(W12,W14),"1:1-Ersatz","Systemwechsel")))</f>
        <v>1:1-Ersatz</v>
      </c>
      <c r="AO8" s="158"/>
      <c r="AP8" s="1" t="s">
        <v>1084</v>
      </c>
      <c r="AS8" s="156">
        <f>Projektdaten!J58</f>
        <v>0</v>
      </c>
      <c r="AZ8" s="158"/>
      <c r="BA8" s="158"/>
      <c r="BB8" s="158"/>
      <c r="BC8" s="158"/>
      <c r="BD8" s="69"/>
      <c r="BF8" s="226"/>
      <c r="BJ8" s="7" t="s">
        <v>1306</v>
      </c>
      <c r="BK8" s="69">
        <f ca="1">SUM(BF26:BF125)</f>
        <v>0</v>
      </c>
      <c r="BL8" s="69">
        <f ca="1">SUM(BY26:BY125)</f>
        <v>0</v>
      </c>
    </row>
    <row r="9" spans="2:76">
      <c r="B9" s="7" t="s">
        <v>1047</v>
      </c>
      <c r="C9" s="1">
        <f ca="1">IF(C8="keine Auswahl",-1,IF(C8="Neubau",0,IF(C8="1:1-Ersatz",1,2)))</f>
        <v>1</v>
      </c>
      <c r="K9" s="1" t="s">
        <v>180</v>
      </c>
      <c r="L9" s="1">
        <v>350</v>
      </c>
      <c r="M9" s="1" t="s">
        <v>688</v>
      </c>
      <c r="N9" s="1" t="s">
        <v>1091</v>
      </c>
      <c r="O9" s="1">
        <f t="shared" si="0"/>
        <v>106</v>
      </c>
      <c r="T9" s="7" t="s">
        <v>1047</v>
      </c>
      <c r="U9" s="1">
        <f ca="1">IF(U8="keine Auswahl",-1,IF(U8="Neubau",0,IF(U8="1:1-Ersatz",1,2)))</f>
        <v>1</v>
      </c>
      <c r="AO9" s="159"/>
      <c r="AP9" s="1" t="s">
        <v>1068</v>
      </c>
      <c r="AS9" s="156">
        <f>Projektdaten!J59</f>
        <v>0</v>
      </c>
      <c r="AZ9" s="159"/>
      <c r="BA9" s="159"/>
      <c r="BB9" s="159"/>
      <c r="BC9" s="159"/>
      <c r="BF9" s="226"/>
      <c r="BJ9" s="7" t="s">
        <v>1194</v>
      </c>
      <c r="BK9" s="69">
        <f ca="1">BF22</f>
        <v>0</v>
      </c>
      <c r="BL9" s="69">
        <f ca="1">BY22</f>
        <v>0</v>
      </c>
    </row>
    <row r="10" spans="2:76">
      <c r="F10" s="7" t="s">
        <v>1172</v>
      </c>
      <c r="G10" s="155" t="s">
        <v>10</v>
      </c>
      <c r="K10" s="1" t="s">
        <v>181</v>
      </c>
      <c r="L10" s="1">
        <v>500</v>
      </c>
      <c r="M10" s="1" t="s">
        <v>689</v>
      </c>
      <c r="N10" s="1" t="s">
        <v>1092</v>
      </c>
      <c r="O10" s="1">
        <f t="shared" si="0"/>
        <v>121</v>
      </c>
      <c r="X10" s="7" t="s">
        <v>1173</v>
      </c>
      <c r="Y10" s="155" t="s">
        <v>13</v>
      </c>
      <c r="AO10" s="157"/>
      <c r="AP10" s="1" t="s">
        <v>1307</v>
      </c>
      <c r="AS10" s="156">
        <f>Projektdaten!J60</f>
        <v>0</v>
      </c>
      <c r="AZ10" s="157"/>
      <c r="BA10" s="157"/>
      <c r="BB10" s="157"/>
      <c r="BC10" s="157"/>
      <c r="BI10" s="8" t="s">
        <v>1195</v>
      </c>
      <c r="BL10" s="157"/>
    </row>
    <row r="11" spans="2:76">
      <c r="B11" s="7" t="s">
        <v>1081</v>
      </c>
      <c r="C11" s="1" t="str">
        <f>Projektdaten!$E$35</f>
        <v>Öl</v>
      </c>
      <c r="F11" s="7"/>
      <c r="K11" s="1" t="s">
        <v>336</v>
      </c>
      <c r="L11" s="1">
        <v>750</v>
      </c>
      <c r="M11" s="1" t="s">
        <v>690</v>
      </c>
      <c r="N11" s="1" t="s">
        <v>1093</v>
      </c>
      <c r="O11" s="1">
        <f t="shared" si="0"/>
        <v>136</v>
      </c>
      <c r="T11" s="7"/>
      <c r="AO11" s="160"/>
      <c r="AP11" s="1" t="s">
        <v>1069</v>
      </c>
      <c r="AR11" s="1" t="s">
        <v>1070</v>
      </c>
      <c r="AS11" s="156">
        <f>AS5+AS6</f>
        <v>2.5000000000000001E-2</v>
      </c>
      <c r="AY11" s="1" t="s">
        <v>1668</v>
      </c>
      <c r="BI11" s="8"/>
      <c r="BJ11" s="7" t="s">
        <v>869</v>
      </c>
      <c r="BK11" s="69">
        <f ca="1">PMT($AS$11,$AS$3,BK4)</f>
        <v>0</v>
      </c>
      <c r="BL11" s="69">
        <f t="shared" ref="BL11:BL13" ca="1" si="1">PMT($AS$11,$AS$3,BL4)</f>
        <v>0</v>
      </c>
      <c r="BR11" s="1" t="s">
        <v>1668</v>
      </c>
    </row>
    <row r="12" spans="2:76">
      <c r="B12" s="7" t="s">
        <v>1047</v>
      </c>
      <c r="C12" s="1">
        <f ca="1">IFERROR(VLOOKUP(C11,Auswahllisten!$E$9:$F$22,2,FALSE),0)</f>
        <v>1</v>
      </c>
      <c r="E12" s="1" t="b">
        <f ca="1">OR(C12=C5,C14=C5)</f>
        <v>1</v>
      </c>
      <c r="H12" s="7" t="s">
        <v>1343</v>
      </c>
      <c r="I12" s="1" t="b" cm="1">
        <f t="array" aca="1" ref="I12" ca="1">AND(C5&lt;&gt;0,VLOOKUP(INDIRECT("Vergleich!"&amp;G2&amp;"10"),Auswahllisten!$E$105:$F$107,2,FALSE)&lt;&gt;0)</f>
        <v>0</v>
      </c>
      <c r="K12" s="1" t="s">
        <v>691</v>
      </c>
      <c r="L12" s="1">
        <v>1000</v>
      </c>
      <c r="M12" s="1" t="s">
        <v>313</v>
      </c>
      <c r="N12" s="1" t="s">
        <v>153</v>
      </c>
      <c r="O12" s="1">
        <f t="shared" si="0"/>
        <v>151</v>
      </c>
      <c r="T12" s="7"/>
      <c r="W12" s="1" t="b">
        <f ca="1">OR(C12=U5,C14=U5)</f>
        <v>1</v>
      </c>
      <c r="AY12" s="7" t="s">
        <v>1669</v>
      </c>
      <c r="AZ12" s="155">
        <v>261</v>
      </c>
      <c r="BA12" s="1">
        <f>AZ12+1</f>
        <v>262</v>
      </c>
      <c r="BB12" s="1">
        <f t="shared" ref="BB12:BC12" si="2">BA12+1</f>
        <v>263</v>
      </c>
      <c r="BC12" s="1">
        <f t="shared" si="2"/>
        <v>264</v>
      </c>
      <c r="BI12" s="125"/>
      <c r="BJ12" s="7" t="s">
        <v>203</v>
      </c>
      <c r="BK12" s="69">
        <f ca="1">PMT($AS$11,$AS$3,BK5)</f>
        <v>0</v>
      </c>
      <c r="BL12" s="69">
        <f t="shared" ca="1" si="1"/>
        <v>0</v>
      </c>
      <c r="BR12" s="7" t="s">
        <v>1669</v>
      </c>
      <c r="BS12" s="155">
        <v>261</v>
      </c>
      <c r="BT12" s="1">
        <f>BS12+1</f>
        <v>262</v>
      </c>
      <c r="BU12" s="1">
        <f t="shared" ref="BU12:BV12" si="3">BT12+1</f>
        <v>263</v>
      </c>
      <c r="BV12" s="1">
        <f t="shared" si="3"/>
        <v>264</v>
      </c>
    </row>
    <row r="13" spans="2:76">
      <c r="B13" s="7" t="s">
        <v>1101</v>
      </c>
      <c r="C13" s="1" t="str">
        <f>Projektdaten!$E$36</f>
        <v>Bitte wählen …</v>
      </c>
      <c r="H13" s="7" t="s">
        <v>1344</v>
      </c>
      <c r="I13" s="1" t="b" cm="1">
        <f t="array" aca="1" ref="I13" ca="1">AND(C5&lt;&gt;0,VLOOKUP(INDIRECT("Vergleich!"&amp;G2&amp;"88"),Auswahllisten!$E$94:$F$95,2,FALSE)&lt;&gt;0)</f>
        <v>0</v>
      </c>
      <c r="K13" s="1" t="s">
        <v>692</v>
      </c>
      <c r="L13" s="1">
        <v>1500</v>
      </c>
      <c r="M13" s="1" t="s">
        <v>1049</v>
      </c>
      <c r="N13" s="1" t="s">
        <v>1094</v>
      </c>
      <c r="O13" s="1">
        <f t="shared" si="0"/>
        <v>166</v>
      </c>
      <c r="T13" s="7"/>
      <c r="AP13" s="1" t="s">
        <v>1071</v>
      </c>
      <c r="AS13" s="155">
        <v>1</v>
      </c>
      <c r="AT13" s="1" t="s">
        <v>1072</v>
      </c>
      <c r="AY13" s="7" t="s">
        <v>1670</v>
      </c>
      <c r="AZ13" s="1" cm="1">
        <f t="array" aca="1" ref="AZ13" ca="1">INDIRECT("Energie!"&amp;$G$10&amp;AZ12)*(1+$U$158)</f>
        <v>0</v>
      </c>
      <c r="BA13" s="1" cm="1">
        <f t="array" aca="1" ref="BA13" ca="1">INDIRECT("Energie!"&amp;$G$10&amp;BA12)*(1+$U$158)</f>
        <v>0</v>
      </c>
      <c r="BB13" s="1" cm="1">
        <f t="array" aca="1" ref="BB13" ca="1">INDIRECT("Energie!"&amp;$G$10&amp;BB12)*(1+$U$158)</f>
        <v>0</v>
      </c>
      <c r="BC13" s="1" cm="1">
        <f t="array" aca="1" ref="BC13" ca="1">INDIRECT("Energie!"&amp;$G$10&amp;BC12)*(1+$U$158)</f>
        <v>0</v>
      </c>
      <c r="BI13" s="125"/>
      <c r="BJ13" s="7" t="s">
        <v>1196</v>
      </c>
      <c r="BK13" s="69">
        <f ca="1">PMT($AS$11,$AS$3,BK6)</f>
        <v>0</v>
      </c>
      <c r="BL13" s="69">
        <f t="shared" ca="1" si="1"/>
        <v>0</v>
      </c>
      <c r="BR13" s="7" t="s">
        <v>1670</v>
      </c>
      <c r="BS13" s="1" cm="1">
        <f t="array" aca="1" ref="BS13" ca="1">INDIRECT("Energie!"&amp;$Y$10&amp;BS12)*(1+$U$158)</f>
        <v>0</v>
      </c>
      <c r="BT13" s="1" cm="1">
        <f t="array" aca="1" ref="BT13" ca="1">INDIRECT("Energie!"&amp;$Y$10&amp;BT12)*(1+$U$158)</f>
        <v>0</v>
      </c>
      <c r="BU13" s="1" cm="1">
        <f t="array" aca="1" ref="BU13" ca="1">INDIRECT("Energie!"&amp;$Y$10&amp;BU12)*(1+$U$158)</f>
        <v>0</v>
      </c>
      <c r="BV13" s="1" cm="1">
        <f t="array" aca="1" ref="BV13" ca="1">INDIRECT("Energie!"&amp;$Y$10&amp;BV12)*(1+$U$158)</f>
        <v>0</v>
      </c>
    </row>
    <row r="14" spans="2:76">
      <c r="B14" s="7" t="s">
        <v>1047</v>
      </c>
      <c r="C14" s="1">
        <f ca="1">IFERROR(VLOOKUP(C13,Auswahllisten!$E$9:$F$22,2,FALSE),0)</f>
        <v>0</v>
      </c>
      <c r="E14" s="1" t="b">
        <f ca="1">AND(OR(C12=2,C14=2,C12=8,C14=8),OR(C5=2,C5=8))</f>
        <v>0</v>
      </c>
      <c r="H14" s="7"/>
      <c r="K14" s="1" t="s">
        <v>693</v>
      </c>
      <c r="L14" s="1">
        <v>2000</v>
      </c>
      <c r="M14" s="1" t="s">
        <v>1050</v>
      </c>
      <c r="N14" s="1" t="s">
        <v>1312</v>
      </c>
      <c r="O14" s="1">
        <f t="shared" si="0"/>
        <v>181</v>
      </c>
      <c r="T14" s="7"/>
      <c r="W14" s="1" t="b">
        <f ca="1">AND(OR(C12=2,C14=2,C12=8,C14=8),OR(U5=2,U5=8))</f>
        <v>0</v>
      </c>
      <c r="AO14" s="160"/>
      <c r="AP14" s="160"/>
      <c r="AQ14" s="160"/>
      <c r="AR14" s="160"/>
      <c r="AS14" s="160"/>
      <c r="AT14" s="160"/>
      <c r="AU14" s="160"/>
      <c r="AY14" s="7" t="s">
        <v>1671</v>
      </c>
      <c r="AZ14" s="155">
        <v>148</v>
      </c>
      <c r="BA14" s="1">
        <f>AZ14+1</f>
        <v>149</v>
      </c>
      <c r="BB14" s="1">
        <f t="shared" ref="BB14:BC14" si="4">BA14+1</f>
        <v>150</v>
      </c>
      <c r="BC14" s="1">
        <f t="shared" si="4"/>
        <v>151</v>
      </c>
      <c r="BE14" s="1">
        <f>BC14+8</f>
        <v>159</v>
      </c>
      <c r="BJ14" s="7" t="s">
        <v>1075</v>
      </c>
      <c r="BK14" s="69">
        <f ca="1">PMT($AS$11,$AS$3,BK8)</f>
        <v>0</v>
      </c>
      <c r="BL14" s="69">
        <f ca="1">PMT($AS$11,$AS$3,BL8)</f>
        <v>0</v>
      </c>
      <c r="BR14" s="7" t="s">
        <v>1671</v>
      </c>
      <c r="BS14" s="155">
        <v>148</v>
      </c>
      <c r="BT14" s="1">
        <f>BS14+1</f>
        <v>149</v>
      </c>
      <c r="BU14" s="1">
        <f t="shared" ref="BU14:BV14" si="5">BT14+1</f>
        <v>150</v>
      </c>
      <c r="BV14" s="1">
        <f t="shared" si="5"/>
        <v>151</v>
      </c>
      <c r="BX14" s="1">
        <f>BV14+8</f>
        <v>159</v>
      </c>
    </row>
    <row r="15" spans="2:76">
      <c r="K15" s="1" t="s">
        <v>694</v>
      </c>
      <c r="L15" s="1">
        <v>2001</v>
      </c>
      <c r="M15" s="1" t="s">
        <v>1051</v>
      </c>
      <c r="Z15" s="1">
        <v>2</v>
      </c>
      <c r="BJ15" s="7" t="s">
        <v>1197</v>
      </c>
      <c r="BK15" s="69">
        <f ca="1">PMT($AS$11,$AS$3,BK9)</f>
        <v>0</v>
      </c>
      <c r="BL15" s="69">
        <f ca="1">PMT($AS$11,$AS$3,BL9)</f>
        <v>0</v>
      </c>
    </row>
    <row r="16" spans="2:76">
      <c r="AC16" s="35"/>
      <c r="AD16" s="1" t="s">
        <v>1190</v>
      </c>
    </row>
    <row r="17" spans="1:78" ht="13.5" thickBot="1">
      <c r="D17" s="16" t="s">
        <v>1040</v>
      </c>
      <c r="E17" s="18" t="str">
        <f ca="1">"Basis "&amp;F5&amp;" kW"</f>
        <v>Basis 0 kW</v>
      </c>
      <c r="F17" s="18" t="s">
        <v>348</v>
      </c>
      <c r="G17" s="16" t="str">
        <f ca="1">"Kosten "&amp;F5&amp;" kW"</f>
        <v>Kosten 0 kW</v>
      </c>
      <c r="H17" s="18" t="str">
        <f ca="1">"Basis "&amp;F6&amp;" kW"</f>
        <v>Basis 0 kW</v>
      </c>
      <c r="I17" s="18" t="s">
        <v>348</v>
      </c>
      <c r="J17" s="16" t="str">
        <f ca="1">"Kosten "&amp;F6&amp;" kW"</f>
        <v>Kosten 0 kW</v>
      </c>
      <c r="K17" s="18" t="s">
        <v>1043</v>
      </c>
      <c r="L17" s="18" t="s">
        <v>1046</v>
      </c>
      <c r="M17" s="16" t="str">
        <f ca="1">"Kosten "&amp;C6&amp;" kW"</f>
        <v>Kosten  kW</v>
      </c>
      <c r="O17" s="16" t="s">
        <v>1040</v>
      </c>
      <c r="P17" s="18" t="str">
        <f ca="1">"Basis "&amp;X5&amp;" kW"</f>
        <v>Basis 0 kW</v>
      </c>
      <c r="Q17" s="18" t="s">
        <v>348</v>
      </c>
      <c r="R17" s="16" t="str">
        <f ca="1">"Kosten "&amp;X5&amp;" kW"</f>
        <v>Kosten 0 kW</v>
      </c>
      <c r="S17" s="18" t="str">
        <f ca="1">"Basis "&amp;X6&amp;" kW"</f>
        <v>Basis 0 kW</v>
      </c>
      <c r="T17" s="18" t="s">
        <v>348</v>
      </c>
      <c r="U17" s="16" t="str">
        <f ca="1">"Kosten "&amp;X6&amp;" kW"</f>
        <v>Kosten 0 kW</v>
      </c>
      <c r="V17" s="18" t="s">
        <v>1043</v>
      </c>
      <c r="W17" s="18" t="s">
        <v>1046</v>
      </c>
      <c r="X17" s="16" t="str">
        <f ca="1">"Kosten "&amp;U6&amp;" kW"</f>
        <v>Kosten  kW</v>
      </c>
      <c r="AA17" s="35"/>
      <c r="AC17" s="35"/>
      <c r="AD17" s="35" t="s">
        <v>1212</v>
      </c>
      <c r="AE17" s="35"/>
      <c r="AF17" s="16" t="s">
        <v>1141</v>
      </c>
      <c r="AG17" s="16" t="s">
        <v>672</v>
      </c>
      <c r="AH17" s="16" t="s">
        <v>1265</v>
      </c>
      <c r="AI17" s="16" t="s">
        <v>1142</v>
      </c>
      <c r="AJ17" s="16" t="s">
        <v>672</v>
      </c>
      <c r="AK17" s="16" t="s">
        <v>1265</v>
      </c>
      <c r="AP17" s="6" t="s">
        <v>1079</v>
      </c>
      <c r="AQ17" s="63"/>
      <c r="AR17" s="63"/>
      <c r="AS17" s="63"/>
      <c r="AT17" s="63"/>
      <c r="AU17" s="63"/>
      <c r="AV17" s="63"/>
      <c r="AW17" s="63"/>
      <c r="AX17" s="63"/>
      <c r="AY17" s="63"/>
      <c r="AZ17" s="63"/>
      <c r="BA17" s="63"/>
      <c r="BB17" s="63"/>
      <c r="BC17" s="63"/>
      <c r="BD17" s="63"/>
      <c r="BE17" s="63"/>
      <c r="BF17" s="63"/>
      <c r="BG17" s="70"/>
      <c r="BI17" s="6" t="s">
        <v>1080</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986</v>
      </c>
      <c r="D18" s="94"/>
      <c r="E18" s="94"/>
      <c r="F18" s="94"/>
      <c r="G18" s="94"/>
      <c r="H18" s="94"/>
      <c r="I18" s="94"/>
      <c r="J18" s="94"/>
      <c r="K18" s="94" t="s">
        <v>1047</v>
      </c>
      <c r="L18" s="161">
        <v>1</v>
      </c>
      <c r="M18" s="94"/>
      <c r="P18" s="94"/>
      <c r="Q18" s="94"/>
      <c r="R18" s="94"/>
      <c r="S18" s="94"/>
      <c r="T18" s="94"/>
      <c r="U18" s="94"/>
      <c r="V18" s="94"/>
      <c r="W18" s="94"/>
      <c r="X18" s="94"/>
      <c r="Z18" s="1" t="s">
        <v>1040</v>
      </c>
      <c r="AA18" s="1" t="s">
        <v>1238</v>
      </c>
      <c r="AB18" s="1" t="s">
        <v>1342</v>
      </c>
      <c r="AC18" s="35"/>
      <c r="AD18" s="82" t="s">
        <v>1248</v>
      </c>
      <c r="AE18" s="64" t="s">
        <v>1249</v>
      </c>
      <c r="AF18" s="162">
        <f ca="1">SUMIF(Variante_B!$A$19:$A$157,AD18,Variante_B!$M$19:$M$157)</f>
        <v>0</v>
      </c>
      <c r="AG18" s="162"/>
      <c r="AH18" s="26">
        <f t="shared" ref="AH18:AH32" ca="1" si="6">(AF18-AG18)*$E$158</f>
        <v>0</v>
      </c>
      <c r="AI18" s="162">
        <f>SUMIF(Variante_B!$A$19:$A$157,AD18,Variante_B!$X$19:$X$157)</f>
        <v>0</v>
      </c>
      <c r="AJ18" s="162"/>
      <c r="AK18" s="26">
        <f t="shared" ref="AK18:AK32" si="7">(AI18-AJ18)*$E$158</f>
        <v>0</v>
      </c>
      <c r="AL18" s="69"/>
      <c r="AO18" s="7" t="s">
        <v>1260</v>
      </c>
      <c r="AP18" s="335" t="s">
        <v>303</v>
      </c>
      <c r="AQ18" s="336" t="s">
        <v>1261</v>
      </c>
      <c r="AR18" s="337" t="s">
        <v>1257</v>
      </c>
      <c r="AS18" s="337" t="s">
        <v>186</v>
      </c>
      <c r="AT18" s="337" t="s">
        <v>1012</v>
      </c>
      <c r="AU18" s="337" t="s">
        <v>948</v>
      </c>
      <c r="AV18" s="338" t="s">
        <v>677</v>
      </c>
      <c r="AW18" s="339" t="s">
        <v>1073</v>
      </c>
      <c r="AX18" s="658" t="s">
        <v>203</v>
      </c>
      <c r="AY18" s="659"/>
      <c r="AZ18" s="658" t="s">
        <v>193</v>
      </c>
      <c r="BA18" s="660"/>
      <c r="BB18" s="660"/>
      <c r="BC18" s="660"/>
      <c r="BD18" s="659"/>
      <c r="BE18" s="658" t="s">
        <v>1075</v>
      </c>
      <c r="BF18" s="659"/>
      <c r="BG18" s="346" t="s">
        <v>1067</v>
      </c>
      <c r="BI18" s="335" t="s">
        <v>303</v>
      </c>
      <c r="BJ18" s="336" t="s">
        <v>1261</v>
      </c>
      <c r="BK18" s="337" t="s">
        <v>1257</v>
      </c>
      <c r="BL18" s="337" t="s">
        <v>186</v>
      </c>
      <c r="BM18" s="337" t="s">
        <v>1012</v>
      </c>
      <c r="BN18" s="337" t="s">
        <v>948</v>
      </c>
      <c r="BO18" s="338" t="s">
        <v>677</v>
      </c>
      <c r="BP18" s="345" t="s">
        <v>1073</v>
      </c>
      <c r="BQ18" s="658" t="s">
        <v>203</v>
      </c>
      <c r="BR18" s="659"/>
      <c r="BS18" s="658" t="s">
        <v>193</v>
      </c>
      <c r="BT18" s="660"/>
      <c r="BU18" s="660"/>
      <c r="BV18" s="660"/>
      <c r="BW18" s="659"/>
      <c r="BX18" s="658" t="s">
        <v>1075</v>
      </c>
      <c r="BY18" s="659"/>
      <c r="BZ18" s="346" t="s">
        <v>1067</v>
      </c>
    </row>
    <row r="19" spans="1:78" ht="13.5" thickBot="1">
      <c r="A19" s="304" t="s">
        <v>1217</v>
      </c>
      <c r="B19" s="131" t="s">
        <v>1242</v>
      </c>
      <c r="C19" s="131" t="s">
        <v>244</v>
      </c>
      <c r="D19" s="162" t="str" cm="1">
        <f t="array" aca="1" ref="D19" ca="1">INDIRECT("Vergleich!"&amp;$G$2&amp;Z19)</f>
        <v>mittel</v>
      </c>
      <c r="E19" s="162" cm="1">
        <f t="array" aca="1" ref="E19" ca="1">INDIRECT("Investition_gewählt!"&amp;$I$5&amp;AA19)</f>
        <v>1500</v>
      </c>
      <c r="F19" s="25" cm="1">
        <f t="array" aca="1" ref="F19" ca="1">IF($C$5=0,0,INDEX(Faktoren!E5:GQ5,1,VLOOKUP($F$5,$L$2:$O$14,4,FALSE)+$C$9*5+VLOOKUP(D19,Auswahllisten!$E$25:$F$29,2,FALSE)))</f>
        <v>0</v>
      </c>
      <c r="G19" s="162">
        <f ca="1">E19*F19</f>
        <v>0</v>
      </c>
      <c r="H19" s="162" cm="1">
        <f t="array" aca="1" ref="H19" ca="1">INDIRECT("Investition_gewählt!"&amp;$I$6&amp;AA19)</f>
        <v>1500</v>
      </c>
      <c r="I19" s="25" cm="1">
        <f t="array" aca="1" ref="I19" ca="1">IF($C$5=0,0,INDEX(Faktoren!E5:GQ5,1,VLOOKUP($F$6,$L$2:$O$14,4,FALSE)+$C$9*5+VLOOKUP(D19,Auswahllisten!$E$25:$F$29,2,FALSE)))</f>
        <v>0</v>
      </c>
      <c r="J19" s="162">
        <f ca="1">H19*I19</f>
        <v>0</v>
      </c>
      <c r="K19" s="162">
        <f ca="1">IF($C$5=0,0,G19+(J19-G19)*($C$6-$F$5)/($F$6-$F$5))</f>
        <v>0</v>
      </c>
      <c r="L19" s="25" t="b">
        <f ca="1">($C$5=$L$18)</f>
        <v>0</v>
      </c>
      <c r="M19" s="162">
        <f ca="1">IFERROR(ROUND(K19*L19,AB19),0)</f>
        <v>0</v>
      </c>
      <c r="O19" s="25" t="str" cm="1">
        <f t="array" aca="1" ref="O19" ca="1">INDIRECT("Vergleich!"&amp;$Y$2&amp;Z19)</f>
        <v>gering</v>
      </c>
      <c r="P19" s="162" cm="1">
        <f t="array" aca="1" ref="P19" ca="1">INDIRECT("Investition_gewählt!"&amp;$AA$5&amp;AA19)</f>
        <v>1500</v>
      </c>
      <c r="Q19" s="25" cm="1">
        <f t="array" aca="1" ref="Q19" ca="1">IF($U$5=0,0,INDEX(Faktoren!E5:GQ5,1,VLOOKUP($X$5,$L$2:$O$14,4,FALSE)+$U$9*5+VLOOKUP(O19,Auswahllisten!$E$25:$F$29,2,FALSE)))</f>
        <v>0</v>
      </c>
      <c r="R19" s="162">
        <f ca="1">P19*Q19</f>
        <v>0</v>
      </c>
      <c r="S19" s="162" cm="1">
        <f t="array" aca="1" ref="S19" ca="1">INDIRECT("Investition_gewählt!"&amp;$AA$6&amp;AA19)</f>
        <v>1500</v>
      </c>
      <c r="T19" s="25" cm="1">
        <f t="array" aca="1" ref="T19" ca="1">IF($U$5=0,0,INDEX(Faktoren!E5:QG5,1,VLOOKUP($X$6,$L$3:$O$14,4,FALSE)+$U$9*5+VLOOKUP(O19,Auswahllisten!$E$25:$F$29,2,FALSE)))</f>
        <v>0</v>
      </c>
      <c r="U19" s="162">
        <f ca="1">S19*T19</f>
        <v>0</v>
      </c>
      <c r="V19" s="162">
        <f ca="1">IF($U$5=0,0,R19+(U19-R19)*($U$6-$X$5)/($X$6-$X$5))</f>
        <v>0</v>
      </c>
      <c r="W19" s="25" t="b">
        <f ca="1">($U$5=$L$18)</f>
        <v>0</v>
      </c>
      <c r="X19" s="162">
        <f ca="1">IFERROR(ROUND(V19*W19,AB19),0)</f>
        <v>0</v>
      </c>
      <c r="Z19" s="1">
        <v>39</v>
      </c>
      <c r="AA19" s="1">
        <v>5</v>
      </c>
      <c r="AB19" s="1">
        <v>-2</v>
      </c>
      <c r="AC19" s="35"/>
      <c r="AD19" s="82" t="s">
        <v>1230</v>
      </c>
      <c r="AE19" s="64" t="s">
        <v>1247</v>
      </c>
      <c r="AF19" s="26">
        <f ca="1">SUMIF(Variante_B!$A$19:$A$157,AD19,Variante_B!$M$19:$M$157)</f>
        <v>0</v>
      </c>
      <c r="AG19" s="162"/>
      <c r="AH19" s="26">
        <f t="shared" ca="1" si="6"/>
        <v>0</v>
      </c>
      <c r="AI19" s="26">
        <f ca="1">SUMIF(Variante_B!$A$19:$A$157,AD19,Variante_B!$X$19:$X$157)</f>
        <v>0</v>
      </c>
      <c r="AJ19" s="26"/>
      <c r="AK19" s="26">
        <f t="shared" ca="1" si="7"/>
        <v>0</v>
      </c>
      <c r="AL19" s="69"/>
      <c r="AO19" s="7" t="s">
        <v>1074</v>
      </c>
      <c r="AP19" s="340"/>
      <c r="AQ19" s="18"/>
      <c r="AR19" s="18"/>
      <c r="AS19" s="18"/>
      <c r="AT19" s="18"/>
      <c r="AU19" s="20"/>
      <c r="AV19" s="312"/>
      <c r="AW19" s="253" t="s">
        <v>869</v>
      </c>
      <c r="AX19" s="341" t="s">
        <v>1305</v>
      </c>
      <c r="AY19" s="344" t="s">
        <v>1192</v>
      </c>
      <c r="AZ19" s="341" t="s">
        <v>1672</v>
      </c>
      <c r="BA19" s="458" t="s">
        <v>1648</v>
      </c>
      <c r="BB19" s="458" t="s">
        <v>1650</v>
      </c>
      <c r="BC19" s="458" t="s">
        <v>172</v>
      </c>
      <c r="BD19" s="344" t="s">
        <v>1192</v>
      </c>
      <c r="BE19" s="341" t="s">
        <v>1305</v>
      </c>
      <c r="BF19" s="344" t="s">
        <v>1192</v>
      </c>
      <c r="BG19" s="347" t="s">
        <v>1076</v>
      </c>
      <c r="BI19" s="340"/>
      <c r="BJ19" s="18"/>
      <c r="BK19" s="18"/>
      <c r="BL19" s="18"/>
      <c r="BM19" s="18"/>
      <c r="BN19" s="20"/>
      <c r="BO19" s="20"/>
      <c r="BP19" s="253" t="s">
        <v>869</v>
      </c>
      <c r="BQ19" s="341" t="s">
        <v>1305</v>
      </c>
      <c r="BR19" s="344" t="s">
        <v>1192</v>
      </c>
      <c r="BS19" s="341" t="s">
        <v>1672</v>
      </c>
      <c r="BT19" s="458" t="s">
        <v>1648</v>
      </c>
      <c r="BU19" s="458" t="s">
        <v>1650</v>
      </c>
      <c r="BV19" s="458" t="s">
        <v>172</v>
      </c>
      <c r="BW19" s="344" t="s">
        <v>1192</v>
      </c>
      <c r="BX19" s="341" t="s">
        <v>1305</v>
      </c>
      <c r="BY19" s="344" t="s">
        <v>1192</v>
      </c>
      <c r="BZ19" s="347" t="s">
        <v>1076</v>
      </c>
    </row>
    <row r="20" spans="1:78" ht="14.25" thickTop="1" thickBot="1">
      <c r="A20" s="305" t="s">
        <v>1215</v>
      </c>
      <c r="B20" s="126" t="s">
        <v>303</v>
      </c>
      <c r="C20" s="126" t="s">
        <v>988</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IF($C$5=0,0,INDEX(Faktoren!E6:GQ6,1,VLOOKUP($F$5,$L$2:$O$14,4,FALSE)+$C$9*5+VLOOKUP(D20,Auswahllisten!$E$25:$F$29,2,FALSE)))</f>
        <v>0</v>
      </c>
      <c r="G20" s="26">
        <f t="shared" ref="G20:G23" ca="1" si="8">E20*F20</f>
        <v>0</v>
      </c>
      <c r="H20" s="26" cm="1">
        <f t="array" aca="1" ref="H20" ca="1">INDIRECT("Investition_gewählt!"&amp;$I$6&amp;AA20)</f>
        <v>9400</v>
      </c>
      <c r="I20" s="25" cm="1">
        <f t="array" aca="1" ref="I20" ca="1">IF($C$5=0,0,INDEX(Faktoren!E6:GQ6,1,VLOOKUP($F$6,$L$2:$O$14,4,FALSE)+$C$9*5+VLOOKUP(D20,Auswahllisten!$E$25:$F$29,2,FALSE)))</f>
        <v>0</v>
      </c>
      <c r="J20" s="26">
        <f t="shared" ref="J20:J23" ca="1" si="9">H20*I20</f>
        <v>0</v>
      </c>
      <c r="K20" s="26">
        <f t="shared" ref="K20:K23" ca="1" si="10">IF($C$5=0,0,G20+(J20-G20)*($C$6-$F$5)/($F$6-$F$5))</f>
        <v>0</v>
      </c>
      <c r="L20" s="16" t="b">
        <f ca="1">($C$5=$L$18)</f>
        <v>0</v>
      </c>
      <c r="M20" s="26">
        <f t="shared" ref="M20:M79"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IF($U$5=0,0,INDEX(Faktoren!E6:GQ6,1,VLOOKUP($X$5,$L$2:$O$14,4,FALSE)+$U$9*5+VLOOKUP(O20,Auswahllisten!$E$25:$F$29,2,FALSE)))</f>
        <v>0</v>
      </c>
      <c r="R20" s="26">
        <f t="shared" ref="R20:R23" ca="1" si="12">P20*Q20</f>
        <v>0</v>
      </c>
      <c r="S20" s="26" cm="1">
        <f t="array" aca="1" ref="S20" ca="1">INDIRECT("Investition_gewählt!"&amp;$AA$6&amp;AA20)</f>
        <v>9400</v>
      </c>
      <c r="T20" s="16" cm="1">
        <f t="array" aca="1" ref="T20" ca="1">IF($U$5=0,0,INDEX(Faktoren!E6:QG6,1,VLOOKUP($X$6,$L$3:$O$14,4,FALSE)+$U$9*5+VLOOKUP(O20,Auswahllisten!$E$25:$F$29,2,FALSE)))</f>
        <v>0</v>
      </c>
      <c r="U20" s="26">
        <f t="shared" ref="U20:U23" ca="1" si="13">S20*T20</f>
        <v>0</v>
      </c>
      <c r="V20" s="26">
        <f t="shared" ref="V20:V83" ca="1" si="14">IF($U$5=0,0,R20+(U20-R20)*($U$6-$X$5)/($X$6-$X$5))</f>
        <v>0</v>
      </c>
      <c r="W20" s="16" t="b">
        <f t="shared" ref="W20:W23" ca="1" si="15">($U$5=$L$18)</f>
        <v>0</v>
      </c>
      <c r="X20" s="26">
        <f t="shared" ref="X20:X79" ca="1" si="16">IFERROR(ROUND(V20*W20,AB20),0)</f>
        <v>0</v>
      </c>
      <c r="Z20" s="1">
        <v>40</v>
      </c>
      <c r="AA20" s="1">
        <v>6</v>
      </c>
      <c r="AB20" s="1">
        <v>-2</v>
      </c>
      <c r="AC20" s="35"/>
      <c r="AD20" s="35" t="s">
        <v>1223</v>
      </c>
      <c r="AE20" s="1" t="s">
        <v>1251</v>
      </c>
      <c r="AF20" s="26">
        <f ca="1">SUMIF(Variante_B!$A$19:$A$157,AD20,Variante_B!$M$19:$M$157)</f>
        <v>0</v>
      </c>
      <c r="AG20" s="162">
        <f ca="1">IF($C$5=0,0,E150)</f>
        <v>0</v>
      </c>
      <c r="AH20" s="26">
        <f t="shared" ca="1" si="6"/>
        <v>0</v>
      </c>
      <c r="AI20" s="26">
        <f>SUMIF(Variante_B!$A$19:$A$157,AD20,Variante_B!$X$19:$X$157)</f>
        <v>0</v>
      </c>
      <c r="AJ20" s="26"/>
      <c r="AK20" s="26">
        <f t="shared" si="7"/>
        <v>0</v>
      </c>
      <c r="AL20" s="69"/>
      <c r="AO20" s="7" t="s">
        <v>1077</v>
      </c>
      <c r="AP20" s="341">
        <f ca="1">ROUND(VLOOKUP(C5,Standardwerte!$C$35:$M$49,3,FALSE),0)</f>
        <v>0</v>
      </c>
      <c r="AQ20" s="342">
        <f ca="1">ROUND(VLOOKUP(C5,Standardwerte!$C$35:$M$49,5,FALSE),0)</f>
        <v>0</v>
      </c>
      <c r="AR20" s="342">
        <f>ROUND(Standardwerte!$I$54,0)</f>
        <v>20</v>
      </c>
      <c r="AS20" s="342">
        <f ca="1">ROUND(VLOOKUP(C5,Standardwerte!$C$35:$M$49,4,FALSE),0)</f>
        <v>0</v>
      </c>
      <c r="AT20" s="342">
        <f ca="1">ROUND(VLOOKUP(C5,Standardwerte!$C$35:$M$49,10,FALSE),0)</f>
        <v>0</v>
      </c>
      <c r="AU20" s="342">
        <f ca="1">ROUND(VLOOKUP(C5,Standardwerte!$C$35:$M$49,11,FALSE),0)</f>
        <v>0</v>
      </c>
      <c r="AV20" s="343">
        <f>ROUND(Standardwerte!$O$54,0)</f>
        <v>20</v>
      </c>
      <c r="AW20" s="344"/>
      <c r="AY20" s="7"/>
      <c r="AZ20" s="445"/>
      <c r="BA20" s="445"/>
      <c r="BB20" s="445"/>
      <c r="BC20" s="445"/>
      <c r="BI20" s="341">
        <f ca="1">ROUND(VLOOKUP(U5,Standardwerte!$C$35:$M$49,3,FALSE),0)</f>
        <v>0</v>
      </c>
      <c r="BJ20" s="342">
        <f ca="1">ROUND(VLOOKUP(U5,Standardwerte!$C$35:$M$49,5,FALSE),0)</f>
        <v>0</v>
      </c>
      <c r="BK20" s="342">
        <f>ROUND(Standardwerte!$I$54,0)</f>
        <v>20</v>
      </c>
      <c r="BL20" s="342">
        <f ca="1">ROUND(VLOOKUP(U5,Standardwerte!$C$35:$M$49,4,FALSE),0)</f>
        <v>0</v>
      </c>
      <c r="BM20" s="342">
        <f ca="1">ROUND(VLOOKUP(U5,Standardwerte!$C$35:$M$49,10,FALSE),0)</f>
        <v>0</v>
      </c>
      <c r="BN20" s="342">
        <f ca="1">ROUND(VLOOKUP(U5,Standardwerte!$C$35:$M$49,11,FALSE),0)</f>
        <v>0</v>
      </c>
      <c r="BO20" s="342">
        <f>ROUND(Standardwerte!$O$54,0)</f>
        <v>20</v>
      </c>
      <c r="BP20" s="344"/>
      <c r="BR20" s="7"/>
      <c r="BS20" s="445"/>
      <c r="BT20" s="445"/>
      <c r="BU20" s="445"/>
      <c r="BV20" s="445"/>
      <c r="BX20" s="69"/>
    </row>
    <row r="21" spans="1:78" ht="13.5" thickTop="1">
      <c r="A21" s="305" t="s">
        <v>1215</v>
      </c>
      <c r="B21" s="126" t="s">
        <v>303</v>
      </c>
      <c r="C21" s="126" t="s">
        <v>965</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IF($C$5=0,0,INDEX(Faktoren!E7:GQ7,1,VLOOKUP($F$5,$L$2:$O$14,4,FALSE)+$C$9*5+VLOOKUP(D21,Auswahllisten!$E$25:$F$29,2,FALSE)))</f>
        <v>0</v>
      </c>
      <c r="G21" s="26">
        <f t="shared" ca="1" si="8"/>
        <v>0</v>
      </c>
      <c r="H21" s="26" cm="1">
        <f t="array" aca="1" ref="H21" ca="1">INDIRECT("Investition_gewählt!"&amp;$I$6&amp;AA21)</f>
        <v>3500</v>
      </c>
      <c r="I21" s="25" cm="1">
        <f t="array" aca="1" ref="I21" ca="1">IF($C$5=0,0,INDEX(Faktoren!E7:GQ7,1,VLOOKUP($F$6,$L$2:$O$14,4,FALSE)+$C$9*5+VLOOKUP(D21,Auswahllisten!$E$25:$F$29,2,FALSE)))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IF($U$5=0,0,INDEX(Faktoren!E7:GQ7,1,VLOOKUP($X$5,$L$2:$O$14,4,FALSE)+$U$9*5+VLOOKUP(O21,Auswahllisten!$E$25:$F$29,2,FALSE)))</f>
        <v>0</v>
      </c>
      <c r="R21" s="26">
        <f t="shared" ca="1" si="12"/>
        <v>0</v>
      </c>
      <c r="S21" s="26" cm="1">
        <f t="array" aca="1" ref="S21" ca="1">INDIRECT("Investition_gewählt!"&amp;$AA$6&amp;AA21)</f>
        <v>3500</v>
      </c>
      <c r="T21" s="16" cm="1">
        <f t="array" aca="1" ref="T21" ca="1">IF($U$5=0,0,INDEX(Faktoren!E7:QG7,1,VLOOKUP($X$6,$L$3:$O$14,4,FALSE)+$U$9*5+VLOOKUP(O21,Auswahllisten!$E$25:$F$29,2,FALSE)))</f>
        <v>0</v>
      </c>
      <c r="U21" s="26">
        <f t="shared" ca="1" si="13"/>
        <v>0</v>
      </c>
      <c r="V21" s="26">
        <f t="shared" ca="1" si="14"/>
        <v>0</v>
      </c>
      <c r="W21" s="16" t="b">
        <f t="shared" ca="1" si="15"/>
        <v>0</v>
      </c>
      <c r="X21" s="26">
        <f t="shared" ca="1" si="16"/>
        <v>0</v>
      </c>
      <c r="Z21" s="1">
        <v>42</v>
      </c>
      <c r="AA21" s="1">
        <v>7</v>
      </c>
      <c r="AB21" s="1">
        <v>-2</v>
      </c>
      <c r="AC21" s="35"/>
      <c r="AD21" s="82" t="s">
        <v>1244</v>
      </c>
      <c r="AE21" s="64" t="s">
        <v>1245</v>
      </c>
      <c r="AF21" s="26">
        <f ca="1">SUMIF(Variante_B!$A$19:$A$157,AD21,Variante_B!$M$19:$M$157)</f>
        <v>0</v>
      </c>
      <c r="AG21" s="162"/>
      <c r="AH21" s="26">
        <f t="shared" ca="1" si="6"/>
        <v>0</v>
      </c>
      <c r="AI21" s="26">
        <f ca="1">SUMIF(Variante_B!$A$19:$A$157,AD21,Variante_B!$X$19:$X$157)</f>
        <v>0</v>
      </c>
      <c r="AJ21" s="26"/>
      <c r="AK21" s="26">
        <f t="shared" ca="1" si="7"/>
        <v>0</v>
      </c>
      <c r="AL21" s="69"/>
      <c r="AO21" s="7"/>
      <c r="BY21" s="69"/>
      <c r="BZ21" s="69"/>
    </row>
    <row r="22" spans="1:78">
      <c r="A22" s="305" t="s">
        <v>1215</v>
      </c>
      <c r="B22" s="126" t="s">
        <v>303</v>
      </c>
      <c r="C22" s="126" t="s">
        <v>966</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IF($C$5=0,0,INDEX(Faktoren!E8:GQ8,1,VLOOKUP($F$5,$L$2:$O$14,4,FALSE)+$C$9*5+VLOOKUP(D22,Auswahllisten!$E$25:$F$29,2,FALSE)))</f>
        <v>0</v>
      </c>
      <c r="G22" s="26">
        <f t="shared" ca="1" si="8"/>
        <v>0</v>
      </c>
      <c r="H22" s="26" cm="1">
        <f t="array" aca="1" ref="H22" ca="1">INDIRECT("Investition_gewählt!"&amp;$I$6&amp;AA22)</f>
        <v>8500</v>
      </c>
      <c r="I22" s="25" cm="1">
        <f t="array" aca="1" ref="I22" ca="1">IF($C$5=0,0,INDEX(Faktoren!E8:GQ8,1,VLOOKUP($F$6,$L$2:$O$14,4,FALSE)+$C$9*5+VLOOKUP(D22,Auswahllisten!$E$25:$F$29,2,FALSE)))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IF($U$5=0,0,INDEX(Faktoren!E8:GQ8,1,VLOOKUP($X$5,$L$2:$O$14,4,FALSE)+$U$9*5+VLOOKUP(O22,Auswahllisten!$E$25:$F$29,2,FALSE)))</f>
        <v>0</v>
      </c>
      <c r="R22" s="26">
        <f t="shared" ca="1" si="12"/>
        <v>0</v>
      </c>
      <c r="S22" s="26" cm="1">
        <f t="array" aca="1" ref="S22" ca="1">INDIRECT("Investition_gewählt!"&amp;$AA$6&amp;AA22)</f>
        <v>8500</v>
      </c>
      <c r="T22" s="16" cm="1">
        <f t="array" aca="1" ref="T22" ca="1">IF($U$5=0,0,INDEX(Faktoren!E8:QG8,1,VLOOKUP($X$6,$L$3:$O$14,4,FALSE)+$U$9*5+VLOOKUP(O22,Auswahllisten!$E$25:$F$29,2,FALSE)))</f>
        <v>0</v>
      </c>
      <c r="U22" s="26">
        <f t="shared" ca="1" si="13"/>
        <v>0</v>
      </c>
      <c r="V22" s="26">
        <f t="shared" ca="1" si="14"/>
        <v>0</v>
      </c>
      <c r="W22" s="16" t="b">
        <f t="shared" ca="1" si="15"/>
        <v>0</v>
      </c>
      <c r="X22" s="26">
        <f t="shared" ca="1" si="16"/>
        <v>0</v>
      </c>
      <c r="Z22" s="1">
        <v>47</v>
      </c>
      <c r="AA22" s="1">
        <v>8</v>
      </c>
      <c r="AB22" s="1">
        <v>-2</v>
      </c>
      <c r="AC22" s="35"/>
      <c r="AD22" s="82" t="s">
        <v>1228</v>
      </c>
      <c r="AE22" s="64" t="s">
        <v>1013</v>
      </c>
      <c r="AF22" s="26">
        <f ca="1">SUMIF(Variante_B!$A$19:$A$157,AD22,Variante_B!$M$19:$M$157)</f>
        <v>0</v>
      </c>
      <c r="AG22" s="162"/>
      <c r="AH22" s="26">
        <f t="shared" ca="1" si="6"/>
        <v>0</v>
      </c>
      <c r="AI22" s="26">
        <f>SUMIF(Variante_B!$A$19:$A$157,AD22,Variante_B!$X$19:$X$157)</f>
        <v>0</v>
      </c>
      <c r="AJ22" s="26"/>
      <c r="AK22" s="26">
        <f t="shared" si="7"/>
        <v>0</v>
      </c>
      <c r="AL22" s="69"/>
      <c r="AO22" s="7" t="s">
        <v>1078</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06" t="s">
        <v>1256</v>
      </c>
      <c r="B23" s="297" t="s">
        <v>303</v>
      </c>
      <c r="C23" s="134" t="s">
        <v>186</v>
      </c>
      <c r="D23" s="163" t="str" cm="1">
        <f t="array" aca="1" ref="D23" ca="1">INDIRECT("Vergleich!"&amp;$G$2&amp;Z23)</f>
        <v>mittel</v>
      </c>
      <c r="E23" s="163" cm="1">
        <f t="array" aca="1" ref="E23" ca="1">INDIRECT("Investition_gewählt!"&amp;$I$5&amp;AA23)</f>
        <v>4000</v>
      </c>
      <c r="F23" s="61" cm="1">
        <f t="array" aca="1" ref="F23" ca="1">IF($C$5=0,0,INDEX(Faktoren!E9:GQ9,1,VLOOKUP($F$5,$L$2:$O$14,4,FALSE)+$C$9*5+VLOOKUP(D23,Auswahllisten!$E$25:$F$29,2,FALSE)))</f>
        <v>0</v>
      </c>
      <c r="G23" s="296">
        <f t="shared" ca="1" si="8"/>
        <v>0</v>
      </c>
      <c r="H23" s="296" cm="1">
        <f t="array" aca="1" ref="H23" ca="1">INDIRECT("Investition_gewählt!"&amp;$I$6&amp;AA23)</f>
        <v>4000</v>
      </c>
      <c r="I23" s="61" cm="1">
        <f t="array" aca="1" ref="I23" ca="1">IF($C$5=0,0,INDEX(Faktoren!E9:GQ9,1,VLOOKUP($F$6,$L$2:$O$14,4,FALSE)+$C$9*5+VLOOKUP(D23,Auswahllisten!$E$25:$F$29,2,FALSE)))</f>
        <v>0</v>
      </c>
      <c r="J23" s="163">
        <f t="shared" ca="1" si="9"/>
        <v>0</v>
      </c>
      <c r="K23" s="163">
        <f t="shared" ca="1" si="10"/>
        <v>0</v>
      </c>
      <c r="L23" s="93" t="b">
        <f ca="1">($C$5=$L$18)</f>
        <v>0</v>
      </c>
      <c r="M23" s="163">
        <f t="shared" ca="1" si="11"/>
        <v>0</v>
      </c>
      <c r="O23" s="93" t="str" cm="1">
        <f t="array" aca="1" ref="O23" ca="1">INDIRECT("Vergleich!"&amp;$Y$2&amp;Z23)</f>
        <v>gering</v>
      </c>
      <c r="P23" s="163" cm="1">
        <f t="array" aca="1" ref="P23" ca="1">INDIRECT("Investition_gewählt!"&amp;$AA$5&amp;AA23)</f>
        <v>4000</v>
      </c>
      <c r="Q23" s="93" cm="1">
        <f t="array" aca="1" ref="Q23" ca="1">IF($U$5=0,0,INDEX(Faktoren!E9:GQ9,1,VLOOKUP($X$5,$L$2:$O$14,4,FALSE)+$U$9*5+VLOOKUP(O23,Auswahllisten!$E$25:$F$29,2,FALSE)))</f>
        <v>0</v>
      </c>
      <c r="R23" s="163">
        <f t="shared" ca="1" si="12"/>
        <v>0</v>
      </c>
      <c r="S23" s="163" cm="1">
        <f t="array" aca="1" ref="S23" ca="1">INDIRECT("Investition_gewählt!"&amp;$AA$6&amp;AA23)</f>
        <v>4000</v>
      </c>
      <c r="T23" s="93" cm="1">
        <f t="array" aca="1" ref="T23" ca="1">IF($U$5=0,0,INDEX(Faktoren!E9:QG9,1,VLOOKUP($X$6,$L$3:$O$14,4,FALSE)+$U$9*5+VLOOKUP(O23,Auswahllisten!$E$25:$F$29,2,FALSE)))</f>
        <v>0</v>
      </c>
      <c r="U23" s="163">
        <f t="shared" ca="1" si="13"/>
        <v>0</v>
      </c>
      <c r="V23" s="163">
        <f t="shared" ca="1" si="14"/>
        <v>0</v>
      </c>
      <c r="W23" s="93" t="b">
        <f t="shared" ca="1" si="15"/>
        <v>0</v>
      </c>
      <c r="X23" s="163">
        <f t="shared" ca="1" si="16"/>
        <v>0</v>
      </c>
      <c r="Z23" s="1">
        <v>48</v>
      </c>
      <c r="AA23" s="1">
        <v>9</v>
      </c>
      <c r="AB23" s="1">
        <v>-2</v>
      </c>
      <c r="AC23" s="35"/>
      <c r="AD23" s="82" t="s">
        <v>1217</v>
      </c>
      <c r="AE23" s="64" t="s">
        <v>1242</v>
      </c>
      <c r="AF23" s="26">
        <f ca="1">SUMIF(Variante_B!$A$19:$A$157,AD23,Variante_B!$M$19:$M$157)</f>
        <v>0</v>
      </c>
      <c r="AG23" s="162"/>
      <c r="AH23" s="26">
        <f t="shared" ca="1" si="6"/>
        <v>0</v>
      </c>
      <c r="AI23" s="26">
        <f ca="1">SUMIF(Variante_B!$A$19:$A$157,AD23,Variante_B!$X$19:$X$157)</f>
        <v>0</v>
      </c>
      <c r="AJ23" s="26"/>
      <c r="AK23" s="26">
        <f t="shared" ca="1" si="7"/>
        <v>0</v>
      </c>
      <c r="AL23" s="69"/>
    </row>
    <row r="24" spans="1:78">
      <c r="D24" s="69"/>
      <c r="E24" s="69"/>
      <c r="G24" s="69"/>
      <c r="H24" s="69"/>
      <c r="M24" s="69"/>
      <c r="P24" s="69"/>
      <c r="R24" s="69"/>
      <c r="S24" s="69"/>
      <c r="U24" s="69"/>
      <c r="V24" s="69"/>
      <c r="X24" s="69"/>
      <c r="AA24" s="1">
        <v>10</v>
      </c>
      <c r="AB24" s="1">
        <v>-2</v>
      </c>
      <c r="AC24" s="35"/>
      <c r="AD24" s="82" t="s">
        <v>1215</v>
      </c>
      <c r="AE24" s="64" t="s">
        <v>303</v>
      </c>
      <c r="AF24" s="26">
        <f ca="1">SUMIF(Variante_B!$A$19:$A$157,AD24,Variante_B!$M$19:$M$157)</f>
        <v>0</v>
      </c>
      <c r="AG24" s="162">
        <f ca="1">IF($C$5=0,0,E109)</f>
        <v>0</v>
      </c>
      <c r="AH24" s="26">
        <f t="shared" ca="1" si="6"/>
        <v>0</v>
      </c>
      <c r="AI24" s="26">
        <f ca="1">SUMIF(Variante_B!$A$19:$A$157,AD24,Variante_B!$X$19:$X$157)</f>
        <v>0</v>
      </c>
      <c r="AJ24" s="26">
        <f ca="1">IF($U$5=0,0,Variante_B!P109)</f>
        <v>0</v>
      </c>
      <c r="AK24" s="26">
        <f t="shared" ca="1" si="7"/>
        <v>0</v>
      </c>
      <c r="AL24" s="69"/>
      <c r="AN24" s="164" t="s">
        <v>271</v>
      </c>
      <c r="AO24" s="164" t="s">
        <v>348</v>
      </c>
      <c r="AP24" s="164"/>
      <c r="AQ24" s="164"/>
      <c r="AR24" s="164"/>
      <c r="AS24" s="164"/>
      <c r="AT24" s="164"/>
      <c r="AU24" s="164"/>
      <c r="AV24" s="164"/>
      <c r="AW24" s="164"/>
      <c r="AX24" s="164"/>
      <c r="AY24" s="164"/>
      <c r="AZ24" s="164"/>
      <c r="BA24" s="164"/>
      <c r="BB24" s="164"/>
      <c r="BC24" s="164"/>
      <c r="BD24" s="164"/>
      <c r="BE24" s="164"/>
      <c r="BF24" s="164"/>
      <c r="BG24" s="164"/>
      <c r="BI24" s="164"/>
      <c r="BJ24" s="164"/>
      <c r="BK24" s="164"/>
      <c r="BL24" s="164"/>
      <c r="BM24" s="164"/>
      <c r="BN24" s="164"/>
      <c r="BO24" s="164"/>
      <c r="BP24" s="164"/>
      <c r="BQ24" s="164"/>
      <c r="BR24" s="164"/>
      <c r="BS24" s="164"/>
      <c r="BT24" s="164"/>
      <c r="BU24" s="164"/>
      <c r="BV24" s="164"/>
      <c r="BW24" s="164"/>
      <c r="BX24" s="164"/>
      <c r="BY24" s="164"/>
      <c r="BZ24" s="164"/>
    </row>
    <row r="25" spans="1:78">
      <c r="A25" s="125" t="s">
        <v>990</v>
      </c>
      <c r="B25" s="125" t="s">
        <v>14</v>
      </c>
      <c r="C25" s="64"/>
      <c r="D25" s="69"/>
      <c r="E25" s="69"/>
      <c r="G25" s="69"/>
      <c r="H25" s="69"/>
      <c r="L25" s="155">
        <v>2</v>
      </c>
      <c r="M25" s="69"/>
      <c r="P25" s="69"/>
      <c r="R25" s="69"/>
      <c r="S25" s="69"/>
      <c r="U25" s="69"/>
      <c r="V25" s="69"/>
      <c r="X25" s="69"/>
      <c r="AA25" s="1">
        <v>11</v>
      </c>
      <c r="AB25" s="1">
        <v>-2</v>
      </c>
      <c r="AC25" s="35"/>
      <c r="AD25" s="82" t="s">
        <v>1254</v>
      </c>
      <c r="AE25" s="64" t="s">
        <v>1257</v>
      </c>
      <c r="AF25" s="26">
        <f ca="1">SUMIF(Variante_B!$A$19:$A$157,AD25,Variante_B!$M$19:$M$157)</f>
        <v>0</v>
      </c>
      <c r="AG25" s="162">
        <f ca="1">IF($C$5=0,0,E143)</f>
        <v>0</v>
      </c>
      <c r="AH25" s="26">
        <f t="shared" ca="1" si="6"/>
        <v>0</v>
      </c>
      <c r="AI25" s="26">
        <f>SUMIF(Variante_B!$A$19:$A$157,AD25,Variante_B!$X$19:$X$157)</f>
        <v>0</v>
      </c>
      <c r="AJ25" s="26"/>
      <c r="AK25" s="26">
        <f t="shared" si="7"/>
        <v>0</v>
      </c>
      <c r="AL25" s="69"/>
      <c r="AN25" s="55">
        <v>0</v>
      </c>
      <c r="AO25" s="55"/>
      <c r="AP25" s="165">
        <f ca="1">-(AF35+AH35)</f>
        <v>0</v>
      </c>
      <c r="AQ25" s="165">
        <f ca="1">-(AF36+AH36)</f>
        <v>0</v>
      </c>
      <c r="AR25" s="165">
        <f ca="1">-(AF37+AH37)</f>
        <v>0</v>
      </c>
      <c r="AS25" s="165">
        <f ca="1">-(AF38+AH38)</f>
        <v>0</v>
      </c>
      <c r="AT25" s="165">
        <f ca="1">-(AF39+AH39)</f>
        <v>0</v>
      </c>
      <c r="AU25" s="165">
        <f ca="1">-(AF40+AH40)</f>
        <v>0</v>
      </c>
      <c r="AV25" s="165">
        <f ca="1">-(AF41+AH41)</f>
        <v>0</v>
      </c>
      <c r="AW25" s="165"/>
      <c r="AX25" s="165">
        <f ca="1">-(SUM(M163:M214)*(1+E158))</f>
        <v>0</v>
      </c>
      <c r="AY25" s="165"/>
      <c r="AZ25" s="165" cm="1">
        <f t="array" aca="1" ref="AZ25" ca="1">-(INDIRECT("Energie!"&amp;$G$10&amp;AZ14)*(1+$E$158))</f>
        <v>0</v>
      </c>
      <c r="BA25" s="165" cm="1">
        <f t="array" aca="1" ref="BA25" ca="1">-(INDIRECT("Energie!"&amp;$G$10&amp;BA14)*(1+$E$158))</f>
        <v>0</v>
      </c>
      <c r="BB25" s="165" cm="1">
        <f t="array" aca="1" ref="BB25" ca="1">-(INDIRECT("Energie!"&amp;$G$10&amp;BB14)*(1+$E$158))</f>
        <v>0</v>
      </c>
      <c r="BC25" s="165" cm="1">
        <f t="array" aca="1" ref="BC25" ca="1">-(INDIRECT("Energie!"&amp;$G$10&amp;BC14)*(1+$E$158))</f>
        <v>0</v>
      </c>
      <c r="BD25" s="165"/>
      <c r="BE25" s="165" cm="1">
        <f t="array" aca="1" ref="BE25" ca="1">(INDIRECT("Energie!"&amp;G10&amp;BE14)+INDIRECT("Energie!"&amp;G10&amp;BE14+1))</f>
        <v>0</v>
      </c>
      <c r="BF25" s="165"/>
      <c r="BG25" s="165">
        <f ca="1">SUM(AP25:AV25)</f>
        <v>0</v>
      </c>
      <c r="BI25" s="165">
        <f ca="1">-(AI35+AK35)</f>
        <v>0</v>
      </c>
      <c r="BJ25" s="165">
        <f ca="1">-(AI36+AK36)</f>
        <v>0</v>
      </c>
      <c r="BK25" s="165">
        <f>-(AI37+AK37)</f>
        <v>0</v>
      </c>
      <c r="BL25" s="165">
        <f ca="1">-(AI38+AK38)</f>
        <v>0</v>
      </c>
      <c r="BM25" s="165">
        <f>-(AI39+AK39)</f>
        <v>0</v>
      </c>
      <c r="BN25" s="165">
        <f>-(AI40+AK40)</f>
        <v>0</v>
      </c>
      <c r="BO25" s="165">
        <f>-(AI41+AK41)</f>
        <v>0</v>
      </c>
      <c r="BP25" s="165"/>
      <c r="BQ25" s="165">
        <f ca="1">-(SUM(X163:X214)*(1+E158))</f>
        <v>0</v>
      </c>
      <c r="BR25" s="165"/>
      <c r="BS25" s="165" cm="1">
        <f t="array" aca="1" ref="BS25" ca="1">-(INDIRECT("Energie!"&amp;$Y$10&amp;BS14)*(1+$E$158))</f>
        <v>0</v>
      </c>
      <c r="BT25" s="165" cm="1">
        <f t="array" aca="1" ref="BT25" ca="1">-(INDIRECT("Energie!"&amp;$Y$10&amp;BT14)*(1+$E$158))</f>
        <v>0</v>
      </c>
      <c r="BU25" s="165" cm="1">
        <f t="array" aca="1" ref="BU25" ca="1">-(INDIRECT("Energie!"&amp;$Y$10&amp;BU14)*(1+$E$158))</f>
        <v>0</v>
      </c>
      <c r="BV25" s="165" cm="1">
        <f t="array" aca="1" ref="BV25" ca="1">-(INDIRECT("Energie!"&amp;$Y$10&amp;BV14)*(1+$E$158))</f>
        <v>0</v>
      </c>
      <c r="BW25" s="165"/>
      <c r="BX25" s="165" cm="1">
        <f t="array" aca="1" ref="BX25" ca="1">(INDIRECT("Energie!"&amp;Y10&amp;BX14)+INDIRECT("Energie!"&amp;Y10&amp;BX14+1))</f>
        <v>0</v>
      </c>
      <c r="BZ25" s="69">
        <f ca="1">SUM(BI25:BO25)</f>
        <v>0</v>
      </c>
    </row>
    <row r="26" spans="1:78">
      <c r="A26" s="304" t="s">
        <v>1217</v>
      </c>
      <c r="B26" s="131" t="s">
        <v>1242</v>
      </c>
      <c r="C26" s="131" t="s">
        <v>206</v>
      </c>
      <c r="D26" s="162" t="str" cm="1">
        <f t="array" aca="1" ref="D26" ca="1">INDIRECT("Vergleich!"&amp;$G$2&amp;Z26)</f>
        <v>mittel</v>
      </c>
      <c r="E26" s="162" cm="1">
        <f t="array" aca="1" ref="E26" ca="1">INDIRECT("Investition_gewählt!"&amp;$I$5&amp;AA26)</f>
        <v>4000</v>
      </c>
      <c r="F26" s="25" cm="1">
        <f t="array" aca="1" ref="F26" ca="1">IF($C$5=0,0,INDEX(Faktoren!E12:GQ12,1,VLOOKUP($F$5,$L$2:$O$14,4,FALSE)+$C$9*5+VLOOKUP(D26,Auswahllisten!$E$25:$F$29,2,FALSE)))</f>
        <v>0</v>
      </c>
      <c r="G26" s="162">
        <f ca="1">E26*F26</f>
        <v>0</v>
      </c>
      <c r="H26" s="162" cm="1">
        <f t="array" aca="1" ref="H26" ca="1">INDIRECT("Investition_gewählt!"&amp;$I$6&amp;AA26)</f>
        <v>4000</v>
      </c>
      <c r="I26" s="25" cm="1">
        <f t="array" aca="1" ref="I26" ca="1">IF($C$5=0,0,INDEX(Faktoren!E12:GQ12,1,VLOOKUP($F$6,$L$2:$O$14,4,FALSE)+$C$9*5+VLOOKUP(D26,Auswahllisten!$E$25:$F$29,2,FALSE)))</f>
        <v>0</v>
      </c>
      <c r="J26" s="162">
        <f ca="1">H26*I26</f>
        <v>0</v>
      </c>
      <c r="K26" s="162">
        <f t="shared" ref="K26:K30" ca="1" si="19">IF($C$5=0,0,G26+(J26-G26)*($C$6-$F$5)/($F$6-$F$5))</f>
        <v>0</v>
      </c>
      <c r="L26" s="25" t="b">
        <f ca="1">($C$5=$L$25)</f>
        <v>0</v>
      </c>
      <c r="M26" s="162">
        <f t="shared" ca="1" si="11"/>
        <v>0</v>
      </c>
      <c r="O26" s="25" t="str" cm="1">
        <f t="array" aca="1" ref="O26" ca="1">INDIRECT("Vergleich!"&amp;$Y$2&amp;Z26)</f>
        <v>gering</v>
      </c>
      <c r="P26" s="162" cm="1">
        <f t="array" aca="1" ref="P26" ca="1">INDIRECT("Investition_gewählt!"&amp;$AA$5&amp;AA26)</f>
        <v>4000</v>
      </c>
      <c r="Q26" s="25" cm="1">
        <f t="array" aca="1" ref="Q26" ca="1">IF($U$5=0,0,INDEX(Faktoren!E12:GQ12,1,VLOOKUP($X$5,$L$2:$O$14,4,FALSE)+$U$9*5+VLOOKUP(O26,Auswahllisten!$E$25:$F$29,2,FALSE)))</f>
        <v>0</v>
      </c>
      <c r="R26" s="162">
        <f t="shared" ref="R26:R30" ca="1" si="20">P26*Q26</f>
        <v>0</v>
      </c>
      <c r="S26" s="162" cm="1">
        <f t="array" aca="1" ref="S26" ca="1">INDIRECT("Investition_gewählt!"&amp;$AA$6&amp;AA26)</f>
        <v>4000</v>
      </c>
      <c r="T26" s="25" cm="1">
        <f t="array" aca="1" ref="T26" ca="1">IF($U$5=0,0,INDEX(Faktoren!E12:QG12,1,VLOOKUP($X$6,$L$3:$O$14,4,FALSE)+$U$9*5+VLOOKUP(O26,Auswahllisten!$E$25:$F$29,2,FALSE)))</f>
        <v>0</v>
      </c>
      <c r="U26" s="162">
        <f t="shared" ref="U26:U30" ca="1" si="21">S26*T26</f>
        <v>0</v>
      </c>
      <c r="V26" s="162">
        <f t="shared" ca="1" si="14"/>
        <v>0</v>
      </c>
      <c r="W26" s="25" t="b">
        <f ca="1">($U$5=$L$25)</f>
        <v>0</v>
      </c>
      <c r="X26" s="162">
        <f t="shared" ca="1" si="16"/>
        <v>0</v>
      </c>
      <c r="Z26" s="1">
        <v>38</v>
      </c>
      <c r="AA26" s="1">
        <v>12</v>
      </c>
      <c r="AB26" s="1">
        <v>-2</v>
      </c>
      <c r="AC26" s="35"/>
      <c r="AD26" s="82" t="s">
        <v>1256</v>
      </c>
      <c r="AE26" s="64" t="s">
        <v>186</v>
      </c>
      <c r="AF26" s="26">
        <f ca="1">SUMIF(Variante_B!$A$19:$A$157,AD26,Variante_B!$M$19:$M$157)</f>
        <v>0</v>
      </c>
      <c r="AG26" s="162"/>
      <c r="AH26" s="26">
        <f t="shared" ca="1" si="6"/>
        <v>0</v>
      </c>
      <c r="AI26" s="26">
        <f ca="1">SUMIF(Variante_B!$A$19:$A$157,AD26,Variante_B!$X$19:$X$157)</f>
        <v>0</v>
      </c>
      <c r="AJ26" s="26"/>
      <c r="AK26" s="26">
        <f t="shared" ca="1" si="7"/>
        <v>0</v>
      </c>
      <c r="AL26" s="315"/>
      <c r="AN26" s="1">
        <v>1</v>
      </c>
      <c r="AO26" s="1">
        <f t="shared" ref="AO26:AO89" si="22">IF($AS$3&lt;AN26,0,1)</f>
        <v>1</v>
      </c>
      <c r="AP26" s="69">
        <f t="shared" ref="AP26:AV41" ca="1" si="23">IFERROR($AO26*IF(MOD($AN26,AP$20)=0,AP$25,0)*(1+$AS$10)^$AN26*IF($AS$3=$AN26,0,1),0)</f>
        <v>0</v>
      </c>
      <c r="AQ26" s="69">
        <f t="shared" ca="1" si="23"/>
        <v>0</v>
      </c>
      <c r="AR26" s="69">
        <f t="shared" si="23"/>
        <v>0</v>
      </c>
      <c r="AS26" s="69">
        <f t="shared" ca="1" si="23"/>
        <v>0</v>
      </c>
      <c r="AT26" s="69">
        <f t="shared" ca="1" si="23"/>
        <v>0</v>
      </c>
      <c r="AU26" s="69">
        <f t="shared" ca="1" si="23"/>
        <v>0</v>
      </c>
      <c r="AV26" s="69">
        <f t="shared" si="23"/>
        <v>0</v>
      </c>
      <c r="AW26" s="69">
        <f ca="1">SUM(AP26:AV26)/(1+$AS$11)^AN26</f>
        <v>0</v>
      </c>
      <c r="AX26" s="69">
        <f ca="1">$AO26*AX$25*(1+$AS$9)^$AN26</f>
        <v>0</v>
      </c>
      <c r="AY26" s="69">
        <f ca="1">SUM(AX26)/(1+$AS$11)^AN26</f>
        <v>0</v>
      </c>
      <c r="AZ26" s="69">
        <f ca="1">$AO26*IF(Auswahllisten!$G$150,AZ$25+AZ$25*AZ$13*$AN26,AZ$25*(1+AZ$13)^$AN26)</f>
        <v>0</v>
      </c>
      <c r="BA26" s="69">
        <f ca="1">$AO26*IF(Auswahllisten!$G$150,BA$25+BA$25*BA$13*$AN26,BA$25*(1+BA$13)^$AN26)</f>
        <v>0</v>
      </c>
      <c r="BB26" s="69">
        <f ca="1">$AO26*IF(Auswahllisten!$G$150,BB$25+BB$25*BB$13*$AN26,BB$25*(1+BB$13)^$AN26)</f>
        <v>0</v>
      </c>
      <c r="BC26" s="69">
        <f ca="1">$AO26*IF(Auswahllisten!$G$150,BC$25+BC$25*BC$13*$AN26,BC$25*(1+BC$13)^$AN26)</f>
        <v>0</v>
      </c>
      <c r="BD26" s="69">
        <f ca="1">SUM(AZ26:BC26)/(1+$AS$11)^AN26</f>
        <v>0</v>
      </c>
      <c r="BE26" s="69">
        <f ca="1">AO26*$BE$25*(1+$AS$8)^AN26</f>
        <v>0</v>
      </c>
      <c r="BF26" s="69">
        <f ca="1">BE26/(1+$AS$11)^AN26</f>
        <v>0</v>
      </c>
      <c r="BG26" s="69">
        <f ca="1">BG25+AW26+AY26+BD26+BF26+IF(AN26=$AS$3,$BF$22,0)</f>
        <v>0</v>
      </c>
      <c r="BI26" s="69">
        <f t="shared" ref="BI26:BO41" ca="1" si="24">IFERROR($AO26*IF(MOD($AN26,BI$20)=0,BI$25,0)*(1+$AS$10)^$AN26*IF($AS$3=$AN26,0,1),0)</f>
        <v>0</v>
      </c>
      <c r="BJ26" s="69">
        <f t="shared" ca="1" si="24"/>
        <v>0</v>
      </c>
      <c r="BK26" s="69">
        <f t="shared" si="24"/>
        <v>0</v>
      </c>
      <c r="BL26" s="69">
        <f t="shared" ca="1" si="24"/>
        <v>0</v>
      </c>
      <c r="BM26" s="69">
        <f t="shared" ca="1" si="24"/>
        <v>0</v>
      </c>
      <c r="BN26" s="69">
        <f t="shared" ca="1" si="24"/>
        <v>0</v>
      </c>
      <c r="BO26" s="69">
        <f t="shared" si="24"/>
        <v>0</v>
      </c>
      <c r="BP26" s="69">
        <f t="shared" ref="BP26:BP57" ca="1" si="25">SUM(BI26:BO26)/(1+$AS$11)^AN26</f>
        <v>0</v>
      </c>
      <c r="BQ26" s="69">
        <f ca="1">$AO26*BQ$25*(1+$AS$9)^$AN26</f>
        <v>0</v>
      </c>
      <c r="BR26" s="69">
        <f t="shared" ref="BR26:BR57" ca="1" si="26">SUM(BQ26)/(1+$AS$11)^AN26</f>
        <v>0</v>
      </c>
      <c r="BS26" s="69">
        <f ca="1">$AO26*IF(Auswahllisten!$G$150,BS$25+BS$25*BS$13*$AN26,BS$25*(1+BS$13)^$AN26)</f>
        <v>0</v>
      </c>
      <c r="BT26" s="69">
        <f ca="1">$AO26*IF(Auswahllisten!$G$150,BT$25+BT$25*BT$13*$AN26,BT$25*(1+BT$13)^$AN26)</f>
        <v>0</v>
      </c>
      <c r="BU26" s="69">
        <f ca="1">$AO26*IF(Auswahllisten!$G$150,BU$25+BU$25*BU$13*$AN26,BU$25*(1+BU$13)^$AN26)</f>
        <v>0</v>
      </c>
      <c r="BV26" s="69">
        <f ca="1">$AO26*IF(Auswahllisten!$G$150,BV$25+BV$25*BV$13*$AN26,BV$25*(1+BV$13)^$AN26)</f>
        <v>0</v>
      </c>
      <c r="BW26" s="69">
        <f ca="1">SUM(BS26:BV26)/(1+$AS$11)^AN26</f>
        <v>0</v>
      </c>
      <c r="BX26" s="69">
        <f ca="1">AO26*$BX$25*(1+$AS$8)^AN26</f>
        <v>0</v>
      </c>
      <c r="BY26" s="224">
        <f t="shared" ref="BY26:BY89" ca="1" si="27">BX26/(1+$AS$11)^AN26</f>
        <v>0</v>
      </c>
      <c r="BZ26" s="224">
        <f t="shared" ref="BZ26:BZ89" ca="1" si="28">BZ25+BP26+BR26+BW26+BY26+IF(AN26=$AS$3,$BY$22,0)</f>
        <v>0</v>
      </c>
    </row>
    <row r="27" spans="1:78">
      <c r="A27" s="305" t="s">
        <v>1215</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IF($C$5=0,0,INDEX(Faktoren!E13:GQ13,1,VLOOKUP($F$5,$L$2:$O$14,4,FALSE)+$C$9*5+VLOOKUP(D27,Auswahllisten!$E$25:$F$29,2,FALSE)))</f>
        <v>0</v>
      </c>
      <c r="G27" s="26">
        <f t="shared" ref="G27:G30" ca="1" si="29">E27*F27</f>
        <v>0</v>
      </c>
      <c r="H27" s="26" cm="1">
        <f t="array" aca="1" ref="H27" ca="1">INDIRECT("Investition_gewählt!"&amp;$I$6&amp;AA27)</f>
        <v>5100</v>
      </c>
      <c r="I27" s="25" cm="1">
        <f t="array" aca="1" ref="I27" ca="1">IF($C$5=0,0,INDEX(Faktoren!E13:GQ13,1,VLOOKUP($F$6,$L$2:$O$14,4,FALSE)+$C$9*5+VLOOKUP(D27,Auswahllisten!$E$25:$F$29,2,FALSE)))</f>
        <v>0</v>
      </c>
      <c r="J27" s="26">
        <f t="shared" ref="J27:J30" ca="1" si="30">H27*I27</f>
        <v>0</v>
      </c>
      <c r="K27" s="26">
        <f t="shared" ca="1" si="19"/>
        <v>0</v>
      </c>
      <c r="L27" s="16" t="b">
        <f ca="1">($C$5=$L$25)</f>
        <v>0</v>
      </c>
      <c r="M27" s="26">
        <f t="shared" ca="1" si="11"/>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IF($U$5=0,0,INDEX(Faktoren!E13:GQ13,1,VLOOKUP($X$5,$L$2:$O$14,4,FALSE)+$U$9*5+VLOOKUP(O27,Auswahllisten!$E$25:$F$29,2,FALSE)))</f>
        <v>0</v>
      </c>
      <c r="R27" s="26">
        <f t="shared" ca="1" si="20"/>
        <v>0</v>
      </c>
      <c r="S27" s="26" cm="1">
        <f t="array" aca="1" ref="S27" ca="1">INDIRECT("Investition_gewählt!"&amp;$AA$6&amp;AA27)</f>
        <v>5100</v>
      </c>
      <c r="T27" s="16" cm="1">
        <f t="array" aca="1" ref="T27" ca="1">IF($U$5=0,0,INDEX(Faktoren!E13:QG13,1,VLOOKUP($X$6,$L$3:$O$14,4,FALSE)+$U$9*5+VLOOKUP(O27,Auswahllisten!$E$25:$F$29,2,FALSE)))</f>
        <v>0</v>
      </c>
      <c r="U27" s="26">
        <f t="shared" ca="1" si="21"/>
        <v>0</v>
      </c>
      <c r="V27" s="26">
        <f t="shared" ca="1" si="14"/>
        <v>0</v>
      </c>
      <c r="W27" s="25" t="b">
        <f t="shared" ref="W27:W30" ca="1" si="31">($U$5=$L$25)</f>
        <v>0</v>
      </c>
      <c r="X27" s="26">
        <f t="shared" ca="1" si="16"/>
        <v>0</v>
      </c>
      <c r="Z27" s="1">
        <v>40</v>
      </c>
      <c r="AA27" s="1">
        <v>13</v>
      </c>
      <c r="AB27" s="1">
        <v>-2</v>
      </c>
      <c r="AC27" s="35"/>
      <c r="AD27" s="82" t="s">
        <v>1218</v>
      </c>
      <c r="AE27" s="64" t="s">
        <v>1243</v>
      </c>
      <c r="AF27" s="26">
        <f ca="1">SUMIF(Variante_B!$A$19:$A$157,AD27,Variante_B!$M$19:$M$157)</f>
        <v>0</v>
      </c>
      <c r="AG27" s="162"/>
      <c r="AH27" s="26">
        <f t="shared" ca="1" si="6"/>
        <v>0</v>
      </c>
      <c r="AI27" s="26">
        <f ca="1">SUMIF(Variante_B!$A$19:$A$157,AD27,Variante_B!$X$19:$X$157)</f>
        <v>0</v>
      </c>
      <c r="AJ27" s="26"/>
      <c r="AK27" s="26">
        <f t="shared" ca="1" si="7"/>
        <v>0</v>
      </c>
      <c r="AL27" s="69"/>
      <c r="AN27" s="1">
        <v>2</v>
      </c>
      <c r="AO27" s="1">
        <f t="shared" si="22"/>
        <v>1</v>
      </c>
      <c r="AP27" s="69">
        <f t="shared" ca="1" si="23"/>
        <v>0</v>
      </c>
      <c r="AQ27" s="69">
        <f t="shared" ca="1" si="23"/>
        <v>0</v>
      </c>
      <c r="AR27" s="69">
        <f t="shared" si="23"/>
        <v>0</v>
      </c>
      <c r="AS27" s="69">
        <f t="shared" ca="1" si="23"/>
        <v>0</v>
      </c>
      <c r="AT27" s="69">
        <f t="shared" ca="1" si="23"/>
        <v>0</v>
      </c>
      <c r="AU27" s="69">
        <f t="shared" ca="1" si="23"/>
        <v>0</v>
      </c>
      <c r="AV27" s="69">
        <f t="shared" si="23"/>
        <v>0</v>
      </c>
      <c r="AW27" s="69">
        <f t="shared" ref="AW27:AW44" ca="1" si="32">SUM(AP27:AV27)/(1+$AS$11)^AN27</f>
        <v>0</v>
      </c>
      <c r="AX27" s="69">
        <f t="shared" ref="AX27:AX90" ca="1" si="33">$AO27*AX$25*(1+$AS$9)^$AN27</f>
        <v>0</v>
      </c>
      <c r="AY27" s="69">
        <f t="shared" ref="AY27:AY90" ca="1" si="34">SUM(AX27)/(1+$AS$11)^AN27</f>
        <v>0</v>
      </c>
      <c r="AZ27" s="69">
        <f ca="1">$AO27*IF(Auswahllisten!$G$150,AZ$25+AZ$25*AZ$13*$AN27,AZ$25*(1+AZ$13)^$AN27)</f>
        <v>0</v>
      </c>
      <c r="BA27" s="69">
        <f ca="1">$AO27*IF(Auswahllisten!$G$150,BA$25+BA$25*BA$13*$AN27,BA$25*(1+BA$13)^$AN27)</f>
        <v>0</v>
      </c>
      <c r="BB27" s="69">
        <f ca="1">$AO27*IF(Auswahllisten!$G$150,BB$25+BB$25*BB$13*$AN27,BB$25*(1+BB$13)^$AN27)</f>
        <v>0</v>
      </c>
      <c r="BC27" s="69">
        <f ca="1">$AO27*IF(Auswahllisten!$G$150,BC$25+BC$25*BC$13*$AN27,BC$25*(1+BC$13)^$AN27)</f>
        <v>0</v>
      </c>
      <c r="BD27" s="69">
        <f t="shared" ref="BD27:BD90" ca="1" si="35">SUM(AZ27:BC27)/(1+$AS$11)^AN27</f>
        <v>0</v>
      </c>
      <c r="BE27" s="69">
        <f t="shared" ref="BE27:BE90" ca="1" si="36">AO27*$BE$25*(1+$AS$8)^AN27</f>
        <v>0</v>
      </c>
      <c r="BF27" s="69">
        <f t="shared" ref="BF27:BF90" ca="1" si="37">BE27/(1+$AS$11)^AN27</f>
        <v>0</v>
      </c>
      <c r="BG27" s="69">
        <f t="shared" ref="BG27:BG90" ca="1" si="38">BG26+AW27+AY27+BD27+BF27+IF(AN27=$AS$3,$BF$22,0)</f>
        <v>0</v>
      </c>
      <c r="BI27" s="69">
        <f t="shared" ca="1" si="24"/>
        <v>0</v>
      </c>
      <c r="BJ27" s="69">
        <f t="shared" ca="1" si="24"/>
        <v>0</v>
      </c>
      <c r="BK27" s="69">
        <f t="shared" si="24"/>
        <v>0</v>
      </c>
      <c r="BL27" s="69">
        <f t="shared" ca="1" si="24"/>
        <v>0</v>
      </c>
      <c r="BM27" s="69">
        <f t="shared" ca="1" si="24"/>
        <v>0</v>
      </c>
      <c r="BN27" s="69">
        <f t="shared" ca="1" si="24"/>
        <v>0</v>
      </c>
      <c r="BO27" s="69">
        <f t="shared" si="24"/>
        <v>0</v>
      </c>
      <c r="BP27" s="69">
        <f t="shared" ca="1" si="25"/>
        <v>0</v>
      </c>
      <c r="BQ27" s="69">
        <f t="shared" ref="BQ27:BQ90" ca="1" si="39">$AO27*BQ$25*(1+$AS$9)^$AN27</f>
        <v>0</v>
      </c>
      <c r="BR27" s="69">
        <f t="shared" ca="1" si="26"/>
        <v>0</v>
      </c>
      <c r="BS27" s="69">
        <f ca="1">$AO27*IF(Auswahllisten!$G$150,BS$25+BS$25*BS$13*$AN27,BS$25*(1+BS$13)^$AN27)</f>
        <v>0</v>
      </c>
      <c r="BT27" s="69">
        <f ca="1">$AO27*IF(Auswahllisten!$G$150,BT$25+BT$25*BT$13*$AN27,BT$25*(1+BT$13)^$AN27)</f>
        <v>0</v>
      </c>
      <c r="BU27" s="69">
        <f ca="1">$AO27*IF(Auswahllisten!$G$150,BU$25+BU$25*BU$13*$AN27,BU$25*(1+BU$13)^$AN27)</f>
        <v>0</v>
      </c>
      <c r="BV27" s="69">
        <f ca="1">$AO27*IF(Auswahllisten!$G$150,BV$25+BV$25*BV$13*$AN27,BV$25*(1+BV$13)^$AN27)</f>
        <v>0</v>
      </c>
      <c r="BW27" s="69">
        <f t="shared" ref="BW27:BW90" ca="1" si="40">SUM(BS27:BV27)/(1+$AS$11)^AN27</f>
        <v>0</v>
      </c>
      <c r="BX27" s="69">
        <f t="shared" ref="BX27:BX90" ca="1" si="41">AO27*$BX$25*(1+$AS$8)^AN27</f>
        <v>0</v>
      </c>
      <c r="BY27" s="69">
        <f t="shared" ca="1" si="27"/>
        <v>0</v>
      </c>
      <c r="BZ27" s="69">
        <f t="shared" ca="1" si="28"/>
        <v>0</v>
      </c>
    </row>
    <row r="28" spans="1:78">
      <c r="A28" s="305" t="s">
        <v>1215</v>
      </c>
      <c r="B28" s="126" t="s">
        <v>303</v>
      </c>
      <c r="C28" s="126" t="s">
        <v>965</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IF($C$5=0,0,INDEX(Faktoren!E14:GQ14,1,VLOOKUP($F$5,$L$2:$O$14,4,FALSE)+$C$9*5+VLOOKUP(D28,Auswahllisten!$E$25:$F$29,2,FALSE)))</f>
        <v>0</v>
      </c>
      <c r="G28" s="26">
        <f t="shared" ca="1" si="29"/>
        <v>0</v>
      </c>
      <c r="H28" s="26" cm="1">
        <f t="array" aca="1" ref="H28" ca="1">INDIRECT("Investition_gewählt!"&amp;$I$6&amp;AA28)</f>
        <v>3600</v>
      </c>
      <c r="I28" s="25" cm="1">
        <f t="array" aca="1" ref="I28" ca="1">IF($C$5=0,0,INDEX(Faktoren!E14:GQ14,1,VLOOKUP($F$6,$L$2:$O$14,4,FALSE)+$C$9*5+VLOOKUP(D28,Auswahllisten!$E$25:$F$29,2,FALSE)))</f>
        <v>0</v>
      </c>
      <c r="J28" s="26">
        <f t="shared" ca="1" si="30"/>
        <v>0</v>
      </c>
      <c r="K28" s="26">
        <f t="shared" ca="1" si="19"/>
        <v>0</v>
      </c>
      <c r="L28" s="16" t="b">
        <f ca="1">($C$5=$L$25)</f>
        <v>0</v>
      </c>
      <c r="M28" s="26">
        <f t="shared" ca="1" si="11"/>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IF($U$5=0,0,INDEX(Faktoren!E14:GQ14,1,VLOOKUP($X$5,$L$2:$O$14,4,FALSE)+$U$9*5+VLOOKUP(O28,Auswahllisten!$E$25:$F$29,2,FALSE)))</f>
        <v>0</v>
      </c>
      <c r="R28" s="26">
        <f t="shared" ca="1" si="20"/>
        <v>0</v>
      </c>
      <c r="S28" s="26" cm="1">
        <f t="array" aca="1" ref="S28" ca="1">INDIRECT("Investition_gewählt!"&amp;$AA$6&amp;AA28)</f>
        <v>3600</v>
      </c>
      <c r="T28" s="16" cm="1">
        <f t="array" aca="1" ref="T28" ca="1">IF($U$5=0,0,INDEX(Faktoren!E14:QG14,1,VLOOKUP($X$6,$L$3:$O$14,4,FALSE)+$U$9*5+VLOOKUP(O28,Auswahllisten!$E$25:$F$29,2,FALSE)))</f>
        <v>0</v>
      </c>
      <c r="U28" s="26">
        <f t="shared" ca="1" si="21"/>
        <v>0</v>
      </c>
      <c r="V28" s="26">
        <f t="shared" ca="1" si="14"/>
        <v>0</v>
      </c>
      <c r="W28" s="25" t="b">
        <f t="shared" ca="1" si="31"/>
        <v>0</v>
      </c>
      <c r="X28" s="26">
        <f t="shared" ca="1" si="16"/>
        <v>0</v>
      </c>
      <c r="Z28" s="1">
        <v>42</v>
      </c>
      <c r="AA28" s="1">
        <v>14</v>
      </c>
      <c r="AB28" s="1">
        <v>-2</v>
      </c>
      <c r="AC28" s="35"/>
      <c r="AD28" s="82" t="s">
        <v>1219</v>
      </c>
      <c r="AE28" s="64" t="s">
        <v>1012</v>
      </c>
      <c r="AF28" s="26">
        <f ca="1">SUMIF(Variante_B!$A$19:$A$157,AD28,Variante_B!$M$19:$M$157)</f>
        <v>0</v>
      </c>
      <c r="AG28" s="162"/>
      <c r="AH28" s="26">
        <f t="shared" ca="1" si="6"/>
        <v>0</v>
      </c>
      <c r="AI28" s="26">
        <f>SUMIF(Variante_B!$A$19:$A$157,AD28,Variante_B!$X$19:$X$157)</f>
        <v>0</v>
      </c>
      <c r="AJ28" s="26"/>
      <c r="AK28" s="26">
        <f t="shared" si="7"/>
        <v>0</v>
      </c>
      <c r="AL28" s="69"/>
      <c r="AN28" s="1">
        <v>3</v>
      </c>
      <c r="AO28" s="1">
        <f t="shared" si="22"/>
        <v>1</v>
      </c>
      <c r="AP28" s="69">
        <f t="shared" ca="1" si="23"/>
        <v>0</v>
      </c>
      <c r="AQ28" s="69">
        <f t="shared" ca="1" si="23"/>
        <v>0</v>
      </c>
      <c r="AR28" s="69">
        <f t="shared" si="23"/>
        <v>0</v>
      </c>
      <c r="AS28" s="69">
        <f t="shared" ca="1" si="23"/>
        <v>0</v>
      </c>
      <c r="AT28" s="69">
        <f t="shared" ca="1" si="23"/>
        <v>0</v>
      </c>
      <c r="AU28" s="69">
        <f t="shared" ca="1" si="23"/>
        <v>0</v>
      </c>
      <c r="AV28" s="69">
        <f t="shared" si="23"/>
        <v>0</v>
      </c>
      <c r="AW28" s="69">
        <f t="shared" ca="1" si="32"/>
        <v>0</v>
      </c>
      <c r="AX28" s="69">
        <f t="shared" ca="1" si="33"/>
        <v>0</v>
      </c>
      <c r="AY28" s="69">
        <f t="shared" ca="1" si="34"/>
        <v>0</v>
      </c>
      <c r="AZ28" s="69">
        <f ca="1">$AO28*IF(Auswahllisten!$G$150,AZ$25+AZ$25*AZ$13*$AN28,AZ$25*(1+AZ$13)^$AN28)</f>
        <v>0</v>
      </c>
      <c r="BA28" s="69">
        <f ca="1">$AO28*IF(Auswahllisten!$G$150,BA$25+BA$25*BA$13*$AN28,BA$25*(1+BA$13)^$AN28)</f>
        <v>0</v>
      </c>
      <c r="BB28" s="69">
        <f ca="1">$AO28*IF(Auswahllisten!$G$150,BB$25+BB$25*BB$13*$AN28,BB$25*(1+BB$13)^$AN28)</f>
        <v>0</v>
      </c>
      <c r="BC28" s="69">
        <f ca="1">$AO28*IF(Auswahllisten!$G$150,BC$25+BC$25*BC$13*$AN28,BC$25*(1+BC$13)^$AN28)</f>
        <v>0</v>
      </c>
      <c r="BD28" s="69">
        <f t="shared" ca="1" si="35"/>
        <v>0</v>
      </c>
      <c r="BE28" s="69">
        <f t="shared" ca="1" si="36"/>
        <v>0</v>
      </c>
      <c r="BF28" s="69">
        <f t="shared" ca="1" si="37"/>
        <v>0</v>
      </c>
      <c r="BG28" s="69">
        <f t="shared" ca="1" si="38"/>
        <v>0</v>
      </c>
      <c r="BI28" s="69">
        <f t="shared" ca="1" si="24"/>
        <v>0</v>
      </c>
      <c r="BJ28" s="69">
        <f t="shared" ca="1" si="24"/>
        <v>0</v>
      </c>
      <c r="BK28" s="69">
        <f t="shared" si="24"/>
        <v>0</v>
      </c>
      <c r="BL28" s="69">
        <f t="shared" ca="1" si="24"/>
        <v>0</v>
      </c>
      <c r="BM28" s="69">
        <f t="shared" ca="1" si="24"/>
        <v>0</v>
      </c>
      <c r="BN28" s="69">
        <f t="shared" ca="1" si="24"/>
        <v>0</v>
      </c>
      <c r="BO28" s="69">
        <f t="shared" si="24"/>
        <v>0</v>
      </c>
      <c r="BP28" s="69">
        <f t="shared" ca="1" si="25"/>
        <v>0</v>
      </c>
      <c r="BQ28" s="69">
        <f t="shared" ca="1" si="39"/>
        <v>0</v>
      </c>
      <c r="BR28" s="69">
        <f t="shared" ca="1" si="26"/>
        <v>0</v>
      </c>
      <c r="BS28" s="69">
        <f ca="1">$AO28*IF(Auswahllisten!$G$150,BS$25+BS$25*BS$13*$AN28,BS$25*(1+BS$13)^$AN28)</f>
        <v>0</v>
      </c>
      <c r="BT28" s="69">
        <f ca="1">$AO28*IF(Auswahllisten!$G$150,BT$25+BT$25*BT$13*$AN28,BT$25*(1+BT$13)^$AN28)</f>
        <v>0</v>
      </c>
      <c r="BU28" s="69">
        <f ca="1">$AO28*IF(Auswahllisten!$G$150,BU$25+BU$25*BU$13*$AN28,BU$25*(1+BU$13)^$AN28)</f>
        <v>0</v>
      </c>
      <c r="BV28" s="69">
        <f ca="1">$AO28*IF(Auswahllisten!$G$150,BV$25+BV$25*BV$13*$AN28,BV$25*(1+BV$13)^$AN28)</f>
        <v>0</v>
      </c>
      <c r="BW28" s="69">
        <f t="shared" ca="1" si="40"/>
        <v>0</v>
      </c>
      <c r="BX28" s="69">
        <f t="shared" ca="1" si="41"/>
        <v>0</v>
      </c>
      <c r="BY28" s="69">
        <f t="shared" ca="1" si="27"/>
        <v>0</v>
      </c>
      <c r="BZ28" s="69">
        <f t="shared" ca="1" si="28"/>
        <v>0</v>
      </c>
    </row>
    <row r="29" spans="1:78">
      <c r="A29" s="305" t="s">
        <v>1215</v>
      </c>
      <c r="B29" s="126" t="s">
        <v>303</v>
      </c>
      <c r="C29" s="126" t="s">
        <v>966</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IF($C$5=0,0,INDEX(Faktoren!E15:GQ15,1,VLOOKUP($F$5,$L$2:$O$14,4,FALSE)+$C$9*5+VLOOKUP(D29,Auswahllisten!$E$25:$F$29,2,FALSE)))</f>
        <v>0</v>
      </c>
      <c r="G29" s="26">
        <f t="shared" ca="1" si="29"/>
        <v>0</v>
      </c>
      <c r="H29" s="26" cm="1">
        <f t="array" aca="1" ref="H29" ca="1">INDIRECT("Investition_gewählt!"&amp;$I$6&amp;AA29)</f>
        <v>6000</v>
      </c>
      <c r="I29" s="25" cm="1">
        <f t="array" aca="1" ref="I29" ca="1">IF($C$5=0,0,INDEX(Faktoren!E15:GQ15,1,VLOOKUP($F$6,$L$2:$O$14,4,FALSE)+$C$9*5+VLOOKUP(D29,Auswahllisten!$E$25:$F$29,2,FALSE)))</f>
        <v>0</v>
      </c>
      <c r="J29" s="26">
        <f t="shared" ca="1" si="30"/>
        <v>0</v>
      </c>
      <c r="K29" s="26">
        <f t="shared" ca="1" si="19"/>
        <v>0</v>
      </c>
      <c r="L29" s="16" t="b">
        <f ca="1">($C$5=$L$25)</f>
        <v>0</v>
      </c>
      <c r="M29" s="26">
        <f t="shared" ca="1" si="11"/>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IF($U$5=0,0,INDEX(Faktoren!E15:GQ15,1,VLOOKUP($X$5,$L$2:$O$14,4,FALSE)+$U$9*5+VLOOKUP(O29,Auswahllisten!$E$25:$F$29,2,FALSE)))</f>
        <v>0</v>
      </c>
      <c r="R29" s="26">
        <f t="shared" ca="1" si="20"/>
        <v>0</v>
      </c>
      <c r="S29" s="26" cm="1">
        <f t="array" aca="1" ref="S29" ca="1">INDIRECT("Investition_gewählt!"&amp;$AA$6&amp;AA29)</f>
        <v>6000</v>
      </c>
      <c r="T29" s="16" cm="1">
        <f t="array" aca="1" ref="T29" ca="1">IF($U$5=0,0,INDEX(Faktoren!E15:QG15,1,VLOOKUP($X$6,$L$3:$O$14,4,FALSE)+$U$9*5+VLOOKUP(O29,Auswahllisten!$E$25:$F$29,2,FALSE)))</f>
        <v>0</v>
      </c>
      <c r="U29" s="26">
        <f t="shared" ca="1" si="21"/>
        <v>0</v>
      </c>
      <c r="V29" s="26">
        <f t="shared" ca="1" si="14"/>
        <v>0</v>
      </c>
      <c r="W29" s="25" t="b">
        <f t="shared" ca="1" si="31"/>
        <v>0</v>
      </c>
      <c r="X29" s="26">
        <f t="shared" ca="1" si="16"/>
        <v>0</v>
      </c>
      <c r="Z29" s="1">
        <v>47</v>
      </c>
      <c r="AA29" s="1">
        <v>15</v>
      </c>
      <c r="AB29" s="1">
        <v>-2</v>
      </c>
      <c r="AC29" s="35"/>
      <c r="AD29" s="82" t="s">
        <v>1226</v>
      </c>
      <c r="AE29" s="64" t="s">
        <v>948</v>
      </c>
      <c r="AF29" s="26">
        <f ca="1">SUMIF(Variante_B!$A$19:$A$157,AD29,Variante_B!$M$19:$M$157)</f>
        <v>0</v>
      </c>
      <c r="AG29" s="162"/>
      <c r="AH29" s="26">
        <f t="shared" ca="1" si="6"/>
        <v>0</v>
      </c>
      <c r="AI29" s="26">
        <f>SUMIF(Variante_B!$A$19:$A$157,AD29,Variante_B!$X$19:$X$157)</f>
        <v>0</v>
      </c>
      <c r="AJ29" s="26"/>
      <c r="AK29" s="26">
        <f t="shared" si="7"/>
        <v>0</v>
      </c>
      <c r="AL29" s="69"/>
      <c r="AN29" s="1">
        <v>4</v>
      </c>
      <c r="AO29" s="1">
        <f t="shared" si="22"/>
        <v>1</v>
      </c>
      <c r="AP29" s="69">
        <f t="shared" ca="1" si="23"/>
        <v>0</v>
      </c>
      <c r="AQ29" s="69">
        <f t="shared" ca="1" si="23"/>
        <v>0</v>
      </c>
      <c r="AR29" s="69">
        <f t="shared" si="23"/>
        <v>0</v>
      </c>
      <c r="AS29" s="69">
        <f t="shared" ca="1" si="23"/>
        <v>0</v>
      </c>
      <c r="AT29" s="69">
        <f t="shared" ca="1" si="23"/>
        <v>0</v>
      </c>
      <c r="AU29" s="69">
        <f t="shared" ca="1" si="23"/>
        <v>0</v>
      </c>
      <c r="AV29" s="69">
        <f t="shared" si="23"/>
        <v>0</v>
      </c>
      <c r="AW29" s="69">
        <f t="shared" ca="1" si="32"/>
        <v>0</v>
      </c>
      <c r="AX29" s="69">
        <f t="shared" ca="1" si="33"/>
        <v>0</v>
      </c>
      <c r="AY29" s="69">
        <f t="shared" ca="1" si="34"/>
        <v>0</v>
      </c>
      <c r="AZ29" s="69">
        <f ca="1">$AO29*IF(Auswahllisten!$G$150,AZ$25+AZ$25*AZ$13*$AN29,AZ$25*(1+AZ$13)^$AN29)</f>
        <v>0</v>
      </c>
      <c r="BA29" s="69">
        <f ca="1">$AO29*IF(Auswahllisten!$G$150,BA$25+BA$25*BA$13*$AN29,BA$25*(1+BA$13)^$AN29)</f>
        <v>0</v>
      </c>
      <c r="BB29" s="69">
        <f ca="1">$AO29*IF(Auswahllisten!$G$150,BB$25+BB$25*BB$13*$AN29,BB$25*(1+BB$13)^$AN29)</f>
        <v>0</v>
      </c>
      <c r="BC29" s="69">
        <f ca="1">$AO29*IF(Auswahllisten!$G$150,BC$25+BC$25*BC$13*$AN29,BC$25*(1+BC$13)^$AN29)</f>
        <v>0</v>
      </c>
      <c r="BD29" s="69">
        <f t="shared" ca="1" si="35"/>
        <v>0</v>
      </c>
      <c r="BE29" s="69">
        <f t="shared" ca="1" si="36"/>
        <v>0</v>
      </c>
      <c r="BF29" s="69">
        <f t="shared" ca="1" si="37"/>
        <v>0</v>
      </c>
      <c r="BG29" s="69">
        <f t="shared" ca="1" si="38"/>
        <v>0</v>
      </c>
      <c r="BI29" s="69">
        <f t="shared" ca="1" si="24"/>
        <v>0</v>
      </c>
      <c r="BJ29" s="69">
        <f t="shared" ca="1" si="24"/>
        <v>0</v>
      </c>
      <c r="BK29" s="69">
        <f t="shared" si="24"/>
        <v>0</v>
      </c>
      <c r="BL29" s="69">
        <f t="shared" ca="1" si="24"/>
        <v>0</v>
      </c>
      <c r="BM29" s="69">
        <f t="shared" ca="1" si="24"/>
        <v>0</v>
      </c>
      <c r="BN29" s="69">
        <f t="shared" ca="1" si="24"/>
        <v>0</v>
      </c>
      <c r="BO29" s="69">
        <f t="shared" si="24"/>
        <v>0</v>
      </c>
      <c r="BP29" s="69">
        <f t="shared" ca="1" si="25"/>
        <v>0</v>
      </c>
      <c r="BQ29" s="69">
        <f t="shared" ca="1" si="39"/>
        <v>0</v>
      </c>
      <c r="BR29" s="69">
        <f t="shared" ca="1" si="26"/>
        <v>0</v>
      </c>
      <c r="BS29" s="69">
        <f ca="1">$AO29*IF(Auswahllisten!$G$150,BS$25+BS$25*BS$13*$AN29,BS$25*(1+BS$13)^$AN29)</f>
        <v>0</v>
      </c>
      <c r="BT29" s="69">
        <f ca="1">$AO29*IF(Auswahllisten!$G$150,BT$25+BT$25*BT$13*$AN29,BT$25*(1+BT$13)^$AN29)</f>
        <v>0</v>
      </c>
      <c r="BU29" s="69">
        <f ca="1">$AO29*IF(Auswahllisten!$G$150,BU$25+BU$25*BU$13*$AN29,BU$25*(1+BU$13)^$AN29)</f>
        <v>0</v>
      </c>
      <c r="BV29" s="69">
        <f ca="1">$AO29*IF(Auswahllisten!$G$150,BV$25+BV$25*BV$13*$AN29,BV$25*(1+BV$13)^$AN29)</f>
        <v>0</v>
      </c>
      <c r="BW29" s="69">
        <f t="shared" ca="1" si="40"/>
        <v>0</v>
      </c>
      <c r="BX29" s="69">
        <f t="shared" ca="1" si="41"/>
        <v>0</v>
      </c>
      <c r="BY29" s="69">
        <f t="shared" ca="1" si="27"/>
        <v>0</v>
      </c>
      <c r="BZ29" s="69">
        <f t="shared" ca="1" si="28"/>
        <v>0</v>
      </c>
    </row>
    <row r="30" spans="1:78">
      <c r="A30" s="306" t="s">
        <v>1256</v>
      </c>
      <c r="B30" s="297" t="s">
        <v>303</v>
      </c>
      <c r="C30" s="134" t="s">
        <v>186</v>
      </c>
      <c r="D30" s="163" t="str" cm="1">
        <f t="array" aca="1" ref="D30" ca="1">INDIRECT("Vergleich!"&amp;$G$2&amp;Z30)</f>
        <v>mittel</v>
      </c>
      <c r="E30" s="163" cm="1">
        <f t="array" aca="1" ref="E30" ca="1">INDIRECT("Investition_gewählt!"&amp;$I$5&amp;AA30)</f>
        <v>4000</v>
      </c>
      <c r="F30" s="61" cm="1">
        <f t="array" aca="1" ref="F30" ca="1">IF($C$5=0,0,INDEX(Faktoren!E16:GQ16,1,VLOOKUP($F$5,$L$2:$O$14,4,FALSE)+$C$9*5+VLOOKUP(D30,Auswahllisten!$E$25:$F$29,2,FALSE)))</f>
        <v>0</v>
      </c>
      <c r="G30" s="296">
        <f t="shared" ca="1" si="29"/>
        <v>0</v>
      </c>
      <c r="H30" s="296" cm="1">
        <f t="array" aca="1" ref="H30" ca="1">INDIRECT("Investition_gewählt!"&amp;$I$6&amp;AA30)</f>
        <v>4000</v>
      </c>
      <c r="I30" s="61" cm="1">
        <f t="array" aca="1" ref="I30" ca="1">IF($C$5=0,0,INDEX(Faktoren!E16:GQ16,1,VLOOKUP($F$6,$L$2:$O$14,4,FALSE)+$C$9*5+VLOOKUP(D30,Auswahllisten!$E$25:$F$29,2,FALSE)))</f>
        <v>0</v>
      </c>
      <c r="J30" s="163">
        <f t="shared" ca="1" si="30"/>
        <v>0</v>
      </c>
      <c r="K30" s="163">
        <f t="shared" ca="1" si="19"/>
        <v>0</v>
      </c>
      <c r="L30" s="93" t="b">
        <f ca="1">($C$5=$L$25)</f>
        <v>0</v>
      </c>
      <c r="M30" s="163">
        <f t="shared" ca="1" si="11"/>
        <v>0</v>
      </c>
      <c r="O30" s="93" t="str" cm="1">
        <f t="array" aca="1" ref="O30" ca="1">INDIRECT("Vergleich!"&amp;$Y$2&amp;Z30)</f>
        <v>gering</v>
      </c>
      <c r="P30" s="163" cm="1">
        <f t="array" aca="1" ref="P30" ca="1">INDIRECT("Investition_gewählt!"&amp;$AA$5&amp;AA30)</f>
        <v>4000</v>
      </c>
      <c r="Q30" s="93" cm="1">
        <f t="array" aca="1" ref="Q30" ca="1">IF($U$5=0,0,INDEX(Faktoren!E16:GQ16,1,VLOOKUP($X$5,$L$2:$O$14,4,FALSE)+$U$9*5+VLOOKUP(O30,Auswahllisten!$E$25:$F$29,2,FALSE)))</f>
        <v>0</v>
      </c>
      <c r="R30" s="163">
        <f t="shared" ca="1" si="20"/>
        <v>0</v>
      </c>
      <c r="S30" s="163" cm="1">
        <f t="array" aca="1" ref="S30" ca="1">INDIRECT("Investition_gewählt!"&amp;$AA$6&amp;AA30)</f>
        <v>4000</v>
      </c>
      <c r="T30" s="93" cm="1">
        <f t="array" aca="1" ref="T30" ca="1">IF($U$5=0,0,INDEX(Faktoren!E16:QG16,1,VLOOKUP($X$6,$L$3:$O$14,4,FALSE)+$U$9*5+VLOOKUP(O30,Auswahllisten!$E$25:$F$29,2,FALSE)))</f>
        <v>0</v>
      </c>
      <c r="U30" s="163">
        <f t="shared" ca="1" si="21"/>
        <v>0</v>
      </c>
      <c r="V30" s="163">
        <f t="shared" ca="1" si="14"/>
        <v>0</v>
      </c>
      <c r="W30" s="61" t="b">
        <f t="shared" ca="1" si="31"/>
        <v>0</v>
      </c>
      <c r="X30" s="163">
        <f t="shared" ca="1" si="16"/>
        <v>0</v>
      </c>
      <c r="Z30" s="1">
        <v>48</v>
      </c>
      <c r="AA30" s="1">
        <v>16</v>
      </c>
      <c r="AB30" s="1">
        <v>-2</v>
      </c>
      <c r="AC30" s="35"/>
      <c r="AD30" s="82" t="s">
        <v>1225</v>
      </c>
      <c r="AE30" s="64" t="s">
        <v>1250</v>
      </c>
      <c r="AF30" s="26">
        <f ca="1">SUMIF(Variante_B!$A$19:$A$157,AD30,Variante_B!$M$19:$M$157)</f>
        <v>0</v>
      </c>
      <c r="AG30" s="162"/>
      <c r="AH30" s="26">
        <f t="shared" ca="1" si="6"/>
        <v>0</v>
      </c>
      <c r="AI30" s="26">
        <f>SUMIF(Variante_B!$A$19:$A$157,AD30,Variante_B!$X$19:$X$157)</f>
        <v>0</v>
      </c>
      <c r="AJ30" s="26"/>
      <c r="AK30" s="26">
        <f t="shared" si="7"/>
        <v>0</v>
      </c>
      <c r="AL30" s="69"/>
      <c r="AN30" s="1">
        <v>5</v>
      </c>
      <c r="AO30" s="1">
        <f t="shared" si="22"/>
        <v>1</v>
      </c>
      <c r="AP30" s="69">
        <f t="shared" ca="1" si="23"/>
        <v>0</v>
      </c>
      <c r="AQ30" s="69">
        <f t="shared" ca="1" si="23"/>
        <v>0</v>
      </c>
      <c r="AR30" s="69">
        <f t="shared" si="23"/>
        <v>0</v>
      </c>
      <c r="AS30" s="69">
        <f t="shared" ca="1" si="23"/>
        <v>0</v>
      </c>
      <c r="AT30" s="69">
        <f t="shared" ca="1" si="23"/>
        <v>0</v>
      </c>
      <c r="AU30" s="69">
        <f t="shared" ca="1" si="23"/>
        <v>0</v>
      </c>
      <c r="AV30" s="69">
        <f t="shared" si="23"/>
        <v>0</v>
      </c>
      <c r="AW30" s="69">
        <f t="shared" ca="1" si="32"/>
        <v>0</v>
      </c>
      <c r="AX30" s="69">
        <f t="shared" ca="1" si="33"/>
        <v>0</v>
      </c>
      <c r="AY30" s="69">
        <f t="shared" ca="1" si="34"/>
        <v>0</v>
      </c>
      <c r="AZ30" s="69">
        <f ca="1">$AO30*IF(Auswahllisten!$G$150,AZ$25+AZ$25*AZ$13*$AN30,AZ$25*(1+AZ$13)^$AN30)</f>
        <v>0</v>
      </c>
      <c r="BA30" s="69">
        <f ca="1">$AO30*IF(Auswahllisten!$G$150,BA$25+BA$25*BA$13*$AN30,BA$25*(1+BA$13)^$AN30)</f>
        <v>0</v>
      </c>
      <c r="BB30" s="69">
        <f ca="1">$AO30*IF(Auswahllisten!$G$150,BB$25+BB$25*BB$13*$AN30,BB$25*(1+BB$13)^$AN30)</f>
        <v>0</v>
      </c>
      <c r="BC30" s="69">
        <f ca="1">$AO30*IF(Auswahllisten!$G$150,BC$25+BC$25*BC$13*$AN30,BC$25*(1+BC$13)^$AN30)</f>
        <v>0</v>
      </c>
      <c r="BD30" s="69">
        <f t="shared" ca="1" si="35"/>
        <v>0</v>
      </c>
      <c r="BE30" s="69">
        <f t="shared" ca="1" si="36"/>
        <v>0</v>
      </c>
      <c r="BF30" s="69">
        <f t="shared" ca="1" si="37"/>
        <v>0</v>
      </c>
      <c r="BG30" s="69">
        <f t="shared" ca="1" si="38"/>
        <v>0</v>
      </c>
      <c r="BI30" s="69">
        <f t="shared" ca="1" si="24"/>
        <v>0</v>
      </c>
      <c r="BJ30" s="69">
        <f t="shared" ca="1" si="24"/>
        <v>0</v>
      </c>
      <c r="BK30" s="69">
        <f t="shared" si="24"/>
        <v>0</v>
      </c>
      <c r="BL30" s="69">
        <f t="shared" ca="1" si="24"/>
        <v>0</v>
      </c>
      <c r="BM30" s="69">
        <f t="shared" ca="1" si="24"/>
        <v>0</v>
      </c>
      <c r="BN30" s="69">
        <f t="shared" ca="1" si="24"/>
        <v>0</v>
      </c>
      <c r="BO30" s="69">
        <f t="shared" si="24"/>
        <v>0</v>
      </c>
      <c r="BP30" s="69">
        <f t="shared" ca="1" si="25"/>
        <v>0</v>
      </c>
      <c r="BQ30" s="69">
        <f t="shared" ca="1" si="39"/>
        <v>0</v>
      </c>
      <c r="BR30" s="69">
        <f t="shared" ca="1" si="26"/>
        <v>0</v>
      </c>
      <c r="BS30" s="69">
        <f ca="1">$AO30*IF(Auswahllisten!$G$150,BS$25+BS$25*BS$13*$AN30,BS$25*(1+BS$13)^$AN30)</f>
        <v>0</v>
      </c>
      <c r="BT30" s="69">
        <f ca="1">$AO30*IF(Auswahllisten!$G$150,BT$25+BT$25*BT$13*$AN30,BT$25*(1+BT$13)^$AN30)</f>
        <v>0</v>
      </c>
      <c r="BU30" s="69">
        <f ca="1">$AO30*IF(Auswahllisten!$G$150,BU$25+BU$25*BU$13*$AN30,BU$25*(1+BU$13)^$AN30)</f>
        <v>0</v>
      </c>
      <c r="BV30" s="69">
        <f ca="1">$AO30*IF(Auswahllisten!$G$150,BV$25+BV$25*BV$13*$AN30,BV$25*(1+BV$13)^$AN30)</f>
        <v>0</v>
      </c>
      <c r="BW30" s="69">
        <f t="shared" ca="1" si="40"/>
        <v>0</v>
      </c>
      <c r="BX30" s="69">
        <f t="shared" ca="1" si="41"/>
        <v>0</v>
      </c>
      <c r="BY30" s="69">
        <f t="shared" ca="1" si="27"/>
        <v>0</v>
      </c>
      <c r="BZ30" s="69">
        <f t="shared" ca="1" si="28"/>
        <v>0</v>
      </c>
    </row>
    <row r="31" spans="1:78">
      <c r="A31" s="125"/>
      <c r="B31" s="64"/>
      <c r="C31" s="64"/>
      <c r="D31" s="157"/>
      <c r="E31" s="157"/>
      <c r="G31" s="69"/>
      <c r="H31" s="157"/>
      <c r="J31" s="8"/>
      <c r="K31" s="8"/>
      <c r="L31" s="8"/>
      <c r="M31" s="157"/>
      <c r="N31" s="8"/>
      <c r="P31" s="69"/>
      <c r="R31" s="69"/>
      <c r="S31" s="69"/>
      <c r="U31" s="69"/>
      <c r="V31" s="69"/>
      <c r="X31" s="69"/>
      <c r="AA31" s="1">
        <v>17</v>
      </c>
      <c r="AB31" s="1">
        <v>-2</v>
      </c>
      <c r="AC31" s="35"/>
      <c r="AD31" s="82" t="s">
        <v>1229</v>
      </c>
      <c r="AE31" s="64" t="s">
        <v>1246</v>
      </c>
      <c r="AF31" s="26">
        <f ca="1">SUMIF(Variante_B!$A$19:$A$157,AD31,Variante_B!$M$19:$M$157)</f>
        <v>0</v>
      </c>
      <c r="AG31" s="162"/>
      <c r="AH31" s="26">
        <f t="shared" ca="1" si="6"/>
        <v>0</v>
      </c>
      <c r="AI31" s="26">
        <f ca="1">SUMIF(Variante_B!$A$19:$A$157,AD31,Variante_B!$X$19:$X$157)</f>
        <v>0</v>
      </c>
      <c r="AJ31" s="26"/>
      <c r="AK31" s="26">
        <f t="shared" ca="1" si="7"/>
        <v>0</v>
      </c>
      <c r="AL31" s="69"/>
      <c r="AN31" s="1">
        <v>6</v>
      </c>
      <c r="AO31" s="1">
        <f t="shared" si="22"/>
        <v>1</v>
      </c>
      <c r="AP31" s="69">
        <f t="shared" ca="1" si="23"/>
        <v>0</v>
      </c>
      <c r="AQ31" s="69">
        <f t="shared" ca="1" si="23"/>
        <v>0</v>
      </c>
      <c r="AR31" s="69">
        <f t="shared" si="23"/>
        <v>0</v>
      </c>
      <c r="AS31" s="69">
        <f t="shared" ca="1" si="23"/>
        <v>0</v>
      </c>
      <c r="AT31" s="69">
        <f t="shared" ca="1" si="23"/>
        <v>0</v>
      </c>
      <c r="AU31" s="69">
        <f t="shared" ca="1" si="23"/>
        <v>0</v>
      </c>
      <c r="AV31" s="69">
        <f t="shared" si="23"/>
        <v>0</v>
      </c>
      <c r="AW31" s="69">
        <f t="shared" ca="1" si="32"/>
        <v>0</v>
      </c>
      <c r="AX31" s="69">
        <f t="shared" ca="1" si="33"/>
        <v>0</v>
      </c>
      <c r="AY31" s="69">
        <f t="shared" ca="1" si="34"/>
        <v>0</v>
      </c>
      <c r="AZ31" s="69">
        <f ca="1">$AO31*IF(Auswahllisten!$G$150,AZ$25+AZ$25*AZ$13*$AN31,AZ$25*(1+AZ$13)^$AN31)</f>
        <v>0</v>
      </c>
      <c r="BA31" s="69">
        <f ca="1">$AO31*IF(Auswahllisten!$G$150,BA$25+BA$25*BA$13*$AN31,BA$25*(1+BA$13)^$AN31)</f>
        <v>0</v>
      </c>
      <c r="BB31" s="69">
        <f ca="1">$AO31*IF(Auswahllisten!$G$150,BB$25+BB$25*BB$13*$AN31,BB$25*(1+BB$13)^$AN31)</f>
        <v>0</v>
      </c>
      <c r="BC31" s="69">
        <f ca="1">$AO31*IF(Auswahllisten!$G$150,BC$25+BC$25*BC$13*$AN31,BC$25*(1+BC$13)^$AN31)</f>
        <v>0</v>
      </c>
      <c r="BD31" s="69">
        <f t="shared" ca="1" si="35"/>
        <v>0</v>
      </c>
      <c r="BE31" s="69">
        <f t="shared" ca="1" si="36"/>
        <v>0</v>
      </c>
      <c r="BF31" s="69">
        <f t="shared" ca="1" si="37"/>
        <v>0</v>
      </c>
      <c r="BG31" s="69">
        <f t="shared" ca="1" si="38"/>
        <v>0</v>
      </c>
      <c r="BI31" s="69">
        <f t="shared" ca="1" si="24"/>
        <v>0</v>
      </c>
      <c r="BJ31" s="69">
        <f t="shared" ca="1" si="24"/>
        <v>0</v>
      </c>
      <c r="BK31" s="69">
        <f t="shared" si="24"/>
        <v>0</v>
      </c>
      <c r="BL31" s="69">
        <f t="shared" ca="1" si="24"/>
        <v>0</v>
      </c>
      <c r="BM31" s="69">
        <f t="shared" ca="1" si="24"/>
        <v>0</v>
      </c>
      <c r="BN31" s="69">
        <f t="shared" ca="1" si="24"/>
        <v>0</v>
      </c>
      <c r="BO31" s="69">
        <f t="shared" si="24"/>
        <v>0</v>
      </c>
      <c r="BP31" s="69">
        <f t="shared" ca="1" si="25"/>
        <v>0</v>
      </c>
      <c r="BQ31" s="69">
        <f t="shared" ca="1" si="39"/>
        <v>0</v>
      </c>
      <c r="BR31" s="69">
        <f t="shared" ca="1" si="26"/>
        <v>0</v>
      </c>
      <c r="BS31" s="69">
        <f ca="1">$AO31*IF(Auswahllisten!$G$150,BS$25+BS$25*BS$13*$AN31,BS$25*(1+BS$13)^$AN31)</f>
        <v>0</v>
      </c>
      <c r="BT31" s="69">
        <f ca="1">$AO31*IF(Auswahllisten!$G$150,BT$25+BT$25*BT$13*$AN31,BT$25*(1+BT$13)^$AN31)</f>
        <v>0</v>
      </c>
      <c r="BU31" s="69">
        <f ca="1">$AO31*IF(Auswahllisten!$G$150,BU$25+BU$25*BU$13*$AN31,BU$25*(1+BU$13)^$AN31)</f>
        <v>0</v>
      </c>
      <c r="BV31" s="69">
        <f ca="1">$AO31*IF(Auswahllisten!$G$150,BV$25+BV$25*BV$13*$AN31,BV$25*(1+BV$13)^$AN31)</f>
        <v>0</v>
      </c>
      <c r="BW31" s="69">
        <f t="shared" ca="1" si="40"/>
        <v>0</v>
      </c>
      <c r="BX31" s="69">
        <f t="shared" ca="1" si="41"/>
        <v>0</v>
      </c>
      <c r="BY31" s="69">
        <f t="shared" ca="1" si="27"/>
        <v>0</v>
      </c>
      <c r="BZ31" s="69">
        <f t="shared" ca="1" si="28"/>
        <v>0</v>
      </c>
    </row>
    <row r="32" spans="1:78">
      <c r="A32" s="125" t="s">
        <v>991</v>
      </c>
      <c r="B32" s="125" t="s">
        <v>1</v>
      </c>
      <c r="C32" s="125"/>
      <c r="D32" s="157"/>
      <c r="E32" s="157"/>
      <c r="G32" s="69"/>
      <c r="H32" s="157"/>
      <c r="J32" s="8"/>
      <c r="L32" s="155">
        <v>3</v>
      </c>
      <c r="M32" s="157"/>
      <c r="P32" s="69"/>
      <c r="R32" s="69"/>
      <c r="S32" s="69"/>
      <c r="U32" s="69"/>
      <c r="V32" s="69"/>
      <c r="X32" s="69"/>
      <c r="AA32" s="1">
        <v>18</v>
      </c>
      <c r="AB32" s="1">
        <v>-2</v>
      </c>
      <c r="AC32" s="35"/>
      <c r="AD32" s="35" t="s">
        <v>1221</v>
      </c>
      <c r="AE32" s="1" t="s">
        <v>1252</v>
      </c>
      <c r="AF32" s="26">
        <f ca="1">SUMIF(Variante_B!$A$19:$A$157,AD32,Variante_B!$M$19:$M$157)</f>
        <v>0</v>
      </c>
      <c r="AG32" s="162"/>
      <c r="AH32" s="26">
        <f t="shared" ca="1" si="6"/>
        <v>0</v>
      </c>
      <c r="AI32" s="26">
        <f>SUMIF(Variante_B!$A$19:$A$157,AD32,Variante_B!$X$19:$X$157)</f>
        <v>0</v>
      </c>
      <c r="AJ32" s="26"/>
      <c r="AK32" s="26">
        <f t="shared" si="7"/>
        <v>0</v>
      </c>
      <c r="AL32" s="69"/>
      <c r="AN32" s="1">
        <v>7</v>
      </c>
      <c r="AO32" s="1">
        <f t="shared" si="22"/>
        <v>1</v>
      </c>
      <c r="AP32" s="69">
        <f t="shared" ca="1" si="23"/>
        <v>0</v>
      </c>
      <c r="AQ32" s="69">
        <f t="shared" ca="1" si="23"/>
        <v>0</v>
      </c>
      <c r="AR32" s="69">
        <f t="shared" si="23"/>
        <v>0</v>
      </c>
      <c r="AS32" s="69">
        <f t="shared" ca="1" si="23"/>
        <v>0</v>
      </c>
      <c r="AT32" s="69">
        <f t="shared" ca="1" si="23"/>
        <v>0</v>
      </c>
      <c r="AU32" s="69">
        <f t="shared" ca="1" si="23"/>
        <v>0</v>
      </c>
      <c r="AV32" s="69">
        <f t="shared" si="23"/>
        <v>0</v>
      </c>
      <c r="AW32" s="69">
        <f t="shared" ca="1" si="32"/>
        <v>0</v>
      </c>
      <c r="AX32" s="69">
        <f t="shared" ca="1" si="33"/>
        <v>0</v>
      </c>
      <c r="AY32" s="69">
        <f t="shared" ca="1" si="34"/>
        <v>0</v>
      </c>
      <c r="AZ32" s="69">
        <f ca="1">$AO32*IF(Auswahllisten!$G$150,AZ$25+AZ$25*AZ$13*$AN32,AZ$25*(1+AZ$13)^$AN32)</f>
        <v>0</v>
      </c>
      <c r="BA32" s="69">
        <f ca="1">$AO32*IF(Auswahllisten!$G$150,BA$25+BA$25*BA$13*$AN32,BA$25*(1+BA$13)^$AN32)</f>
        <v>0</v>
      </c>
      <c r="BB32" s="69">
        <f ca="1">$AO32*IF(Auswahllisten!$G$150,BB$25+BB$25*BB$13*$AN32,BB$25*(1+BB$13)^$AN32)</f>
        <v>0</v>
      </c>
      <c r="BC32" s="69">
        <f ca="1">$AO32*IF(Auswahllisten!$G$150,BC$25+BC$25*BC$13*$AN32,BC$25*(1+BC$13)^$AN32)</f>
        <v>0</v>
      </c>
      <c r="BD32" s="69">
        <f t="shared" ca="1" si="35"/>
        <v>0</v>
      </c>
      <c r="BE32" s="69">
        <f t="shared" ca="1" si="36"/>
        <v>0</v>
      </c>
      <c r="BF32" s="69">
        <f t="shared" ca="1" si="37"/>
        <v>0</v>
      </c>
      <c r="BG32" s="69">
        <f t="shared" ca="1" si="38"/>
        <v>0</v>
      </c>
      <c r="BI32" s="69">
        <f t="shared" ca="1" si="24"/>
        <v>0</v>
      </c>
      <c r="BJ32" s="69">
        <f t="shared" ca="1" si="24"/>
        <v>0</v>
      </c>
      <c r="BK32" s="69">
        <f t="shared" si="24"/>
        <v>0</v>
      </c>
      <c r="BL32" s="69">
        <f t="shared" ca="1" si="24"/>
        <v>0</v>
      </c>
      <c r="BM32" s="69">
        <f t="shared" ca="1" si="24"/>
        <v>0</v>
      </c>
      <c r="BN32" s="69">
        <f t="shared" ca="1" si="24"/>
        <v>0</v>
      </c>
      <c r="BO32" s="69">
        <f t="shared" si="24"/>
        <v>0</v>
      </c>
      <c r="BP32" s="69">
        <f t="shared" ca="1" si="25"/>
        <v>0</v>
      </c>
      <c r="BQ32" s="69">
        <f t="shared" ca="1" si="39"/>
        <v>0</v>
      </c>
      <c r="BR32" s="69">
        <f t="shared" ca="1" si="26"/>
        <v>0</v>
      </c>
      <c r="BS32" s="69">
        <f ca="1">$AO32*IF(Auswahllisten!$G$150,BS$25+BS$25*BS$13*$AN32,BS$25*(1+BS$13)^$AN32)</f>
        <v>0</v>
      </c>
      <c r="BT32" s="69">
        <f ca="1">$AO32*IF(Auswahllisten!$G$150,BT$25+BT$25*BT$13*$AN32,BT$25*(1+BT$13)^$AN32)</f>
        <v>0</v>
      </c>
      <c r="BU32" s="69">
        <f ca="1">$AO32*IF(Auswahllisten!$G$150,BU$25+BU$25*BU$13*$AN32,BU$25*(1+BU$13)^$AN32)</f>
        <v>0</v>
      </c>
      <c r="BV32" s="69">
        <f ca="1">$AO32*IF(Auswahllisten!$G$150,BV$25+BV$25*BV$13*$AN32,BV$25*(1+BV$13)^$AN32)</f>
        <v>0</v>
      </c>
      <c r="BW32" s="69">
        <f t="shared" ca="1" si="40"/>
        <v>0</v>
      </c>
      <c r="BX32" s="69">
        <f t="shared" ca="1" si="41"/>
        <v>0</v>
      </c>
      <c r="BY32" s="69">
        <f t="shared" ca="1" si="27"/>
        <v>0</v>
      </c>
      <c r="BZ32" s="69">
        <f t="shared" ca="1" si="28"/>
        <v>0</v>
      </c>
    </row>
    <row r="33" spans="1:78">
      <c r="A33" s="304" t="s">
        <v>1217</v>
      </c>
      <c r="B33" s="131" t="s">
        <v>1242</v>
      </c>
      <c r="C33" s="131" t="s">
        <v>243</v>
      </c>
      <c r="D33" s="162" t="str" cm="1">
        <f t="array" aca="1" ref="D33" ca="1">INDIRECT("Vergleich!"&amp;$G$2&amp;Z33)</f>
        <v>mittel</v>
      </c>
      <c r="E33" s="162" cm="1">
        <f t="array" aca="1" ref="E33" ca="1">INDIRECT("Investition_gewählt!"&amp;$I$5&amp;AA33)</f>
        <v>3000</v>
      </c>
      <c r="F33" s="25" cm="1">
        <f t="array" aca="1" ref="F33" ca="1">IF($C$5=0,0,INDEX(Faktoren!E19:GQ19,1,VLOOKUP($F$5,$L$2:$O$14,4,FALSE)+$C$9*5+VLOOKUP(D33,Auswahllisten!$E$25:$F$29,2,FALSE)))</f>
        <v>0</v>
      </c>
      <c r="G33" s="162">
        <f ca="1">E33*F33</f>
        <v>0</v>
      </c>
      <c r="H33" s="162" cm="1">
        <f t="array" aca="1" ref="H33" ca="1">INDIRECT("Investition_gewählt!"&amp;$I$6&amp;AA33)</f>
        <v>3000</v>
      </c>
      <c r="I33" s="25" cm="1">
        <f t="array" aca="1" ref="I33" ca="1">IF($C$5=0,0,INDEX(Faktoren!E19:GQ19,1,VLOOKUP($F$6,$L$2:$O$14,4,FALSE)+$C$9*5+VLOOKUP(D33,Auswahllisten!$E$25:$F$29,2,FALSE)))</f>
        <v>0</v>
      </c>
      <c r="J33" s="25">
        <f ca="1">H33*I33</f>
        <v>0</v>
      </c>
      <c r="K33" s="25">
        <f t="shared" ref="K33:K39" ca="1" si="42">IF($C$5=0,0,G33+(J33-G33)*($C$6-$F$5)/($F$6-$F$5))</f>
        <v>0</v>
      </c>
      <c r="L33" s="25" t="b">
        <f t="shared" ref="L33:L39" ca="1" si="43">($C$5=$L$32)</f>
        <v>0</v>
      </c>
      <c r="M33" s="162">
        <f t="shared" ca="1" si="11"/>
        <v>0</v>
      </c>
      <c r="O33" s="25" t="str" cm="1">
        <f t="array" aca="1" ref="O33" ca="1">INDIRECT("Vergleich!"&amp;$Y$2&amp;Z33)</f>
        <v>gering</v>
      </c>
      <c r="P33" s="162" cm="1">
        <f t="array" aca="1" ref="P33" ca="1">INDIRECT("Investition_gewählt!"&amp;$AA$5&amp;AA33)</f>
        <v>3000</v>
      </c>
      <c r="Q33" s="25" cm="1">
        <f t="array" aca="1" ref="Q33" ca="1">IF($U$5=0,0,INDEX(Faktoren!E19:GQ19,1,VLOOKUP($X$5,$L$2:$O$14,4,FALSE)+$U$9*5+VLOOKUP(O33,Auswahllisten!$E$25:$F$29,2,FALSE)))</f>
        <v>0</v>
      </c>
      <c r="R33" s="162">
        <f t="shared" ref="R33:R39" ca="1" si="44">P33*Q33</f>
        <v>0</v>
      </c>
      <c r="S33" s="162" cm="1">
        <f t="array" aca="1" ref="S33" ca="1">INDIRECT("Investition_gewählt!"&amp;$AA$6&amp;AA33)</f>
        <v>3000</v>
      </c>
      <c r="T33" s="25" cm="1">
        <f t="array" aca="1" ref="T33" ca="1">IF($U$5=0,0,INDEX(Faktoren!E19:QG19,1,VLOOKUP($X$6,$L$3:$O$14,4,FALSE)+$U$9*5+VLOOKUP(O33,Auswahllisten!$E$25:$F$29,2,FALSE)))</f>
        <v>0</v>
      </c>
      <c r="U33" s="162">
        <f t="shared" ref="U33:U39" ca="1" si="45">S33*T33</f>
        <v>0</v>
      </c>
      <c r="V33" s="162">
        <f t="shared" ca="1" si="14"/>
        <v>0</v>
      </c>
      <c r="W33" s="25" t="b">
        <f ca="1">($U$5=$L$32)</f>
        <v>0</v>
      </c>
      <c r="X33" s="162">
        <f t="shared" ca="1" si="16"/>
        <v>0</v>
      </c>
      <c r="Z33" s="1">
        <v>34</v>
      </c>
      <c r="AA33" s="1">
        <v>19</v>
      </c>
      <c r="AB33" s="1">
        <v>-2</v>
      </c>
      <c r="AD33" s="82"/>
      <c r="AE33" s="311" t="s">
        <v>189</v>
      </c>
      <c r="AF33" s="316">
        <f ca="1">SUM(AF18:AF32)</f>
        <v>0</v>
      </c>
      <c r="AG33" s="316">
        <f ca="1">SUM(AG18:AG32)</f>
        <v>0</v>
      </c>
      <c r="AH33" s="316">
        <f t="shared" ref="AH33:AK33" ca="1" si="46">SUM(AH18:AH32)</f>
        <v>0</v>
      </c>
      <c r="AI33" s="316">
        <f t="shared" ca="1" si="46"/>
        <v>0</v>
      </c>
      <c r="AJ33" s="316">
        <f t="shared" ca="1" si="46"/>
        <v>0</v>
      </c>
      <c r="AK33" s="316">
        <f t="shared" ca="1" si="46"/>
        <v>0</v>
      </c>
      <c r="AL33" s="69"/>
      <c r="AN33" s="1">
        <v>8</v>
      </c>
      <c r="AO33" s="1">
        <f t="shared" si="22"/>
        <v>1</v>
      </c>
      <c r="AP33" s="69">
        <f t="shared" ca="1" si="23"/>
        <v>0</v>
      </c>
      <c r="AQ33" s="69">
        <f t="shared" ca="1" si="23"/>
        <v>0</v>
      </c>
      <c r="AR33" s="69">
        <f t="shared" si="23"/>
        <v>0</v>
      </c>
      <c r="AS33" s="69">
        <f t="shared" ca="1" si="23"/>
        <v>0</v>
      </c>
      <c r="AT33" s="69">
        <f t="shared" ca="1" si="23"/>
        <v>0</v>
      </c>
      <c r="AU33" s="69">
        <f t="shared" ca="1" si="23"/>
        <v>0</v>
      </c>
      <c r="AV33" s="69">
        <f t="shared" si="23"/>
        <v>0</v>
      </c>
      <c r="AW33" s="69">
        <f t="shared" ca="1" si="32"/>
        <v>0</v>
      </c>
      <c r="AX33" s="69">
        <f t="shared" ca="1" si="33"/>
        <v>0</v>
      </c>
      <c r="AY33" s="69">
        <f t="shared" ca="1" si="34"/>
        <v>0</v>
      </c>
      <c r="AZ33" s="69">
        <f ca="1">$AO33*IF(Auswahllisten!$G$150,AZ$25+AZ$25*AZ$13*$AN33,AZ$25*(1+AZ$13)^$AN33)</f>
        <v>0</v>
      </c>
      <c r="BA33" s="69">
        <f ca="1">$AO33*IF(Auswahllisten!$G$150,BA$25+BA$25*BA$13*$AN33,BA$25*(1+BA$13)^$AN33)</f>
        <v>0</v>
      </c>
      <c r="BB33" s="69">
        <f ca="1">$AO33*IF(Auswahllisten!$G$150,BB$25+BB$25*BB$13*$AN33,BB$25*(1+BB$13)^$AN33)</f>
        <v>0</v>
      </c>
      <c r="BC33" s="69">
        <f ca="1">$AO33*IF(Auswahllisten!$G$150,BC$25+BC$25*BC$13*$AN33,BC$25*(1+BC$13)^$AN33)</f>
        <v>0</v>
      </c>
      <c r="BD33" s="69">
        <f t="shared" ca="1" si="35"/>
        <v>0</v>
      </c>
      <c r="BE33" s="69">
        <f t="shared" ca="1" si="36"/>
        <v>0</v>
      </c>
      <c r="BF33" s="69">
        <f t="shared" ca="1" si="37"/>
        <v>0</v>
      </c>
      <c r="BG33" s="69">
        <f t="shared" ca="1" si="38"/>
        <v>0</v>
      </c>
      <c r="BI33" s="69">
        <f t="shared" ca="1" si="24"/>
        <v>0</v>
      </c>
      <c r="BJ33" s="69">
        <f t="shared" ca="1" si="24"/>
        <v>0</v>
      </c>
      <c r="BK33" s="69">
        <f t="shared" si="24"/>
        <v>0</v>
      </c>
      <c r="BL33" s="69">
        <f t="shared" ca="1" si="24"/>
        <v>0</v>
      </c>
      <c r="BM33" s="69">
        <f t="shared" ca="1" si="24"/>
        <v>0</v>
      </c>
      <c r="BN33" s="69">
        <f t="shared" ca="1" si="24"/>
        <v>0</v>
      </c>
      <c r="BO33" s="69">
        <f t="shared" si="24"/>
        <v>0</v>
      </c>
      <c r="BP33" s="69">
        <f t="shared" ca="1" si="25"/>
        <v>0</v>
      </c>
      <c r="BQ33" s="69">
        <f t="shared" ca="1" si="39"/>
        <v>0</v>
      </c>
      <c r="BR33" s="69">
        <f t="shared" ca="1" si="26"/>
        <v>0</v>
      </c>
      <c r="BS33" s="69">
        <f ca="1">$AO33*IF(Auswahllisten!$G$150,BS$25+BS$25*BS$13*$AN33,BS$25*(1+BS$13)^$AN33)</f>
        <v>0</v>
      </c>
      <c r="BT33" s="69">
        <f ca="1">$AO33*IF(Auswahllisten!$G$150,BT$25+BT$25*BT$13*$AN33,BT$25*(1+BT$13)^$AN33)</f>
        <v>0</v>
      </c>
      <c r="BU33" s="69">
        <f ca="1">$AO33*IF(Auswahllisten!$G$150,BU$25+BU$25*BU$13*$AN33,BU$25*(1+BU$13)^$AN33)</f>
        <v>0</v>
      </c>
      <c r="BV33" s="69">
        <f ca="1">$AO33*IF(Auswahllisten!$G$150,BV$25+BV$25*BV$13*$AN33,BV$25*(1+BV$13)^$AN33)</f>
        <v>0</v>
      </c>
      <c r="BW33" s="69">
        <f t="shared" ca="1" si="40"/>
        <v>0</v>
      </c>
      <c r="BX33" s="69">
        <f t="shared" ca="1" si="41"/>
        <v>0</v>
      </c>
      <c r="BY33" s="69">
        <f t="shared" ca="1" si="27"/>
        <v>0</v>
      </c>
      <c r="BZ33" s="69">
        <f t="shared" ca="1" si="28"/>
        <v>0</v>
      </c>
    </row>
    <row r="34" spans="1:78">
      <c r="A34" s="305" t="s">
        <v>1217</v>
      </c>
      <c r="B34" s="131" t="s">
        <v>1242</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IF($C$5=0,0,INDEX(Faktoren!E20:GQ20,1,VLOOKUP($F$5,$L$2:$O$14,4,FALSE)+$C$9*5+VLOOKUP(D34,Auswahllisten!$E$25:$F$29,2,FALSE)))</f>
        <v>0</v>
      </c>
      <c r="G34" s="26">
        <f t="shared" ref="G34:G39" ca="1" si="47">E34*F34</f>
        <v>0</v>
      </c>
      <c r="H34" s="26" cm="1">
        <f t="array" aca="1" ref="H34" ca="1">INDIRECT("Investition_gewählt!"&amp;$I$6&amp;AA34)</f>
        <v>2000</v>
      </c>
      <c r="I34" s="25" cm="1">
        <f t="array" aca="1" ref="I34" ca="1">IF($C$5=0,0,INDEX(Faktoren!E20:GQ20,1,VLOOKUP($F$6,$L$2:$O$14,4,FALSE)+$C$9*5+VLOOKUP(D34,Auswahllisten!$E$25:$F$29,2,FALSE)))</f>
        <v>0</v>
      </c>
      <c r="J34" s="16">
        <f t="shared" ref="J34:J39" ca="1" si="48">H34*I34</f>
        <v>0</v>
      </c>
      <c r="K34" s="16">
        <f t="shared" ca="1" si="42"/>
        <v>0</v>
      </c>
      <c r="L34" s="16" t="b">
        <f t="shared" ca="1" si="43"/>
        <v>0</v>
      </c>
      <c r="M34" s="26">
        <f t="shared" ca="1" si="11"/>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IF($U$5=0,0,INDEX(Faktoren!E20:GQ20,1,VLOOKUP($X$5,$L$2:$O$14,4,FALSE)+$U$9*5+VLOOKUP(O34,Auswahllisten!$E$25:$F$29,2,FALSE)))</f>
        <v>0</v>
      </c>
      <c r="R34" s="26">
        <f t="shared" ca="1" si="44"/>
        <v>0</v>
      </c>
      <c r="S34" s="26" cm="1">
        <f t="array" aca="1" ref="S34" ca="1">INDIRECT("Investition_gewählt!"&amp;$AA$6&amp;AA34)</f>
        <v>2000</v>
      </c>
      <c r="T34" s="16" cm="1">
        <f t="array" aca="1" ref="T34" ca="1">IF($U$5=0,0,INDEX(Faktoren!E20:QG20,1,VLOOKUP($X$6,$L$3:$O$14,4,FALSE)+$U$9*5+VLOOKUP(O34,Auswahllisten!$E$25:$F$29,2,FALSE)))</f>
        <v>0</v>
      </c>
      <c r="U34" s="26">
        <f t="shared" ca="1" si="45"/>
        <v>0</v>
      </c>
      <c r="V34" s="26">
        <f t="shared" ca="1" si="14"/>
        <v>0</v>
      </c>
      <c r="W34" s="25" t="b">
        <f t="shared" ref="W34:W39" ca="1" si="49">($U$5=$L$32)</f>
        <v>0</v>
      </c>
      <c r="X34" s="26">
        <f t="shared" ca="1" si="16"/>
        <v>0</v>
      </c>
      <c r="Z34" s="1">
        <v>35</v>
      </c>
      <c r="AA34" s="1">
        <v>20</v>
      </c>
      <c r="AB34" s="1">
        <v>-2</v>
      </c>
      <c r="AN34" s="1">
        <v>9</v>
      </c>
      <c r="AO34" s="1">
        <f t="shared" si="22"/>
        <v>1</v>
      </c>
      <c r="AP34" s="69">
        <f t="shared" ca="1" si="23"/>
        <v>0</v>
      </c>
      <c r="AQ34" s="69">
        <f t="shared" ca="1" si="23"/>
        <v>0</v>
      </c>
      <c r="AR34" s="69">
        <f t="shared" si="23"/>
        <v>0</v>
      </c>
      <c r="AS34" s="69">
        <f t="shared" ca="1" si="23"/>
        <v>0</v>
      </c>
      <c r="AT34" s="69">
        <f t="shared" ca="1" si="23"/>
        <v>0</v>
      </c>
      <c r="AU34" s="69">
        <f t="shared" ca="1" si="23"/>
        <v>0</v>
      </c>
      <c r="AV34" s="69">
        <f t="shared" si="23"/>
        <v>0</v>
      </c>
      <c r="AW34" s="69">
        <f t="shared" ca="1" si="32"/>
        <v>0</v>
      </c>
      <c r="AX34" s="69">
        <f t="shared" ca="1" si="33"/>
        <v>0</v>
      </c>
      <c r="AY34" s="69">
        <f t="shared" ca="1" si="34"/>
        <v>0</v>
      </c>
      <c r="AZ34" s="69">
        <f ca="1">$AO34*IF(Auswahllisten!$G$150,AZ$25+AZ$25*AZ$13*$AN34,AZ$25*(1+AZ$13)^$AN34)</f>
        <v>0</v>
      </c>
      <c r="BA34" s="69">
        <f ca="1">$AO34*IF(Auswahllisten!$G$150,BA$25+BA$25*BA$13*$AN34,BA$25*(1+BA$13)^$AN34)</f>
        <v>0</v>
      </c>
      <c r="BB34" s="69">
        <f ca="1">$AO34*IF(Auswahllisten!$G$150,BB$25+BB$25*BB$13*$AN34,BB$25*(1+BB$13)^$AN34)</f>
        <v>0</v>
      </c>
      <c r="BC34" s="69">
        <f ca="1">$AO34*IF(Auswahllisten!$G$150,BC$25+BC$25*BC$13*$AN34,BC$25*(1+BC$13)^$AN34)</f>
        <v>0</v>
      </c>
      <c r="BD34" s="69">
        <f t="shared" ca="1" si="35"/>
        <v>0</v>
      </c>
      <c r="BE34" s="69">
        <f t="shared" ca="1" si="36"/>
        <v>0</v>
      </c>
      <c r="BF34" s="69">
        <f t="shared" ca="1" si="37"/>
        <v>0</v>
      </c>
      <c r="BG34" s="69">
        <f t="shared" ca="1" si="38"/>
        <v>0</v>
      </c>
      <c r="BI34" s="69">
        <f t="shared" ca="1" si="24"/>
        <v>0</v>
      </c>
      <c r="BJ34" s="69">
        <f t="shared" ca="1" si="24"/>
        <v>0</v>
      </c>
      <c r="BK34" s="69">
        <f t="shared" si="24"/>
        <v>0</v>
      </c>
      <c r="BL34" s="69">
        <f t="shared" ca="1" si="24"/>
        <v>0</v>
      </c>
      <c r="BM34" s="69">
        <f t="shared" ca="1" si="24"/>
        <v>0</v>
      </c>
      <c r="BN34" s="69">
        <f t="shared" ca="1" si="24"/>
        <v>0</v>
      </c>
      <c r="BO34" s="69">
        <f t="shared" si="24"/>
        <v>0</v>
      </c>
      <c r="BP34" s="69">
        <f t="shared" ca="1" si="25"/>
        <v>0</v>
      </c>
      <c r="BQ34" s="69">
        <f t="shared" ca="1" si="39"/>
        <v>0</v>
      </c>
      <c r="BR34" s="69">
        <f t="shared" ca="1" si="26"/>
        <v>0</v>
      </c>
      <c r="BS34" s="69">
        <f ca="1">$AO34*IF(Auswahllisten!$G$150,BS$25+BS$25*BS$13*$AN34,BS$25*(1+BS$13)^$AN34)</f>
        <v>0</v>
      </c>
      <c r="BT34" s="69">
        <f ca="1">$AO34*IF(Auswahllisten!$G$150,BT$25+BT$25*BT$13*$AN34,BT$25*(1+BT$13)^$AN34)</f>
        <v>0</v>
      </c>
      <c r="BU34" s="69">
        <f ca="1">$AO34*IF(Auswahllisten!$G$150,BU$25+BU$25*BU$13*$AN34,BU$25*(1+BU$13)^$AN34)</f>
        <v>0</v>
      </c>
      <c r="BV34" s="69">
        <f ca="1">$AO34*IF(Auswahllisten!$G$150,BV$25+BV$25*BV$13*$AN34,BV$25*(1+BV$13)^$AN34)</f>
        <v>0</v>
      </c>
      <c r="BW34" s="69">
        <f t="shared" ca="1" si="40"/>
        <v>0</v>
      </c>
      <c r="BX34" s="69">
        <f t="shared" ca="1" si="41"/>
        <v>0</v>
      </c>
      <c r="BY34" s="69">
        <f t="shared" ca="1" si="27"/>
        <v>0</v>
      </c>
      <c r="BZ34" s="69">
        <f t="shared" ca="1" si="28"/>
        <v>0</v>
      </c>
    </row>
    <row r="35" spans="1:78">
      <c r="A35" s="305" t="s">
        <v>1215</v>
      </c>
      <c r="B35" s="126" t="s">
        <v>303</v>
      </c>
      <c r="C35" s="126" t="s">
        <v>992</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IF($C$5=0,0,INDEX(Faktoren!E21:GQ21,1,VLOOKUP($F$5,$L$2:$O$14,4,FALSE)+$C$9*5+VLOOKUP(D35,Auswahllisten!$E$25:$F$29,2,FALSE)))</f>
        <v>0</v>
      </c>
      <c r="G35" s="26">
        <f t="shared" ca="1" si="47"/>
        <v>0</v>
      </c>
      <c r="H35" s="26" cm="1">
        <f t="array" aca="1" ref="H35" ca="1">INDIRECT("Investition_gewählt!"&amp;$I$6&amp;AA35)</f>
        <v>12000</v>
      </c>
      <c r="I35" s="25" cm="1">
        <f t="array" aca="1" ref="I35" ca="1">IF($C$5=0,0,INDEX(Faktoren!E21:GQ21,1,VLOOKUP($F$6,$L$2:$O$14,4,FALSE)+$C$9*5+VLOOKUP(D35,Auswahllisten!$E$25:$F$29,2,FALSE)))</f>
        <v>0</v>
      </c>
      <c r="J35" s="16">
        <f t="shared" ca="1" si="48"/>
        <v>0</v>
      </c>
      <c r="K35" s="16">
        <f t="shared" ca="1" si="42"/>
        <v>0</v>
      </c>
      <c r="L35" s="16" t="b">
        <f t="shared" ca="1" si="43"/>
        <v>0</v>
      </c>
      <c r="M35" s="26">
        <f t="shared" ca="1" si="11"/>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IF($U$5=0,0,INDEX(Faktoren!E21:GQ21,1,VLOOKUP($X$5,$L$2:$O$14,4,FALSE)+$U$9*5+VLOOKUP(O35,Auswahllisten!$E$25:$F$29,2,FALSE)))</f>
        <v>0</v>
      </c>
      <c r="R35" s="26">
        <f t="shared" ca="1" si="44"/>
        <v>0</v>
      </c>
      <c r="S35" s="26" cm="1">
        <f t="array" aca="1" ref="S35" ca="1">INDIRECT("Investition_gewählt!"&amp;$AA$6&amp;AA35)</f>
        <v>12000</v>
      </c>
      <c r="T35" s="16" cm="1">
        <f t="array" aca="1" ref="T35" ca="1">IF($U$5=0,0,INDEX(Faktoren!E21:QG21,1,VLOOKUP($X$6,$L$3:$O$14,4,FALSE)+$U$9*5+VLOOKUP(O35,Auswahllisten!$E$25:$F$29,2,FALSE)))</f>
        <v>0</v>
      </c>
      <c r="U35" s="26">
        <f t="shared" ca="1" si="45"/>
        <v>0</v>
      </c>
      <c r="V35" s="26">
        <f t="shared" ca="1" si="14"/>
        <v>0</v>
      </c>
      <c r="W35" s="25" t="b">
        <f t="shared" ca="1" si="49"/>
        <v>0</v>
      </c>
      <c r="X35" s="26">
        <f t="shared" ca="1" si="16"/>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22"/>
        <v>1</v>
      </c>
      <c r="AP35" s="69">
        <f t="shared" ca="1" si="23"/>
        <v>0</v>
      </c>
      <c r="AQ35" s="69">
        <f t="shared" ca="1" si="23"/>
        <v>0</v>
      </c>
      <c r="AR35" s="69">
        <f t="shared" si="23"/>
        <v>0</v>
      </c>
      <c r="AS35" s="69">
        <f t="shared" ca="1" si="23"/>
        <v>0</v>
      </c>
      <c r="AT35" s="69">
        <f t="shared" ca="1" si="23"/>
        <v>0</v>
      </c>
      <c r="AU35" s="69">
        <f t="shared" ca="1" si="23"/>
        <v>0</v>
      </c>
      <c r="AV35" s="69">
        <f t="shared" si="23"/>
        <v>0</v>
      </c>
      <c r="AW35" s="69">
        <f t="shared" ca="1" si="32"/>
        <v>0</v>
      </c>
      <c r="AX35" s="69">
        <f t="shared" ca="1" si="33"/>
        <v>0</v>
      </c>
      <c r="AY35" s="69">
        <f t="shared" ca="1" si="34"/>
        <v>0</v>
      </c>
      <c r="AZ35" s="69">
        <f ca="1">$AO35*IF(Auswahllisten!$G$150,AZ$25+AZ$25*AZ$13*$AN35,AZ$25*(1+AZ$13)^$AN35)</f>
        <v>0</v>
      </c>
      <c r="BA35" s="69">
        <f ca="1">$AO35*IF(Auswahllisten!$G$150,BA$25+BA$25*BA$13*$AN35,BA$25*(1+BA$13)^$AN35)</f>
        <v>0</v>
      </c>
      <c r="BB35" s="69">
        <f ca="1">$AO35*IF(Auswahllisten!$G$150,BB$25+BB$25*BB$13*$AN35,BB$25*(1+BB$13)^$AN35)</f>
        <v>0</v>
      </c>
      <c r="BC35" s="69">
        <f ca="1">$AO35*IF(Auswahllisten!$G$150,BC$25+BC$25*BC$13*$AN35,BC$25*(1+BC$13)^$AN35)</f>
        <v>0</v>
      </c>
      <c r="BD35" s="69">
        <f t="shared" ca="1" si="35"/>
        <v>0</v>
      </c>
      <c r="BE35" s="69">
        <f t="shared" ca="1" si="36"/>
        <v>0</v>
      </c>
      <c r="BF35" s="69">
        <f t="shared" ca="1" si="37"/>
        <v>0</v>
      </c>
      <c r="BG35" s="69">
        <f t="shared" ca="1" si="38"/>
        <v>0</v>
      </c>
      <c r="BI35" s="69">
        <f t="shared" ca="1" si="24"/>
        <v>0</v>
      </c>
      <c r="BJ35" s="69">
        <f t="shared" ca="1" si="24"/>
        <v>0</v>
      </c>
      <c r="BK35" s="69">
        <f t="shared" si="24"/>
        <v>0</v>
      </c>
      <c r="BL35" s="69">
        <f t="shared" ca="1" si="24"/>
        <v>0</v>
      </c>
      <c r="BM35" s="69">
        <f t="shared" ca="1" si="24"/>
        <v>0</v>
      </c>
      <c r="BN35" s="69">
        <f t="shared" ca="1" si="24"/>
        <v>0</v>
      </c>
      <c r="BO35" s="69">
        <f t="shared" si="24"/>
        <v>0</v>
      </c>
      <c r="BP35" s="69">
        <f t="shared" ca="1" si="25"/>
        <v>0</v>
      </c>
      <c r="BQ35" s="69">
        <f t="shared" ca="1" si="39"/>
        <v>0</v>
      </c>
      <c r="BR35" s="69">
        <f t="shared" ca="1" si="26"/>
        <v>0</v>
      </c>
      <c r="BS35" s="69">
        <f ca="1">$AO35*IF(Auswahllisten!$G$150,BS$25+BS$25*BS$13*$AN35,BS$25*(1+BS$13)^$AN35)</f>
        <v>0</v>
      </c>
      <c r="BT35" s="69">
        <f ca="1">$AO35*IF(Auswahllisten!$G$150,BT$25+BT$25*BT$13*$AN35,BT$25*(1+BT$13)^$AN35)</f>
        <v>0</v>
      </c>
      <c r="BU35" s="69">
        <f ca="1">$AO35*IF(Auswahllisten!$G$150,BU$25+BU$25*BU$13*$AN35,BU$25*(1+BU$13)^$AN35)</f>
        <v>0</v>
      </c>
      <c r="BV35" s="69">
        <f ca="1">$AO35*IF(Auswahllisten!$G$150,BV$25+BV$25*BV$13*$AN35,BV$25*(1+BV$13)^$AN35)</f>
        <v>0</v>
      </c>
      <c r="BW35" s="69">
        <f t="shared" ca="1" si="40"/>
        <v>0</v>
      </c>
      <c r="BX35" s="69">
        <f t="shared" ca="1" si="41"/>
        <v>0</v>
      </c>
      <c r="BY35" s="69">
        <f t="shared" ca="1" si="27"/>
        <v>0</v>
      </c>
      <c r="BZ35" s="69">
        <f t="shared" ca="1" si="28"/>
        <v>0</v>
      </c>
    </row>
    <row r="36" spans="1:78">
      <c r="A36" s="305" t="s">
        <v>1215</v>
      </c>
      <c r="B36" s="126" t="s">
        <v>303</v>
      </c>
      <c r="C36" s="126" t="s">
        <v>965</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IF($C$5=0,0,INDEX(Faktoren!E22:GQ22,1,VLOOKUP($F$5,$L$2:$O$14,4,FALSE)+$C$9*5+VLOOKUP(D36,Auswahllisten!$E$25:$F$29,2,FALSE)))</f>
        <v>0</v>
      </c>
      <c r="G36" s="26">
        <f t="shared" ca="1" si="47"/>
        <v>0</v>
      </c>
      <c r="H36" s="26" cm="1">
        <f t="array" aca="1" ref="H36" ca="1">INDIRECT("Investition_gewählt!"&amp;$I$6&amp;AA36)</f>
        <v>4000</v>
      </c>
      <c r="I36" s="25" cm="1">
        <f t="array" aca="1" ref="I36" ca="1">IF($C$5=0,0,INDEX(Faktoren!E22:GQ22,1,VLOOKUP($F$6,$L$2:$O$14,4,FALSE)+$C$9*5+VLOOKUP(D36,Auswahllisten!$E$25:$F$29,2,FALSE)))</f>
        <v>0</v>
      </c>
      <c r="J36" s="16">
        <f t="shared" ca="1" si="48"/>
        <v>0</v>
      </c>
      <c r="K36" s="16">
        <f t="shared" ca="1" si="42"/>
        <v>0</v>
      </c>
      <c r="L36" s="16" t="b">
        <f t="shared" ca="1" si="43"/>
        <v>0</v>
      </c>
      <c r="M36" s="26">
        <f t="shared" ca="1" si="11"/>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IF($U$5=0,0,INDEX(Faktoren!E22:GQ22,1,VLOOKUP($X$5,$L$2:$O$14,4,FALSE)+$U$9*5+VLOOKUP(O36,Auswahllisten!$E$25:$F$29,2,FALSE)))</f>
        <v>0</v>
      </c>
      <c r="R36" s="26">
        <f t="shared" ca="1" si="44"/>
        <v>0</v>
      </c>
      <c r="S36" s="26" cm="1">
        <f t="array" aca="1" ref="S36" ca="1">INDIRECT("Investition_gewählt!"&amp;$AA$6&amp;AA36)</f>
        <v>4000</v>
      </c>
      <c r="T36" s="16" cm="1">
        <f t="array" aca="1" ref="T36" ca="1">IF($U$5=0,0,INDEX(Faktoren!E22:QG22,1,VLOOKUP($X$6,$L$3:$O$14,4,FALSE)+$U$9*5+VLOOKUP(O36,Auswahllisten!$E$25:$F$29,2,FALSE)))</f>
        <v>0</v>
      </c>
      <c r="U36" s="26">
        <f t="shared" ca="1" si="45"/>
        <v>0</v>
      </c>
      <c r="V36" s="26">
        <f t="shared" ca="1" si="14"/>
        <v>0</v>
      </c>
      <c r="W36" s="25" t="b">
        <f t="shared" ca="1" si="49"/>
        <v>0</v>
      </c>
      <c r="X36" s="26">
        <f t="shared" ca="1" si="16"/>
        <v>0</v>
      </c>
      <c r="Z36" s="1">
        <v>42</v>
      </c>
      <c r="AA36" s="1">
        <v>22</v>
      </c>
      <c r="AB36" s="1">
        <v>-2</v>
      </c>
      <c r="AC36" s="35"/>
      <c r="AD36" s="35"/>
      <c r="AE36" s="310" t="s">
        <v>1242</v>
      </c>
      <c r="AF36" s="26">
        <f ca="1">AF23</f>
        <v>0</v>
      </c>
      <c r="AG36" s="26"/>
      <c r="AH36" s="26">
        <f t="shared" ref="AH36" ca="1" si="50">AH23</f>
        <v>0</v>
      </c>
      <c r="AI36" s="26">
        <f ca="1">AI23</f>
        <v>0</v>
      </c>
      <c r="AJ36" s="26"/>
      <c r="AK36" s="26">
        <f t="shared" ref="AK36" ca="1" si="51">AK23</f>
        <v>0</v>
      </c>
      <c r="AN36" s="1">
        <v>11</v>
      </c>
      <c r="AO36" s="1">
        <f t="shared" si="22"/>
        <v>1</v>
      </c>
      <c r="AP36" s="69">
        <f t="shared" ca="1" si="23"/>
        <v>0</v>
      </c>
      <c r="AQ36" s="69">
        <f t="shared" ca="1" si="23"/>
        <v>0</v>
      </c>
      <c r="AR36" s="69">
        <f t="shared" si="23"/>
        <v>0</v>
      </c>
      <c r="AS36" s="69">
        <f t="shared" ca="1" si="23"/>
        <v>0</v>
      </c>
      <c r="AT36" s="69">
        <f t="shared" ca="1" si="23"/>
        <v>0</v>
      </c>
      <c r="AU36" s="69">
        <f t="shared" ca="1" si="23"/>
        <v>0</v>
      </c>
      <c r="AV36" s="69">
        <f t="shared" si="23"/>
        <v>0</v>
      </c>
      <c r="AW36" s="69">
        <f t="shared" ca="1" si="32"/>
        <v>0</v>
      </c>
      <c r="AX36" s="69">
        <f t="shared" ca="1" si="33"/>
        <v>0</v>
      </c>
      <c r="AY36" s="69">
        <f t="shared" ca="1" si="34"/>
        <v>0</v>
      </c>
      <c r="AZ36" s="69">
        <f ca="1">$AO36*IF(Auswahllisten!$G$150,AZ$25+AZ$25*AZ$13*$AN36,AZ$25*(1+AZ$13)^$AN36)</f>
        <v>0</v>
      </c>
      <c r="BA36" s="69">
        <f ca="1">$AO36*IF(Auswahllisten!$G$150,BA$25+BA$25*BA$13*$AN36,BA$25*(1+BA$13)^$AN36)</f>
        <v>0</v>
      </c>
      <c r="BB36" s="69">
        <f ca="1">$AO36*IF(Auswahllisten!$G$150,BB$25+BB$25*BB$13*$AN36,BB$25*(1+BB$13)^$AN36)</f>
        <v>0</v>
      </c>
      <c r="BC36" s="69">
        <f ca="1">$AO36*IF(Auswahllisten!$G$150,BC$25+BC$25*BC$13*$AN36,BC$25*(1+BC$13)^$AN36)</f>
        <v>0</v>
      </c>
      <c r="BD36" s="69">
        <f t="shared" ca="1" si="35"/>
        <v>0</v>
      </c>
      <c r="BE36" s="69">
        <f t="shared" ca="1" si="36"/>
        <v>0</v>
      </c>
      <c r="BF36" s="69">
        <f t="shared" ca="1" si="37"/>
        <v>0</v>
      </c>
      <c r="BG36" s="69">
        <f t="shared" ca="1" si="38"/>
        <v>0</v>
      </c>
      <c r="BI36" s="69">
        <f t="shared" ca="1" si="24"/>
        <v>0</v>
      </c>
      <c r="BJ36" s="69">
        <f t="shared" ca="1" si="24"/>
        <v>0</v>
      </c>
      <c r="BK36" s="69">
        <f t="shared" si="24"/>
        <v>0</v>
      </c>
      <c r="BL36" s="69">
        <f t="shared" ca="1" si="24"/>
        <v>0</v>
      </c>
      <c r="BM36" s="69">
        <f t="shared" ca="1" si="24"/>
        <v>0</v>
      </c>
      <c r="BN36" s="69">
        <f t="shared" ca="1" si="24"/>
        <v>0</v>
      </c>
      <c r="BO36" s="69">
        <f t="shared" si="24"/>
        <v>0</v>
      </c>
      <c r="BP36" s="69">
        <f t="shared" ca="1" si="25"/>
        <v>0</v>
      </c>
      <c r="BQ36" s="69">
        <f t="shared" ca="1" si="39"/>
        <v>0</v>
      </c>
      <c r="BR36" s="69">
        <f t="shared" ca="1" si="26"/>
        <v>0</v>
      </c>
      <c r="BS36" s="69">
        <f ca="1">$AO36*IF(Auswahllisten!$G$150,BS$25+BS$25*BS$13*$AN36,BS$25*(1+BS$13)^$AN36)</f>
        <v>0</v>
      </c>
      <c r="BT36" s="69">
        <f ca="1">$AO36*IF(Auswahllisten!$G$150,BT$25+BT$25*BT$13*$AN36,BT$25*(1+BT$13)^$AN36)</f>
        <v>0</v>
      </c>
      <c r="BU36" s="69">
        <f ca="1">$AO36*IF(Auswahllisten!$G$150,BU$25+BU$25*BU$13*$AN36,BU$25*(1+BU$13)^$AN36)</f>
        <v>0</v>
      </c>
      <c r="BV36" s="69">
        <f ca="1">$AO36*IF(Auswahllisten!$G$150,BV$25+BV$25*BV$13*$AN36,BV$25*(1+BV$13)^$AN36)</f>
        <v>0</v>
      </c>
      <c r="BW36" s="69">
        <f t="shared" ca="1" si="40"/>
        <v>0</v>
      </c>
      <c r="BX36" s="69">
        <f t="shared" ca="1" si="41"/>
        <v>0</v>
      </c>
      <c r="BY36" s="69">
        <f t="shared" ca="1" si="27"/>
        <v>0</v>
      </c>
      <c r="BZ36" s="69">
        <f t="shared" ca="1" si="28"/>
        <v>0</v>
      </c>
    </row>
    <row r="37" spans="1:78">
      <c r="A37" s="305" t="s">
        <v>1218</v>
      </c>
      <c r="B37" s="126" t="s">
        <v>1243</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IF($C$5=0,0,INDEX(Faktoren!E23:GQ23,1,VLOOKUP($F$5,$L$2:$O$14,4,FALSE)+$C$9*5+VLOOKUP(D37,Auswahllisten!$E$25:$F$29,2,FALSE)))</f>
        <v>0</v>
      </c>
      <c r="G37" s="26">
        <f t="shared" ca="1" si="47"/>
        <v>0</v>
      </c>
      <c r="H37" s="26" cm="1">
        <f t="array" aca="1" ref="H37" ca="1">INDIRECT("Investition_gewählt!"&amp;$I$6&amp;AA37)</f>
        <v>1500</v>
      </c>
      <c r="I37" s="25" cm="1">
        <f t="array" aca="1" ref="I37" ca="1">IF($C$5=0,0,INDEX(Faktoren!E23:GQ23,1,VLOOKUP($F$6,$L$2:$O$14,4,FALSE)+$C$9*5+VLOOKUP(D37,Auswahllisten!$E$25:$F$29,2,FALSE)))</f>
        <v>0</v>
      </c>
      <c r="J37" s="16">
        <f t="shared" ca="1" si="48"/>
        <v>0</v>
      </c>
      <c r="K37" s="16">
        <f t="shared" ca="1" si="42"/>
        <v>0</v>
      </c>
      <c r="L37" s="16" t="b">
        <f t="shared" ca="1" si="43"/>
        <v>0</v>
      </c>
      <c r="M37" s="26">
        <f t="shared" ca="1" si="11"/>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IF($U$5=0,0,INDEX(Faktoren!E23:GQ23,1,VLOOKUP($X$5,$L$2:$O$14,4,FALSE)+$U$9*5+VLOOKUP(O37,Auswahllisten!$E$25:$F$29,2,FALSE)))</f>
        <v>0</v>
      </c>
      <c r="R37" s="26">
        <f t="shared" ca="1" si="44"/>
        <v>0</v>
      </c>
      <c r="S37" s="26" cm="1">
        <f t="array" aca="1" ref="S37" ca="1">INDIRECT("Investition_gewählt!"&amp;$AA$6&amp;AA37)</f>
        <v>1500</v>
      </c>
      <c r="T37" s="16" cm="1">
        <f t="array" aca="1" ref="T37" ca="1">IF($U$5=0,0,INDEX(Faktoren!E23:QG23,1,VLOOKUP($X$6,$L$3:$O$14,4,FALSE)+$U$9*5+VLOOKUP(O37,Auswahllisten!$E$25:$F$29,2,FALSE)))</f>
        <v>0</v>
      </c>
      <c r="U37" s="26">
        <f t="shared" ca="1" si="45"/>
        <v>0</v>
      </c>
      <c r="V37" s="26">
        <f t="shared" ca="1" si="14"/>
        <v>0</v>
      </c>
      <c r="W37" s="25" t="b">
        <f t="shared" ca="1" si="49"/>
        <v>0</v>
      </c>
      <c r="X37" s="26">
        <f t="shared" ca="1" si="16"/>
        <v>0</v>
      </c>
      <c r="Z37" s="1">
        <v>41</v>
      </c>
      <c r="AA37" s="1">
        <v>23</v>
      </c>
      <c r="AB37" s="1">
        <v>-2</v>
      </c>
      <c r="AC37" s="35"/>
      <c r="AD37" s="35"/>
      <c r="AE37" s="83" t="s">
        <v>1257</v>
      </c>
      <c r="AF37" s="26">
        <f ca="1">AF25-AG25</f>
        <v>0</v>
      </c>
      <c r="AG37" s="26"/>
      <c r="AH37" s="26">
        <f ca="1">AH25</f>
        <v>0</v>
      </c>
      <c r="AI37" s="26">
        <f>AI25-AJ25</f>
        <v>0</v>
      </c>
      <c r="AJ37" s="26"/>
      <c r="AK37" s="26">
        <f>AK25</f>
        <v>0</v>
      </c>
      <c r="AN37" s="1">
        <v>12</v>
      </c>
      <c r="AO37" s="1">
        <f t="shared" si="22"/>
        <v>1</v>
      </c>
      <c r="AP37" s="69">
        <f t="shared" ca="1" si="23"/>
        <v>0</v>
      </c>
      <c r="AQ37" s="69">
        <f t="shared" ca="1" si="23"/>
        <v>0</v>
      </c>
      <c r="AR37" s="69">
        <f t="shared" si="23"/>
        <v>0</v>
      </c>
      <c r="AS37" s="69">
        <f t="shared" ca="1" si="23"/>
        <v>0</v>
      </c>
      <c r="AT37" s="69">
        <f t="shared" ca="1" si="23"/>
        <v>0</v>
      </c>
      <c r="AU37" s="69">
        <f t="shared" ca="1" si="23"/>
        <v>0</v>
      </c>
      <c r="AV37" s="69">
        <f t="shared" si="23"/>
        <v>0</v>
      </c>
      <c r="AW37" s="69">
        <f t="shared" ca="1" si="32"/>
        <v>0</v>
      </c>
      <c r="AX37" s="69">
        <f t="shared" ca="1" si="33"/>
        <v>0</v>
      </c>
      <c r="AY37" s="69">
        <f t="shared" ca="1" si="34"/>
        <v>0</v>
      </c>
      <c r="AZ37" s="69">
        <f ca="1">$AO37*IF(Auswahllisten!$G$150,AZ$25+AZ$25*AZ$13*$AN37,AZ$25*(1+AZ$13)^$AN37)</f>
        <v>0</v>
      </c>
      <c r="BA37" s="69">
        <f ca="1">$AO37*IF(Auswahllisten!$G$150,BA$25+BA$25*BA$13*$AN37,BA$25*(1+BA$13)^$AN37)</f>
        <v>0</v>
      </c>
      <c r="BB37" s="69">
        <f ca="1">$AO37*IF(Auswahllisten!$G$150,BB$25+BB$25*BB$13*$AN37,BB$25*(1+BB$13)^$AN37)</f>
        <v>0</v>
      </c>
      <c r="BC37" s="69">
        <f ca="1">$AO37*IF(Auswahllisten!$G$150,BC$25+BC$25*BC$13*$AN37,BC$25*(1+BC$13)^$AN37)</f>
        <v>0</v>
      </c>
      <c r="BD37" s="69">
        <f t="shared" ca="1" si="35"/>
        <v>0</v>
      </c>
      <c r="BE37" s="69">
        <f t="shared" ca="1" si="36"/>
        <v>0</v>
      </c>
      <c r="BF37" s="69">
        <f t="shared" ca="1" si="37"/>
        <v>0</v>
      </c>
      <c r="BG37" s="69">
        <f t="shared" ca="1" si="38"/>
        <v>0</v>
      </c>
      <c r="BI37" s="69">
        <f t="shared" ca="1" si="24"/>
        <v>0</v>
      </c>
      <c r="BJ37" s="69">
        <f t="shared" ca="1" si="24"/>
        <v>0</v>
      </c>
      <c r="BK37" s="69">
        <f t="shared" si="24"/>
        <v>0</v>
      </c>
      <c r="BL37" s="69">
        <f t="shared" ca="1" si="24"/>
        <v>0</v>
      </c>
      <c r="BM37" s="69">
        <f t="shared" ca="1" si="24"/>
        <v>0</v>
      </c>
      <c r="BN37" s="69">
        <f t="shared" ca="1" si="24"/>
        <v>0</v>
      </c>
      <c r="BO37" s="69">
        <f t="shared" si="24"/>
        <v>0</v>
      </c>
      <c r="BP37" s="69">
        <f t="shared" ca="1" si="25"/>
        <v>0</v>
      </c>
      <c r="BQ37" s="69">
        <f t="shared" ca="1" si="39"/>
        <v>0</v>
      </c>
      <c r="BR37" s="69">
        <f t="shared" ca="1" si="26"/>
        <v>0</v>
      </c>
      <c r="BS37" s="69">
        <f ca="1">$AO37*IF(Auswahllisten!$G$150,BS$25+BS$25*BS$13*$AN37,BS$25*(1+BS$13)^$AN37)</f>
        <v>0</v>
      </c>
      <c r="BT37" s="69">
        <f ca="1">$AO37*IF(Auswahllisten!$G$150,BT$25+BT$25*BT$13*$AN37,BT$25*(1+BT$13)^$AN37)</f>
        <v>0</v>
      </c>
      <c r="BU37" s="69">
        <f ca="1">$AO37*IF(Auswahllisten!$G$150,BU$25+BU$25*BU$13*$AN37,BU$25*(1+BU$13)^$AN37)</f>
        <v>0</v>
      </c>
      <c r="BV37" s="69">
        <f ca="1">$AO37*IF(Auswahllisten!$G$150,BV$25+BV$25*BV$13*$AN37,BV$25*(1+BV$13)^$AN37)</f>
        <v>0</v>
      </c>
      <c r="BW37" s="69">
        <f t="shared" ca="1" si="40"/>
        <v>0</v>
      </c>
      <c r="BX37" s="69">
        <f t="shared" ca="1" si="41"/>
        <v>0</v>
      </c>
      <c r="BY37" s="69">
        <f t="shared" ca="1" si="27"/>
        <v>0</v>
      </c>
      <c r="BZ37" s="69">
        <f t="shared" ca="1" si="28"/>
        <v>0</v>
      </c>
    </row>
    <row r="38" spans="1:78">
      <c r="A38" s="305" t="s">
        <v>1215</v>
      </c>
      <c r="B38" s="126" t="s">
        <v>303</v>
      </c>
      <c r="C38" s="126" t="s">
        <v>966</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IF($C$5=0,0,INDEX(Faktoren!E24:GQ24,1,VLOOKUP($F$5,$L$2:$O$14,4,FALSE)+$C$9*5+VLOOKUP(D38,Auswahllisten!$E$25:$F$29,2,FALSE)))</f>
        <v>0</v>
      </c>
      <c r="G38" s="26">
        <f t="shared" ca="1" si="47"/>
        <v>0</v>
      </c>
      <c r="H38" s="26" cm="1">
        <f t="array" aca="1" ref="H38" ca="1">INDIRECT("Investition_gewählt!"&amp;$I$6&amp;AA38)</f>
        <v>8500</v>
      </c>
      <c r="I38" s="25" cm="1">
        <f t="array" aca="1" ref="I38" ca="1">IF($C$5=0,0,INDEX(Faktoren!E24:GQ24,1,VLOOKUP($F$6,$L$2:$O$14,4,FALSE)+$C$9*5+VLOOKUP(D38,Auswahllisten!$E$25:$F$29,2,FALSE)))</f>
        <v>0</v>
      </c>
      <c r="J38" s="16">
        <f t="shared" ca="1" si="48"/>
        <v>0</v>
      </c>
      <c r="K38" s="16">
        <f t="shared" ca="1" si="42"/>
        <v>0</v>
      </c>
      <c r="L38" s="16" t="b">
        <f t="shared" ca="1" si="43"/>
        <v>0</v>
      </c>
      <c r="M38" s="26">
        <f t="shared" ca="1" si="11"/>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IF($U$5=0,0,INDEX(Faktoren!E24:GQ24,1,VLOOKUP($X$5,$L$2:$O$14,4,FALSE)+$U$9*5+VLOOKUP(O38,Auswahllisten!$E$25:$F$29,2,FALSE)))</f>
        <v>0</v>
      </c>
      <c r="R38" s="26">
        <f t="shared" ca="1" si="44"/>
        <v>0</v>
      </c>
      <c r="S38" s="26" cm="1">
        <f t="array" aca="1" ref="S38" ca="1">INDIRECT("Investition_gewählt!"&amp;$AA$6&amp;AA38)</f>
        <v>8500</v>
      </c>
      <c r="T38" s="16" cm="1">
        <f t="array" aca="1" ref="T38" ca="1">IF($U$5=0,0,INDEX(Faktoren!E24:QG24,1,VLOOKUP($X$6,$L$3:$O$14,4,FALSE)+$U$9*5+VLOOKUP(O38,Auswahllisten!$E$25:$F$29,2,FALSE)))</f>
        <v>0</v>
      </c>
      <c r="U38" s="26">
        <f t="shared" ca="1" si="45"/>
        <v>0</v>
      </c>
      <c r="V38" s="26">
        <f t="shared" ca="1" si="14"/>
        <v>0</v>
      </c>
      <c r="W38" s="25" t="b">
        <f t="shared" ca="1" si="49"/>
        <v>0</v>
      </c>
      <c r="X38" s="26">
        <f t="shared" ca="1" si="16"/>
        <v>0</v>
      </c>
      <c r="Z38" s="1">
        <v>47</v>
      </c>
      <c r="AA38" s="1">
        <v>24</v>
      </c>
      <c r="AB38" s="1">
        <v>-2</v>
      </c>
      <c r="AC38" s="35"/>
      <c r="AD38" s="35"/>
      <c r="AE38" s="83" t="s">
        <v>186</v>
      </c>
      <c r="AF38" s="26">
        <f ca="1">AF26</f>
        <v>0</v>
      </c>
      <c r="AG38" s="26"/>
      <c r="AH38" s="26">
        <f t="shared" ref="AH38" ca="1" si="52">AH26</f>
        <v>0</v>
      </c>
      <c r="AI38" s="26">
        <f ca="1">AI26</f>
        <v>0</v>
      </c>
      <c r="AJ38" s="26"/>
      <c r="AK38" s="26">
        <f t="shared" ref="AK38" ca="1" si="53">AK26</f>
        <v>0</v>
      </c>
      <c r="AN38" s="1">
        <v>13</v>
      </c>
      <c r="AO38" s="1">
        <f t="shared" si="22"/>
        <v>1</v>
      </c>
      <c r="AP38" s="69">
        <f t="shared" ca="1" si="23"/>
        <v>0</v>
      </c>
      <c r="AQ38" s="69">
        <f t="shared" ca="1" si="23"/>
        <v>0</v>
      </c>
      <c r="AR38" s="69">
        <f t="shared" si="23"/>
        <v>0</v>
      </c>
      <c r="AS38" s="69">
        <f t="shared" ca="1" si="23"/>
        <v>0</v>
      </c>
      <c r="AT38" s="69">
        <f t="shared" ca="1" si="23"/>
        <v>0</v>
      </c>
      <c r="AU38" s="69">
        <f t="shared" ca="1" si="23"/>
        <v>0</v>
      </c>
      <c r="AV38" s="69">
        <f t="shared" si="23"/>
        <v>0</v>
      </c>
      <c r="AW38" s="69">
        <f t="shared" ca="1" si="32"/>
        <v>0</v>
      </c>
      <c r="AX38" s="69">
        <f t="shared" ca="1" si="33"/>
        <v>0</v>
      </c>
      <c r="AY38" s="69">
        <f t="shared" ca="1" si="34"/>
        <v>0</v>
      </c>
      <c r="AZ38" s="69">
        <f ca="1">$AO38*IF(Auswahllisten!$G$150,AZ$25+AZ$25*AZ$13*$AN38,AZ$25*(1+AZ$13)^$AN38)</f>
        <v>0</v>
      </c>
      <c r="BA38" s="69">
        <f ca="1">$AO38*IF(Auswahllisten!$G$150,BA$25+BA$25*BA$13*$AN38,BA$25*(1+BA$13)^$AN38)</f>
        <v>0</v>
      </c>
      <c r="BB38" s="69">
        <f ca="1">$AO38*IF(Auswahllisten!$G$150,BB$25+BB$25*BB$13*$AN38,BB$25*(1+BB$13)^$AN38)</f>
        <v>0</v>
      </c>
      <c r="BC38" s="69">
        <f ca="1">$AO38*IF(Auswahllisten!$G$150,BC$25+BC$25*BC$13*$AN38,BC$25*(1+BC$13)^$AN38)</f>
        <v>0</v>
      </c>
      <c r="BD38" s="69">
        <f t="shared" ca="1" si="35"/>
        <v>0</v>
      </c>
      <c r="BE38" s="69">
        <f t="shared" ca="1" si="36"/>
        <v>0</v>
      </c>
      <c r="BF38" s="69">
        <f t="shared" ca="1" si="37"/>
        <v>0</v>
      </c>
      <c r="BG38" s="69">
        <f t="shared" ca="1" si="38"/>
        <v>0</v>
      </c>
      <c r="BI38" s="69">
        <f t="shared" ca="1" si="24"/>
        <v>0</v>
      </c>
      <c r="BJ38" s="69">
        <f t="shared" ca="1" si="24"/>
        <v>0</v>
      </c>
      <c r="BK38" s="69">
        <f t="shared" si="24"/>
        <v>0</v>
      </c>
      <c r="BL38" s="69">
        <f t="shared" ca="1" si="24"/>
        <v>0</v>
      </c>
      <c r="BM38" s="69">
        <f t="shared" ca="1" si="24"/>
        <v>0</v>
      </c>
      <c r="BN38" s="69">
        <f t="shared" ca="1" si="24"/>
        <v>0</v>
      </c>
      <c r="BO38" s="69">
        <f t="shared" si="24"/>
        <v>0</v>
      </c>
      <c r="BP38" s="69">
        <f t="shared" ca="1" si="25"/>
        <v>0</v>
      </c>
      <c r="BQ38" s="69">
        <f t="shared" ca="1" si="39"/>
        <v>0</v>
      </c>
      <c r="BR38" s="69">
        <f t="shared" ca="1" si="26"/>
        <v>0</v>
      </c>
      <c r="BS38" s="69">
        <f ca="1">$AO38*IF(Auswahllisten!$G$150,BS$25+BS$25*BS$13*$AN38,BS$25*(1+BS$13)^$AN38)</f>
        <v>0</v>
      </c>
      <c r="BT38" s="69">
        <f ca="1">$AO38*IF(Auswahllisten!$G$150,BT$25+BT$25*BT$13*$AN38,BT$25*(1+BT$13)^$AN38)</f>
        <v>0</v>
      </c>
      <c r="BU38" s="69">
        <f ca="1">$AO38*IF(Auswahllisten!$G$150,BU$25+BU$25*BU$13*$AN38,BU$25*(1+BU$13)^$AN38)</f>
        <v>0</v>
      </c>
      <c r="BV38" s="69">
        <f ca="1">$AO38*IF(Auswahllisten!$G$150,BV$25+BV$25*BV$13*$AN38,BV$25*(1+BV$13)^$AN38)</f>
        <v>0</v>
      </c>
      <c r="BW38" s="69">
        <f t="shared" ca="1" si="40"/>
        <v>0</v>
      </c>
      <c r="BX38" s="69">
        <f t="shared" ca="1" si="41"/>
        <v>0</v>
      </c>
      <c r="BY38" s="69">
        <f t="shared" ca="1" si="27"/>
        <v>0</v>
      </c>
      <c r="BZ38" s="69">
        <f t="shared" ca="1" si="28"/>
        <v>0</v>
      </c>
    </row>
    <row r="39" spans="1:78">
      <c r="A39" s="306" t="s">
        <v>1256</v>
      </c>
      <c r="B39" s="297" t="s">
        <v>303</v>
      </c>
      <c r="C39" s="134" t="s">
        <v>186</v>
      </c>
      <c r="D39" s="163" t="str" cm="1">
        <f t="array" aca="1" ref="D39" ca="1">INDIRECT("Vergleich!"&amp;$G$2&amp;Z39)</f>
        <v>mittel</v>
      </c>
      <c r="E39" s="163" cm="1">
        <f t="array" aca="1" ref="E39" ca="1">INDIRECT("Investition_gewählt!"&amp;$I$5&amp;AA39)</f>
        <v>4000</v>
      </c>
      <c r="F39" s="61" cm="1">
        <f t="array" aca="1" ref="F39" ca="1">IF($C$5=0,0,INDEX(Faktoren!E25:GQ25,1,VLOOKUP($F$5,$L$2:$O$14,4,FALSE)+$C$9*5+VLOOKUP(D39,Auswahllisten!$E$25:$F$29,2,FALSE)))</f>
        <v>0</v>
      </c>
      <c r="G39" s="296">
        <f t="shared" ca="1" si="47"/>
        <v>0</v>
      </c>
      <c r="H39" s="296" cm="1">
        <f t="array" aca="1" ref="H39" ca="1">INDIRECT("Investition_gewählt!"&amp;$I$6&amp;AA39)</f>
        <v>4000</v>
      </c>
      <c r="I39" s="61" cm="1">
        <f t="array" aca="1" ref="I39" ca="1">IF($C$5=0,0,INDEX(Faktoren!E25:GQ25,1,VLOOKUP($F$6,$L$2:$O$14,4,FALSE)+$C$9*5+VLOOKUP(D39,Auswahllisten!$E$25:$F$29,2,FALSE)))</f>
        <v>0</v>
      </c>
      <c r="J39" s="93">
        <f t="shared" ca="1" si="48"/>
        <v>0</v>
      </c>
      <c r="K39" s="93">
        <f t="shared" ca="1" si="42"/>
        <v>0</v>
      </c>
      <c r="L39" s="93" t="b">
        <f t="shared" ca="1" si="43"/>
        <v>0</v>
      </c>
      <c r="M39" s="163">
        <f t="shared" ca="1" si="11"/>
        <v>0</v>
      </c>
      <c r="O39" s="93" t="str" cm="1">
        <f t="array" aca="1" ref="O39" ca="1">INDIRECT("Vergleich!"&amp;$Y$2&amp;Z39)</f>
        <v>gering</v>
      </c>
      <c r="P39" s="163" cm="1">
        <f t="array" aca="1" ref="P39" ca="1">INDIRECT("Investition_gewählt!"&amp;$AA$5&amp;AA39)</f>
        <v>4000</v>
      </c>
      <c r="Q39" s="93" cm="1">
        <f t="array" aca="1" ref="Q39" ca="1">IF($U$5=0,0,INDEX(Faktoren!E25:GQ25,1,VLOOKUP($X$5,$L$2:$O$14,4,FALSE)+$U$9*5+VLOOKUP(O39,Auswahllisten!$E$25:$F$29,2,FALSE)))</f>
        <v>0</v>
      </c>
      <c r="R39" s="163">
        <f t="shared" ca="1" si="44"/>
        <v>0</v>
      </c>
      <c r="S39" s="163" cm="1">
        <f t="array" aca="1" ref="S39" ca="1">INDIRECT("Investition_gewählt!"&amp;$AA$6&amp;AA39)</f>
        <v>4000</v>
      </c>
      <c r="T39" s="93" cm="1">
        <f t="array" aca="1" ref="T39" ca="1">IF($U$5=0,0,INDEX(Faktoren!E25:QG25,1,VLOOKUP($X$6,$L$3:$O$14,4,FALSE)+$U$9*5+VLOOKUP(O39,Auswahllisten!$E$25:$F$29,2,FALSE)))</f>
        <v>0</v>
      </c>
      <c r="U39" s="163">
        <f t="shared" ca="1" si="45"/>
        <v>0</v>
      </c>
      <c r="V39" s="163">
        <f t="shared" ca="1" si="14"/>
        <v>0</v>
      </c>
      <c r="W39" s="61" t="b">
        <f t="shared" ca="1" si="49"/>
        <v>0</v>
      </c>
      <c r="X39" s="163">
        <f t="shared" ca="1" si="16"/>
        <v>0</v>
      </c>
      <c r="Z39" s="1">
        <v>48</v>
      </c>
      <c r="AA39" s="1">
        <v>25</v>
      </c>
      <c r="AB39" s="1">
        <v>-2</v>
      </c>
      <c r="AC39" s="35"/>
      <c r="AD39" s="35"/>
      <c r="AE39" s="83" t="s">
        <v>1012</v>
      </c>
      <c r="AF39" s="26">
        <f ca="1">AF28</f>
        <v>0</v>
      </c>
      <c r="AG39" s="26"/>
      <c r="AH39" s="26">
        <f t="shared" ref="AH39:AH40" ca="1" si="54">AH28</f>
        <v>0</v>
      </c>
      <c r="AI39" s="26">
        <f>AI28</f>
        <v>0</v>
      </c>
      <c r="AJ39" s="26"/>
      <c r="AK39" s="26">
        <f t="shared" ref="AK39:AK40" si="55">AK28</f>
        <v>0</v>
      </c>
      <c r="AN39" s="1">
        <v>14</v>
      </c>
      <c r="AO39" s="1">
        <f t="shared" si="22"/>
        <v>1</v>
      </c>
      <c r="AP39" s="69">
        <f t="shared" ca="1" si="23"/>
        <v>0</v>
      </c>
      <c r="AQ39" s="69">
        <f t="shared" ca="1" si="23"/>
        <v>0</v>
      </c>
      <c r="AR39" s="69">
        <f t="shared" si="23"/>
        <v>0</v>
      </c>
      <c r="AS39" s="69">
        <f t="shared" ca="1" si="23"/>
        <v>0</v>
      </c>
      <c r="AT39" s="69">
        <f t="shared" ca="1" si="23"/>
        <v>0</v>
      </c>
      <c r="AU39" s="69">
        <f t="shared" ca="1" si="23"/>
        <v>0</v>
      </c>
      <c r="AV39" s="69">
        <f t="shared" si="23"/>
        <v>0</v>
      </c>
      <c r="AW39" s="69">
        <f t="shared" ca="1" si="32"/>
        <v>0</v>
      </c>
      <c r="AX39" s="69">
        <f t="shared" ca="1" si="33"/>
        <v>0</v>
      </c>
      <c r="AY39" s="69">
        <f t="shared" ca="1" si="34"/>
        <v>0</v>
      </c>
      <c r="AZ39" s="69">
        <f ca="1">$AO39*IF(Auswahllisten!$G$150,AZ$25+AZ$25*AZ$13*$AN39,AZ$25*(1+AZ$13)^$AN39)</f>
        <v>0</v>
      </c>
      <c r="BA39" s="69">
        <f ca="1">$AO39*IF(Auswahllisten!$G$150,BA$25+BA$25*BA$13*$AN39,BA$25*(1+BA$13)^$AN39)</f>
        <v>0</v>
      </c>
      <c r="BB39" s="69">
        <f ca="1">$AO39*IF(Auswahllisten!$G$150,BB$25+BB$25*BB$13*$AN39,BB$25*(1+BB$13)^$AN39)</f>
        <v>0</v>
      </c>
      <c r="BC39" s="69">
        <f ca="1">$AO39*IF(Auswahllisten!$G$150,BC$25+BC$25*BC$13*$AN39,BC$25*(1+BC$13)^$AN39)</f>
        <v>0</v>
      </c>
      <c r="BD39" s="69">
        <f t="shared" ca="1" si="35"/>
        <v>0</v>
      </c>
      <c r="BE39" s="69">
        <f t="shared" ca="1" si="36"/>
        <v>0</v>
      </c>
      <c r="BF39" s="69">
        <f t="shared" ca="1" si="37"/>
        <v>0</v>
      </c>
      <c r="BG39" s="69">
        <f t="shared" ca="1" si="38"/>
        <v>0</v>
      </c>
      <c r="BI39" s="69">
        <f t="shared" ca="1" si="24"/>
        <v>0</v>
      </c>
      <c r="BJ39" s="69">
        <f t="shared" ca="1" si="24"/>
        <v>0</v>
      </c>
      <c r="BK39" s="69">
        <f t="shared" si="24"/>
        <v>0</v>
      </c>
      <c r="BL39" s="69">
        <f t="shared" ca="1" si="24"/>
        <v>0</v>
      </c>
      <c r="BM39" s="69">
        <f t="shared" ca="1" si="24"/>
        <v>0</v>
      </c>
      <c r="BN39" s="69">
        <f t="shared" ca="1" si="24"/>
        <v>0</v>
      </c>
      <c r="BO39" s="69">
        <f t="shared" si="24"/>
        <v>0</v>
      </c>
      <c r="BP39" s="69">
        <f t="shared" ca="1" si="25"/>
        <v>0</v>
      </c>
      <c r="BQ39" s="69">
        <f t="shared" ca="1" si="39"/>
        <v>0</v>
      </c>
      <c r="BR39" s="69">
        <f t="shared" ca="1" si="26"/>
        <v>0</v>
      </c>
      <c r="BS39" s="69">
        <f ca="1">$AO39*IF(Auswahllisten!$G$150,BS$25+BS$25*BS$13*$AN39,BS$25*(1+BS$13)^$AN39)</f>
        <v>0</v>
      </c>
      <c r="BT39" s="69">
        <f ca="1">$AO39*IF(Auswahllisten!$G$150,BT$25+BT$25*BT$13*$AN39,BT$25*(1+BT$13)^$AN39)</f>
        <v>0</v>
      </c>
      <c r="BU39" s="69">
        <f ca="1">$AO39*IF(Auswahllisten!$G$150,BU$25+BU$25*BU$13*$AN39,BU$25*(1+BU$13)^$AN39)</f>
        <v>0</v>
      </c>
      <c r="BV39" s="69">
        <f ca="1">$AO39*IF(Auswahllisten!$G$150,BV$25+BV$25*BV$13*$AN39,BV$25*(1+BV$13)^$AN39)</f>
        <v>0</v>
      </c>
      <c r="BW39" s="69">
        <f t="shared" ca="1" si="40"/>
        <v>0</v>
      </c>
      <c r="BX39" s="69">
        <f t="shared" ca="1" si="41"/>
        <v>0</v>
      </c>
      <c r="BY39" s="69">
        <f t="shared" ca="1" si="27"/>
        <v>0</v>
      </c>
      <c r="BZ39" s="69">
        <f t="shared" ca="1" si="28"/>
        <v>0</v>
      </c>
    </row>
    <row r="40" spans="1:78">
      <c r="A40" s="125"/>
      <c r="B40" s="64"/>
      <c r="C40" s="64"/>
      <c r="D40" s="69"/>
      <c r="E40" s="69"/>
      <c r="G40" s="69"/>
      <c r="H40" s="69"/>
      <c r="M40" s="69"/>
      <c r="P40" s="69"/>
      <c r="R40" s="69"/>
      <c r="S40" s="69"/>
      <c r="U40" s="69"/>
      <c r="V40" s="69"/>
      <c r="X40" s="69"/>
      <c r="AA40" s="1">
        <v>26</v>
      </c>
      <c r="AB40" s="1">
        <v>-2</v>
      </c>
      <c r="AC40" s="35"/>
      <c r="AD40" s="35"/>
      <c r="AE40" s="83" t="s">
        <v>948</v>
      </c>
      <c r="AF40" s="26">
        <f ca="1">AF29</f>
        <v>0</v>
      </c>
      <c r="AG40" s="26"/>
      <c r="AH40" s="26">
        <f t="shared" ca="1" si="54"/>
        <v>0</v>
      </c>
      <c r="AI40" s="26">
        <f>AI29</f>
        <v>0</v>
      </c>
      <c r="AJ40" s="26"/>
      <c r="AK40" s="26">
        <f t="shared" si="55"/>
        <v>0</v>
      </c>
      <c r="AN40" s="1">
        <v>15</v>
      </c>
      <c r="AO40" s="1">
        <f t="shared" si="22"/>
        <v>1</v>
      </c>
      <c r="AP40" s="69">
        <f t="shared" ca="1" si="23"/>
        <v>0</v>
      </c>
      <c r="AQ40" s="69">
        <f t="shared" ca="1" si="23"/>
        <v>0</v>
      </c>
      <c r="AR40" s="69">
        <f t="shared" si="23"/>
        <v>0</v>
      </c>
      <c r="AS40" s="69">
        <f t="shared" ca="1" si="23"/>
        <v>0</v>
      </c>
      <c r="AT40" s="69">
        <f t="shared" ca="1" si="23"/>
        <v>0</v>
      </c>
      <c r="AU40" s="69">
        <f t="shared" ca="1" si="23"/>
        <v>0</v>
      </c>
      <c r="AV40" s="69">
        <f t="shared" si="23"/>
        <v>0</v>
      </c>
      <c r="AW40" s="69">
        <f t="shared" ca="1" si="32"/>
        <v>0</v>
      </c>
      <c r="AX40" s="69">
        <f t="shared" ca="1" si="33"/>
        <v>0</v>
      </c>
      <c r="AY40" s="69">
        <f t="shared" ca="1" si="34"/>
        <v>0</v>
      </c>
      <c r="AZ40" s="69">
        <f ca="1">$AO40*IF(Auswahllisten!$G$150,AZ$25+AZ$25*AZ$13*$AN40,AZ$25*(1+AZ$13)^$AN40)</f>
        <v>0</v>
      </c>
      <c r="BA40" s="69">
        <f ca="1">$AO40*IF(Auswahllisten!$G$150,BA$25+BA$25*BA$13*$AN40,BA$25*(1+BA$13)^$AN40)</f>
        <v>0</v>
      </c>
      <c r="BB40" s="69">
        <f ca="1">$AO40*IF(Auswahllisten!$G$150,BB$25+BB$25*BB$13*$AN40,BB$25*(1+BB$13)^$AN40)</f>
        <v>0</v>
      </c>
      <c r="BC40" s="69">
        <f ca="1">$AO40*IF(Auswahllisten!$G$150,BC$25+BC$25*BC$13*$AN40,BC$25*(1+BC$13)^$AN40)</f>
        <v>0</v>
      </c>
      <c r="BD40" s="69">
        <f t="shared" ca="1" si="35"/>
        <v>0</v>
      </c>
      <c r="BE40" s="69">
        <f t="shared" ca="1" si="36"/>
        <v>0</v>
      </c>
      <c r="BF40" s="69">
        <f t="shared" ca="1" si="37"/>
        <v>0</v>
      </c>
      <c r="BG40" s="69">
        <f t="shared" ca="1" si="38"/>
        <v>0</v>
      </c>
      <c r="BI40" s="69">
        <f t="shared" ca="1" si="24"/>
        <v>0</v>
      </c>
      <c r="BJ40" s="69">
        <f t="shared" ca="1" si="24"/>
        <v>0</v>
      </c>
      <c r="BK40" s="69">
        <f t="shared" si="24"/>
        <v>0</v>
      </c>
      <c r="BL40" s="69">
        <f t="shared" ca="1" si="24"/>
        <v>0</v>
      </c>
      <c r="BM40" s="69">
        <f t="shared" ca="1" si="24"/>
        <v>0</v>
      </c>
      <c r="BN40" s="69">
        <f t="shared" ca="1" si="24"/>
        <v>0</v>
      </c>
      <c r="BO40" s="69">
        <f t="shared" si="24"/>
        <v>0</v>
      </c>
      <c r="BP40" s="69">
        <f t="shared" ca="1" si="25"/>
        <v>0</v>
      </c>
      <c r="BQ40" s="69">
        <f t="shared" ca="1" si="39"/>
        <v>0</v>
      </c>
      <c r="BR40" s="69">
        <f t="shared" ca="1" si="26"/>
        <v>0</v>
      </c>
      <c r="BS40" s="69">
        <f ca="1">$AO40*IF(Auswahllisten!$G$150,BS$25+BS$25*BS$13*$AN40,BS$25*(1+BS$13)^$AN40)</f>
        <v>0</v>
      </c>
      <c r="BT40" s="69">
        <f ca="1">$AO40*IF(Auswahllisten!$G$150,BT$25+BT$25*BT$13*$AN40,BT$25*(1+BT$13)^$AN40)</f>
        <v>0</v>
      </c>
      <c r="BU40" s="69">
        <f ca="1">$AO40*IF(Auswahllisten!$G$150,BU$25+BU$25*BU$13*$AN40,BU$25*(1+BU$13)^$AN40)</f>
        <v>0</v>
      </c>
      <c r="BV40" s="69">
        <f ca="1">$AO40*IF(Auswahllisten!$G$150,BV$25+BV$25*BV$13*$AN40,BV$25*(1+BV$13)^$AN40)</f>
        <v>0</v>
      </c>
      <c r="BW40" s="69">
        <f t="shared" ca="1" si="40"/>
        <v>0</v>
      </c>
      <c r="BX40" s="69">
        <f t="shared" ca="1" si="41"/>
        <v>0</v>
      </c>
      <c r="BY40" s="69">
        <f t="shared" ca="1" si="27"/>
        <v>0</v>
      </c>
      <c r="BZ40" s="69">
        <f t="shared" ca="1" si="28"/>
        <v>0</v>
      </c>
    </row>
    <row r="41" spans="1:78">
      <c r="A41" s="125" t="s">
        <v>993</v>
      </c>
      <c r="B41" s="125" t="s">
        <v>15</v>
      </c>
      <c r="C41" s="125"/>
      <c r="D41" s="69"/>
      <c r="E41" s="69"/>
      <c r="G41" s="69"/>
      <c r="H41" s="69"/>
      <c r="L41" s="155">
        <v>4</v>
      </c>
      <c r="M41" s="69"/>
      <c r="P41" s="69"/>
      <c r="R41" s="69"/>
      <c r="S41" s="69"/>
      <c r="U41" s="69"/>
      <c r="V41" s="69"/>
      <c r="X41" s="69"/>
      <c r="AA41" s="1">
        <v>27</v>
      </c>
      <c r="AB41" s="1">
        <v>-2</v>
      </c>
      <c r="AC41" s="35"/>
      <c r="AD41" s="35"/>
      <c r="AE41" s="83" t="s">
        <v>677</v>
      </c>
      <c r="AF41" s="26">
        <f ca="1">AF20-AG20</f>
        <v>0</v>
      </c>
      <c r="AG41" s="26"/>
      <c r="AH41" s="26">
        <f ca="1">AH20</f>
        <v>0</v>
      </c>
      <c r="AI41" s="26">
        <f>AI20-AJ20</f>
        <v>0</v>
      </c>
      <c r="AJ41" s="26"/>
      <c r="AK41" s="26">
        <f>AK20</f>
        <v>0</v>
      </c>
      <c r="AN41" s="1">
        <v>16</v>
      </c>
      <c r="AO41" s="1">
        <f t="shared" si="22"/>
        <v>1</v>
      </c>
      <c r="AP41" s="69">
        <f t="shared" ca="1" si="23"/>
        <v>0</v>
      </c>
      <c r="AQ41" s="69">
        <f t="shared" ca="1" si="23"/>
        <v>0</v>
      </c>
      <c r="AR41" s="69">
        <f t="shared" si="23"/>
        <v>0</v>
      </c>
      <c r="AS41" s="69">
        <f t="shared" ca="1" si="23"/>
        <v>0</v>
      </c>
      <c r="AT41" s="69">
        <f t="shared" ca="1" si="23"/>
        <v>0</v>
      </c>
      <c r="AU41" s="69">
        <f t="shared" ca="1" si="23"/>
        <v>0</v>
      </c>
      <c r="AV41" s="69">
        <f t="shared" si="23"/>
        <v>0</v>
      </c>
      <c r="AW41" s="69">
        <f t="shared" ca="1" si="32"/>
        <v>0</v>
      </c>
      <c r="AX41" s="69">
        <f t="shared" ca="1" si="33"/>
        <v>0</v>
      </c>
      <c r="AY41" s="69">
        <f t="shared" ca="1" si="34"/>
        <v>0</v>
      </c>
      <c r="AZ41" s="69">
        <f ca="1">$AO41*IF(Auswahllisten!$G$150,AZ$25+AZ$25*AZ$13*$AN41,AZ$25*(1+AZ$13)^$AN41)</f>
        <v>0</v>
      </c>
      <c r="BA41" s="69">
        <f ca="1">$AO41*IF(Auswahllisten!$G$150,BA$25+BA$25*BA$13*$AN41,BA$25*(1+BA$13)^$AN41)</f>
        <v>0</v>
      </c>
      <c r="BB41" s="69">
        <f ca="1">$AO41*IF(Auswahllisten!$G$150,BB$25+BB$25*BB$13*$AN41,BB$25*(1+BB$13)^$AN41)</f>
        <v>0</v>
      </c>
      <c r="BC41" s="69">
        <f ca="1">$AO41*IF(Auswahllisten!$G$150,BC$25+BC$25*BC$13*$AN41,BC$25*(1+BC$13)^$AN41)</f>
        <v>0</v>
      </c>
      <c r="BD41" s="69">
        <f t="shared" ca="1" si="35"/>
        <v>0</v>
      </c>
      <c r="BE41" s="69">
        <f t="shared" ca="1" si="36"/>
        <v>0</v>
      </c>
      <c r="BF41" s="69">
        <f t="shared" ca="1" si="37"/>
        <v>0</v>
      </c>
      <c r="BG41" s="69">
        <f t="shared" ca="1" si="38"/>
        <v>0</v>
      </c>
      <c r="BI41" s="69">
        <f t="shared" ca="1" si="24"/>
        <v>0</v>
      </c>
      <c r="BJ41" s="69">
        <f t="shared" ca="1" si="24"/>
        <v>0</v>
      </c>
      <c r="BK41" s="69">
        <f t="shared" si="24"/>
        <v>0</v>
      </c>
      <c r="BL41" s="69">
        <f t="shared" ca="1" si="24"/>
        <v>0</v>
      </c>
      <c r="BM41" s="69">
        <f t="shared" ca="1" si="24"/>
        <v>0</v>
      </c>
      <c r="BN41" s="69">
        <f t="shared" ca="1" si="24"/>
        <v>0</v>
      </c>
      <c r="BO41" s="69">
        <f t="shared" si="24"/>
        <v>0</v>
      </c>
      <c r="BP41" s="69">
        <f t="shared" ca="1" si="25"/>
        <v>0</v>
      </c>
      <c r="BQ41" s="69">
        <f t="shared" ca="1" si="39"/>
        <v>0</v>
      </c>
      <c r="BR41" s="69">
        <f t="shared" ca="1" si="26"/>
        <v>0</v>
      </c>
      <c r="BS41" s="69">
        <f ca="1">$AO41*IF(Auswahllisten!$G$150,BS$25+BS$25*BS$13*$AN41,BS$25*(1+BS$13)^$AN41)</f>
        <v>0</v>
      </c>
      <c r="BT41" s="69">
        <f ca="1">$AO41*IF(Auswahllisten!$G$150,BT$25+BT$25*BT$13*$AN41,BT$25*(1+BT$13)^$AN41)</f>
        <v>0</v>
      </c>
      <c r="BU41" s="69">
        <f ca="1">$AO41*IF(Auswahllisten!$G$150,BU$25+BU$25*BU$13*$AN41,BU$25*(1+BU$13)^$AN41)</f>
        <v>0</v>
      </c>
      <c r="BV41" s="69">
        <f ca="1">$AO41*IF(Auswahllisten!$G$150,BV$25+BV$25*BV$13*$AN41,BV$25*(1+BV$13)^$AN41)</f>
        <v>0</v>
      </c>
      <c r="BW41" s="69">
        <f t="shared" ca="1" si="40"/>
        <v>0</v>
      </c>
      <c r="BX41" s="69">
        <f t="shared" ca="1" si="41"/>
        <v>0</v>
      </c>
      <c r="BY41" s="69">
        <f t="shared" ca="1" si="27"/>
        <v>0</v>
      </c>
      <c r="BZ41" s="69">
        <f t="shared" ca="1" si="28"/>
        <v>0</v>
      </c>
    </row>
    <row r="42" spans="1:78">
      <c r="A42" s="304" t="s">
        <v>1217</v>
      </c>
      <c r="B42" s="131" t="s">
        <v>1242</v>
      </c>
      <c r="C42" s="131" t="s">
        <v>994</v>
      </c>
      <c r="D42" s="162" t="str" cm="1">
        <f t="array" aca="1" ref="D42" ca="1">INDIRECT("Vergleich!"&amp;$G$2&amp;Z42)</f>
        <v>mittel</v>
      </c>
      <c r="E42" s="162" cm="1">
        <f t="array" aca="1" ref="E42" ca="1">INDIRECT("Investition_gewählt!"&amp;$I$5&amp;AA42)</f>
        <v>0</v>
      </c>
      <c r="F42" s="25" cm="1">
        <f t="array" aca="1" ref="F42" ca="1">IF($C$5=0,0,INDEX(Faktoren!E28:GQ28,1,VLOOKUP($F$5,$L$2:$O$14,4,FALSE)+$C$9*5+VLOOKUP(D42,Auswahllisten!$E$25:$F$29,2,FALSE)))</f>
        <v>0</v>
      </c>
      <c r="G42" s="162">
        <f ca="1">E42*F42</f>
        <v>0</v>
      </c>
      <c r="H42" s="162" cm="1">
        <f t="array" aca="1" ref="H42" ca="1">INDIRECT("Investition_gewählt!"&amp;$I$6&amp;AA42)</f>
        <v>0</v>
      </c>
      <c r="I42" s="25" cm="1">
        <f t="array" aca="1" ref="I42" ca="1">IF($C$5=0,0,INDEX(Faktoren!E28:GQ28,1,VLOOKUP($F$6,$L$2:$O$14,4,FALSE)+$C$9*5+VLOOKUP(D42,Auswahllisten!$E$25:$F$29,2,FALSE)))</f>
        <v>0</v>
      </c>
      <c r="J42" s="25">
        <f ca="1">H42*I42</f>
        <v>0</v>
      </c>
      <c r="K42" s="25">
        <f t="shared" ref="K42:K48" ca="1" si="56">IF($C$5=0,0,G42+(J42-G42)*($C$6-$F$5)/($F$6-$F$5))</f>
        <v>0</v>
      </c>
      <c r="L42" s="25" t="b">
        <f t="shared" ref="L42:L48" ca="1" si="57">($C$5=$L$41)</f>
        <v>0</v>
      </c>
      <c r="M42" s="162">
        <f t="shared" ca="1" si="11"/>
        <v>0</v>
      </c>
      <c r="O42" s="25" t="str" cm="1">
        <f t="array" aca="1" ref="O42" ca="1">INDIRECT("Vergleich!"&amp;$Y$2&amp;Z42)</f>
        <v>gering</v>
      </c>
      <c r="P42" s="162" cm="1">
        <f t="array" aca="1" ref="P42" ca="1">INDIRECT("Investition_gewählt!"&amp;$AA$5&amp;AA42)</f>
        <v>0</v>
      </c>
      <c r="Q42" s="25" cm="1">
        <f t="array" aca="1" ref="Q42" ca="1">IF($U$5=0,0,INDEX(Faktoren!E28:GQ28,1,VLOOKUP($X$5,$L$2:$O$14,4,FALSE)+$U$9*5+VLOOKUP(O42,Auswahllisten!$E$25:$F$29,2,FALSE)))</f>
        <v>0</v>
      </c>
      <c r="R42" s="162">
        <f t="shared" ref="R42:R48" ca="1" si="58">P42*Q42</f>
        <v>0</v>
      </c>
      <c r="S42" s="162" cm="1">
        <f t="array" aca="1" ref="S42" ca="1">INDIRECT("Investition_gewählt!"&amp;$AA$6&amp;AA42)</f>
        <v>0</v>
      </c>
      <c r="T42" s="25" cm="1">
        <f t="array" aca="1" ref="T42" ca="1">IF($U$5=0,0,INDEX(Faktoren!E28:QG28,1,VLOOKUP($X$6,$L$3:$O$14,4,FALSE)+$U$9*5+VLOOKUP(O42,Auswahllisten!$E$25:$F$29,2,FALSE)))</f>
        <v>0</v>
      </c>
      <c r="U42" s="162">
        <f t="shared" ref="U42:U48" ca="1" si="59">S42*T42</f>
        <v>0</v>
      </c>
      <c r="V42" s="162">
        <f t="shared" ca="1" si="14"/>
        <v>0</v>
      </c>
      <c r="W42" s="25" t="b">
        <f ca="1">($U$5=$L$41)</f>
        <v>0</v>
      </c>
      <c r="X42" s="162">
        <f t="shared" ca="1" si="16"/>
        <v>0</v>
      </c>
      <c r="Z42" s="1">
        <v>36</v>
      </c>
      <c r="AA42" s="1">
        <v>28</v>
      </c>
      <c r="AB42" s="1">
        <v>-2</v>
      </c>
      <c r="AD42" s="35"/>
      <c r="AN42" s="1">
        <v>17</v>
      </c>
      <c r="AO42" s="1">
        <f t="shared" si="22"/>
        <v>1</v>
      </c>
      <c r="AP42" s="69">
        <f t="shared" ref="AP42:AV45" ca="1" si="60">IFERROR($AO42*IF(MOD($AN42,AP$20)=0,AP$25,0)*(1+$AS$10)^$AN42*IF($AS$3=$AN42,0,1),0)</f>
        <v>0</v>
      </c>
      <c r="AQ42" s="69">
        <f t="shared" ca="1" si="60"/>
        <v>0</v>
      </c>
      <c r="AR42" s="69">
        <f t="shared" si="60"/>
        <v>0</v>
      </c>
      <c r="AS42" s="69">
        <f t="shared" ca="1" si="60"/>
        <v>0</v>
      </c>
      <c r="AT42" s="69">
        <f t="shared" ca="1" si="60"/>
        <v>0</v>
      </c>
      <c r="AU42" s="69">
        <f t="shared" ca="1" si="60"/>
        <v>0</v>
      </c>
      <c r="AV42" s="69">
        <f t="shared" si="60"/>
        <v>0</v>
      </c>
      <c r="AW42" s="69">
        <f t="shared" ca="1" si="32"/>
        <v>0</v>
      </c>
      <c r="AX42" s="69">
        <f t="shared" ca="1" si="33"/>
        <v>0</v>
      </c>
      <c r="AY42" s="69">
        <f t="shared" ca="1" si="34"/>
        <v>0</v>
      </c>
      <c r="AZ42" s="69">
        <f ca="1">$AO42*IF(Auswahllisten!$G$150,AZ$25+AZ$25*AZ$13*$AN42,AZ$25*(1+AZ$13)^$AN42)</f>
        <v>0</v>
      </c>
      <c r="BA42" s="69">
        <f ca="1">$AO42*IF(Auswahllisten!$G$150,BA$25+BA$25*BA$13*$AN42,BA$25*(1+BA$13)^$AN42)</f>
        <v>0</v>
      </c>
      <c r="BB42" s="69">
        <f ca="1">$AO42*IF(Auswahllisten!$G$150,BB$25+BB$25*BB$13*$AN42,BB$25*(1+BB$13)^$AN42)</f>
        <v>0</v>
      </c>
      <c r="BC42" s="69">
        <f ca="1">$AO42*IF(Auswahllisten!$G$150,BC$25+BC$25*BC$13*$AN42,BC$25*(1+BC$13)^$AN42)</f>
        <v>0</v>
      </c>
      <c r="BD42" s="69">
        <f t="shared" ca="1" si="35"/>
        <v>0</v>
      </c>
      <c r="BE42" s="69">
        <f t="shared" ca="1" si="36"/>
        <v>0</v>
      </c>
      <c r="BF42" s="69">
        <f t="shared" ca="1" si="37"/>
        <v>0</v>
      </c>
      <c r="BG42" s="69">
        <f t="shared" ca="1" si="38"/>
        <v>0</v>
      </c>
      <c r="BI42" s="69">
        <f t="shared" ref="BI42:BO78" ca="1" si="61">IFERROR($AO42*IF(MOD($AN42,BI$20)=0,BI$25,0)*(1+$AS$10)^$AN42*IF($AS$3=$AN42,0,1),0)</f>
        <v>0</v>
      </c>
      <c r="BJ42" s="69">
        <f t="shared" ca="1" si="61"/>
        <v>0</v>
      </c>
      <c r="BK42" s="69">
        <f t="shared" si="61"/>
        <v>0</v>
      </c>
      <c r="BL42" s="69">
        <f t="shared" ca="1" si="61"/>
        <v>0</v>
      </c>
      <c r="BM42" s="69">
        <f t="shared" ca="1" si="61"/>
        <v>0</v>
      </c>
      <c r="BN42" s="69">
        <f t="shared" ca="1" si="61"/>
        <v>0</v>
      </c>
      <c r="BO42" s="69">
        <f t="shared" si="61"/>
        <v>0</v>
      </c>
      <c r="BP42" s="69">
        <f t="shared" ca="1" si="25"/>
        <v>0</v>
      </c>
      <c r="BQ42" s="69">
        <f t="shared" ca="1" si="39"/>
        <v>0</v>
      </c>
      <c r="BR42" s="69">
        <f t="shared" ca="1" si="26"/>
        <v>0</v>
      </c>
      <c r="BS42" s="69">
        <f ca="1">$AO42*IF(Auswahllisten!$G$150,BS$25+BS$25*BS$13*$AN42,BS$25*(1+BS$13)^$AN42)</f>
        <v>0</v>
      </c>
      <c r="BT42" s="69">
        <f ca="1">$AO42*IF(Auswahllisten!$G$150,BT$25+BT$25*BT$13*$AN42,BT$25*(1+BT$13)^$AN42)</f>
        <v>0</v>
      </c>
      <c r="BU42" s="69">
        <f ca="1">$AO42*IF(Auswahllisten!$G$150,BU$25+BU$25*BU$13*$AN42,BU$25*(1+BU$13)^$AN42)</f>
        <v>0</v>
      </c>
      <c r="BV42" s="69">
        <f ca="1">$AO42*IF(Auswahllisten!$G$150,BV$25+BV$25*BV$13*$AN42,BV$25*(1+BV$13)^$AN42)</f>
        <v>0</v>
      </c>
      <c r="BW42" s="69">
        <f t="shared" ca="1" si="40"/>
        <v>0</v>
      </c>
      <c r="BX42" s="69">
        <f t="shared" ca="1" si="41"/>
        <v>0</v>
      </c>
      <c r="BY42" s="69">
        <f t="shared" ca="1" si="27"/>
        <v>0</v>
      </c>
      <c r="BZ42" s="69">
        <f t="shared" ca="1" si="28"/>
        <v>0</v>
      </c>
    </row>
    <row r="43" spans="1:78">
      <c r="A43" s="305" t="s">
        <v>1217</v>
      </c>
      <c r="B43" s="131" t="s">
        <v>1242</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IF($C$5=0,0,INDEX(Faktoren!E29:GQ29,1,VLOOKUP($F$5,$L$2:$O$14,4,FALSE)+$C$9*5+VLOOKUP(D43,Auswahllisten!$E$25:$F$29,2,FALSE)))</f>
        <v>0</v>
      </c>
      <c r="G43" s="26">
        <f t="shared" ref="G43:G48" ca="1" si="62">E43*F43</f>
        <v>0</v>
      </c>
      <c r="H43" s="26" cm="1">
        <f t="array" aca="1" ref="H43" ca="1">INDIRECT("Investition_gewählt!"&amp;$I$6&amp;AA43)</f>
        <v>0</v>
      </c>
      <c r="I43" s="25" cm="1">
        <f t="array" aca="1" ref="I43" ca="1">IF($C$5=0,0,INDEX(Faktoren!E29:GQ29,1,VLOOKUP($F$6,$L$2:$O$14,4,FALSE)+$C$9*5+VLOOKUP(D43,Auswahllisten!$E$25:$F$29,2,FALSE)))</f>
        <v>0</v>
      </c>
      <c r="J43" s="16">
        <f t="shared" ref="J43:J48" ca="1" si="63">H43*I43</f>
        <v>0</v>
      </c>
      <c r="K43" s="16">
        <f t="shared" ca="1" si="56"/>
        <v>0</v>
      </c>
      <c r="L43" s="16" t="b">
        <f t="shared" ca="1" si="57"/>
        <v>0</v>
      </c>
      <c r="M43" s="26">
        <f t="shared" ca="1" si="11"/>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IF($U$5=0,0,INDEX(Faktoren!E29:GQ29,1,VLOOKUP($X$5,$L$2:$O$14,4,FALSE)+$U$9*5+VLOOKUP(O43,Auswahllisten!$E$25:$F$29,2,FALSE)))</f>
        <v>0</v>
      </c>
      <c r="R43" s="26">
        <f t="shared" ca="1" si="58"/>
        <v>0</v>
      </c>
      <c r="S43" s="26" cm="1">
        <f t="array" aca="1" ref="S43" ca="1">INDIRECT("Investition_gewählt!"&amp;$AA$6&amp;AA43)</f>
        <v>0</v>
      </c>
      <c r="T43" s="16" cm="1">
        <f t="array" aca="1" ref="T43" ca="1">IF($U$5=0,0,INDEX(Faktoren!E29:QG29,1,VLOOKUP($X$6,$L$3:$O$14,4,FALSE)+$U$9*5+VLOOKUP(O43,Auswahllisten!$E$25:$F$29,2,FALSE)))</f>
        <v>0</v>
      </c>
      <c r="U43" s="26">
        <f t="shared" ca="1" si="59"/>
        <v>0</v>
      </c>
      <c r="V43" s="26">
        <f t="shared" ca="1" si="14"/>
        <v>0</v>
      </c>
      <c r="W43" s="25" t="b">
        <f t="shared" ref="W43:W48" ca="1" si="64">($U$5=$L$41)</f>
        <v>0</v>
      </c>
      <c r="X43" s="26">
        <f t="shared" ca="1" si="16"/>
        <v>0</v>
      </c>
      <c r="Z43" s="1">
        <v>37</v>
      </c>
      <c r="AA43" s="1">
        <v>29</v>
      </c>
      <c r="AB43" s="1">
        <v>-2</v>
      </c>
      <c r="AD43" s="35"/>
      <c r="AE43" s="83" t="s">
        <v>1259</v>
      </c>
      <c r="AF43" s="69">
        <f ca="1">AF33+AI33</f>
        <v>0</v>
      </c>
      <c r="AN43" s="1">
        <v>18</v>
      </c>
      <c r="AO43" s="1">
        <f t="shared" si="22"/>
        <v>1</v>
      </c>
      <c r="AP43" s="69">
        <f t="shared" ca="1" si="60"/>
        <v>0</v>
      </c>
      <c r="AQ43" s="69">
        <f t="shared" ca="1" si="60"/>
        <v>0</v>
      </c>
      <c r="AR43" s="69">
        <f t="shared" si="60"/>
        <v>0</v>
      </c>
      <c r="AS43" s="69">
        <f t="shared" ca="1" si="60"/>
        <v>0</v>
      </c>
      <c r="AT43" s="69">
        <f t="shared" ca="1" si="60"/>
        <v>0</v>
      </c>
      <c r="AU43" s="69">
        <f t="shared" ca="1" si="60"/>
        <v>0</v>
      </c>
      <c r="AV43" s="69">
        <f t="shared" si="60"/>
        <v>0</v>
      </c>
      <c r="AW43" s="69">
        <f t="shared" ca="1" si="32"/>
        <v>0</v>
      </c>
      <c r="AX43" s="69">
        <f t="shared" ca="1" si="33"/>
        <v>0</v>
      </c>
      <c r="AY43" s="69">
        <f t="shared" ca="1" si="34"/>
        <v>0</v>
      </c>
      <c r="AZ43" s="69">
        <f ca="1">$AO43*IF(Auswahllisten!$G$150,AZ$25+AZ$25*AZ$13*$AN43,AZ$25*(1+AZ$13)^$AN43)</f>
        <v>0</v>
      </c>
      <c r="BA43" s="69">
        <f ca="1">$AO43*IF(Auswahllisten!$G$150,BA$25+BA$25*BA$13*$AN43,BA$25*(1+BA$13)^$AN43)</f>
        <v>0</v>
      </c>
      <c r="BB43" s="69">
        <f ca="1">$AO43*IF(Auswahllisten!$G$150,BB$25+BB$25*BB$13*$AN43,BB$25*(1+BB$13)^$AN43)</f>
        <v>0</v>
      </c>
      <c r="BC43" s="69">
        <f ca="1">$AO43*IF(Auswahllisten!$G$150,BC$25+BC$25*BC$13*$AN43,BC$25*(1+BC$13)^$AN43)</f>
        <v>0</v>
      </c>
      <c r="BD43" s="69">
        <f t="shared" ca="1" si="35"/>
        <v>0</v>
      </c>
      <c r="BE43" s="69">
        <f t="shared" ca="1" si="36"/>
        <v>0</v>
      </c>
      <c r="BF43" s="69">
        <f t="shared" ca="1" si="37"/>
        <v>0</v>
      </c>
      <c r="BG43" s="69">
        <f t="shared" ca="1" si="38"/>
        <v>0</v>
      </c>
      <c r="BI43" s="69">
        <f t="shared" ca="1" si="61"/>
        <v>0</v>
      </c>
      <c r="BJ43" s="69">
        <f t="shared" ca="1" si="61"/>
        <v>0</v>
      </c>
      <c r="BK43" s="69">
        <f t="shared" si="61"/>
        <v>0</v>
      </c>
      <c r="BL43" s="69">
        <f t="shared" ca="1" si="61"/>
        <v>0</v>
      </c>
      <c r="BM43" s="69">
        <f t="shared" ca="1" si="61"/>
        <v>0</v>
      </c>
      <c r="BN43" s="69">
        <f t="shared" ca="1" si="61"/>
        <v>0</v>
      </c>
      <c r="BO43" s="69">
        <f t="shared" si="61"/>
        <v>0</v>
      </c>
      <c r="BP43" s="69">
        <f t="shared" ca="1" si="25"/>
        <v>0</v>
      </c>
      <c r="BQ43" s="69">
        <f t="shared" ca="1" si="39"/>
        <v>0</v>
      </c>
      <c r="BR43" s="69">
        <f t="shared" ca="1" si="26"/>
        <v>0</v>
      </c>
      <c r="BS43" s="69">
        <f ca="1">$AO43*IF(Auswahllisten!$G$150,BS$25+BS$25*BS$13*$AN43,BS$25*(1+BS$13)^$AN43)</f>
        <v>0</v>
      </c>
      <c r="BT43" s="69">
        <f ca="1">$AO43*IF(Auswahllisten!$G$150,BT$25+BT$25*BT$13*$AN43,BT$25*(1+BT$13)^$AN43)</f>
        <v>0</v>
      </c>
      <c r="BU43" s="69">
        <f ca="1">$AO43*IF(Auswahllisten!$G$150,BU$25+BU$25*BU$13*$AN43,BU$25*(1+BU$13)^$AN43)</f>
        <v>0</v>
      </c>
      <c r="BV43" s="69">
        <f ca="1">$AO43*IF(Auswahllisten!$G$150,BV$25+BV$25*BV$13*$AN43,BV$25*(1+BV$13)^$AN43)</f>
        <v>0</v>
      </c>
      <c r="BW43" s="69">
        <f t="shared" ca="1" si="40"/>
        <v>0</v>
      </c>
      <c r="BX43" s="69">
        <f t="shared" ca="1" si="41"/>
        <v>0</v>
      </c>
      <c r="BY43" s="69">
        <f t="shared" ca="1" si="27"/>
        <v>0</v>
      </c>
      <c r="BZ43" s="69">
        <f t="shared" ca="1" si="28"/>
        <v>0</v>
      </c>
    </row>
    <row r="44" spans="1:78">
      <c r="A44" s="305" t="s">
        <v>1215</v>
      </c>
      <c r="B44" s="126" t="s">
        <v>303</v>
      </c>
      <c r="C44" s="126" t="s">
        <v>995</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IF($C$5=0,0,INDEX(Faktoren!E30:GQ30,1,VLOOKUP($F$5,$L$2:$O$14,4,FALSE)+$C$9*5+VLOOKUP(D44,Auswahllisten!$E$25:$F$29,2,FALSE)))</f>
        <v>0</v>
      </c>
      <c r="G44" s="26">
        <f t="shared" ca="1" si="62"/>
        <v>0</v>
      </c>
      <c r="H44" s="26" cm="1">
        <f t="array" aca="1" ref="H44" ca="1">INDIRECT("Investition_gewählt!"&amp;$I$6&amp;AA44)</f>
        <v>0</v>
      </c>
      <c r="I44" s="25" cm="1">
        <f t="array" aca="1" ref="I44" ca="1">IF($C$5=0,0,INDEX(Faktoren!E30:GQ30,1,VLOOKUP($F$6,$L$2:$O$14,4,FALSE)+$C$9*5+VLOOKUP(D44,Auswahllisten!$E$25:$F$29,2,FALSE)))</f>
        <v>0</v>
      </c>
      <c r="J44" s="16">
        <f t="shared" ca="1" si="63"/>
        <v>0</v>
      </c>
      <c r="K44" s="16">
        <f t="shared" ca="1" si="56"/>
        <v>0</v>
      </c>
      <c r="L44" s="16" t="b">
        <f t="shared" ca="1" si="57"/>
        <v>0</v>
      </c>
      <c r="M44" s="26">
        <f t="shared" ca="1" si="11"/>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IF($U$5=0,0,INDEX(Faktoren!E30:GQ30,1,VLOOKUP($X$5,$L$2:$O$14,4,FALSE)+$U$9*5+VLOOKUP(O44,Auswahllisten!$E$25:$F$29,2,FALSE)))</f>
        <v>0</v>
      </c>
      <c r="R44" s="26">
        <f t="shared" ca="1" si="58"/>
        <v>0</v>
      </c>
      <c r="S44" s="26" cm="1">
        <f t="array" aca="1" ref="S44" ca="1">INDIRECT("Investition_gewählt!"&amp;$AA$6&amp;AA44)</f>
        <v>0</v>
      </c>
      <c r="T44" s="16" cm="1">
        <f t="array" aca="1" ref="T44" ca="1">IF($U$5=0,0,INDEX(Faktoren!E30:QG30,1,VLOOKUP($X$6,$L$3:$O$14,4,FALSE)+$U$9*5+VLOOKUP(O44,Auswahllisten!$E$25:$F$29,2,FALSE)))</f>
        <v>0</v>
      </c>
      <c r="U44" s="26">
        <f t="shared" ca="1" si="59"/>
        <v>0</v>
      </c>
      <c r="V44" s="26">
        <f t="shared" ca="1" si="14"/>
        <v>0</v>
      </c>
      <c r="W44" s="25" t="b">
        <f t="shared" ca="1" si="64"/>
        <v>0</v>
      </c>
      <c r="X44" s="26">
        <f t="shared" ca="1" si="16"/>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22"/>
        <v>1</v>
      </c>
      <c r="AP44" s="69">
        <f t="shared" ca="1" si="60"/>
        <v>0</v>
      </c>
      <c r="AQ44" s="69">
        <f t="shared" ca="1" si="60"/>
        <v>0</v>
      </c>
      <c r="AR44" s="69">
        <f t="shared" si="60"/>
        <v>0</v>
      </c>
      <c r="AS44" s="69">
        <f t="shared" ca="1" si="60"/>
        <v>0</v>
      </c>
      <c r="AT44" s="69">
        <f t="shared" ca="1" si="60"/>
        <v>0</v>
      </c>
      <c r="AU44" s="69">
        <f t="shared" ca="1" si="60"/>
        <v>0</v>
      </c>
      <c r="AV44" s="69">
        <f t="shared" si="60"/>
        <v>0</v>
      </c>
      <c r="AW44" s="69">
        <f t="shared" ca="1" si="32"/>
        <v>0</v>
      </c>
      <c r="AX44" s="69">
        <f t="shared" ca="1" si="33"/>
        <v>0</v>
      </c>
      <c r="AY44" s="69">
        <f t="shared" ca="1" si="34"/>
        <v>0</v>
      </c>
      <c r="AZ44" s="69">
        <f ca="1">$AO44*IF(Auswahllisten!$G$150,AZ$25+AZ$25*AZ$13*$AN44,AZ$25*(1+AZ$13)^$AN44)</f>
        <v>0</v>
      </c>
      <c r="BA44" s="69">
        <f ca="1">$AO44*IF(Auswahllisten!$G$150,BA$25+BA$25*BA$13*$AN44,BA$25*(1+BA$13)^$AN44)</f>
        <v>0</v>
      </c>
      <c r="BB44" s="69">
        <f ca="1">$AO44*IF(Auswahllisten!$G$150,BB$25+BB$25*BB$13*$AN44,BB$25*(1+BB$13)^$AN44)</f>
        <v>0</v>
      </c>
      <c r="BC44" s="69">
        <f ca="1">$AO44*IF(Auswahllisten!$G$150,BC$25+BC$25*BC$13*$AN44,BC$25*(1+BC$13)^$AN44)</f>
        <v>0</v>
      </c>
      <c r="BD44" s="69">
        <f t="shared" ca="1" si="35"/>
        <v>0</v>
      </c>
      <c r="BE44" s="69">
        <f t="shared" ca="1" si="36"/>
        <v>0</v>
      </c>
      <c r="BF44" s="69">
        <f t="shared" ca="1" si="37"/>
        <v>0</v>
      </c>
      <c r="BG44" s="69">
        <f t="shared" ca="1" si="38"/>
        <v>0</v>
      </c>
      <c r="BI44" s="69">
        <f t="shared" ca="1" si="61"/>
        <v>0</v>
      </c>
      <c r="BJ44" s="69">
        <f t="shared" ca="1" si="61"/>
        <v>0</v>
      </c>
      <c r="BK44" s="69">
        <f t="shared" si="61"/>
        <v>0</v>
      </c>
      <c r="BL44" s="69">
        <f t="shared" ca="1" si="61"/>
        <v>0</v>
      </c>
      <c r="BM44" s="69">
        <f t="shared" ca="1" si="61"/>
        <v>0</v>
      </c>
      <c r="BN44" s="69">
        <f t="shared" ca="1" si="61"/>
        <v>0</v>
      </c>
      <c r="BO44" s="69">
        <f t="shared" si="61"/>
        <v>0</v>
      </c>
      <c r="BP44" s="69">
        <f t="shared" ca="1" si="25"/>
        <v>0</v>
      </c>
      <c r="BQ44" s="69">
        <f t="shared" ca="1" si="39"/>
        <v>0</v>
      </c>
      <c r="BR44" s="69">
        <f t="shared" ca="1" si="26"/>
        <v>0</v>
      </c>
      <c r="BS44" s="69">
        <f ca="1">$AO44*IF(Auswahllisten!$G$150,BS$25+BS$25*BS$13*$AN44,BS$25*(1+BS$13)^$AN44)</f>
        <v>0</v>
      </c>
      <c r="BT44" s="69">
        <f ca="1">$AO44*IF(Auswahllisten!$G$150,BT$25+BT$25*BT$13*$AN44,BT$25*(1+BT$13)^$AN44)</f>
        <v>0</v>
      </c>
      <c r="BU44" s="69">
        <f ca="1">$AO44*IF(Auswahllisten!$G$150,BU$25+BU$25*BU$13*$AN44,BU$25*(1+BU$13)^$AN44)</f>
        <v>0</v>
      </c>
      <c r="BV44" s="69">
        <f ca="1">$AO44*IF(Auswahllisten!$G$150,BV$25+BV$25*BV$13*$AN44,BV$25*(1+BV$13)^$AN44)</f>
        <v>0</v>
      </c>
      <c r="BW44" s="69">
        <f t="shared" ca="1" si="40"/>
        <v>0</v>
      </c>
      <c r="BX44" s="69">
        <f t="shared" ca="1" si="41"/>
        <v>0</v>
      </c>
      <c r="BY44" s="69">
        <f t="shared" ca="1" si="27"/>
        <v>0</v>
      </c>
      <c r="BZ44" s="69">
        <f t="shared" ca="1" si="28"/>
        <v>0</v>
      </c>
    </row>
    <row r="45" spans="1:78">
      <c r="A45" s="305" t="s">
        <v>1215</v>
      </c>
      <c r="B45" s="126" t="s">
        <v>303</v>
      </c>
      <c r="C45" s="126" t="s">
        <v>965</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IF($C$5=0,0,INDEX(Faktoren!E31:GQ31,1,VLOOKUP($F$5,$L$2:$O$14,4,FALSE)+$C$9*5+VLOOKUP(D45,Auswahllisten!$E$25:$F$29,2,FALSE)))</f>
        <v>0</v>
      </c>
      <c r="G45" s="26">
        <f t="shared" ca="1" si="62"/>
        <v>0</v>
      </c>
      <c r="H45" s="26" cm="1">
        <f t="array" aca="1" ref="H45" ca="1">INDIRECT("Investition_gewählt!"&amp;$I$6&amp;AA45)</f>
        <v>0</v>
      </c>
      <c r="I45" s="25" cm="1">
        <f t="array" aca="1" ref="I45" ca="1">IF($C$5=0,0,INDEX(Faktoren!E31:GQ31,1,VLOOKUP($F$6,$L$2:$O$14,4,FALSE)+$C$9*5+VLOOKUP(D45,Auswahllisten!$E$25:$F$29,2,FALSE)))</f>
        <v>0</v>
      </c>
      <c r="J45" s="16">
        <f t="shared" ca="1" si="63"/>
        <v>0</v>
      </c>
      <c r="K45" s="16">
        <f t="shared" ca="1" si="56"/>
        <v>0</v>
      </c>
      <c r="L45" s="16" t="b">
        <f t="shared" ca="1" si="57"/>
        <v>0</v>
      </c>
      <c r="M45" s="26">
        <f t="shared" ca="1" si="11"/>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IF($U$5=0,0,INDEX(Faktoren!E31:GQ31,1,VLOOKUP($X$5,$L$2:$O$14,4,FALSE)+$U$9*5+VLOOKUP(O45,Auswahllisten!$E$25:$F$29,2,FALSE)))</f>
        <v>0</v>
      </c>
      <c r="R45" s="26">
        <f t="shared" ca="1" si="58"/>
        <v>0</v>
      </c>
      <c r="S45" s="26" cm="1">
        <f t="array" aca="1" ref="S45" ca="1">INDIRECT("Investition_gewählt!"&amp;$AA$6&amp;AA45)</f>
        <v>0</v>
      </c>
      <c r="T45" s="16" cm="1">
        <f t="array" aca="1" ref="T45" ca="1">IF($U$5=0,0,INDEX(Faktoren!E31:QG31,1,VLOOKUP($X$6,$L$3:$O$14,4,FALSE)+$U$9*5+VLOOKUP(O45,Auswahllisten!$E$25:$F$29,2,FALSE)))</f>
        <v>0</v>
      </c>
      <c r="U45" s="26">
        <f t="shared" ca="1" si="59"/>
        <v>0</v>
      </c>
      <c r="V45" s="26">
        <f t="shared" ca="1" si="14"/>
        <v>0</v>
      </c>
      <c r="W45" s="25" t="b">
        <f t="shared" ca="1" si="64"/>
        <v>0</v>
      </c>
      <c r="X45" s="26">
        <f t="shared" ca="1" si="16"/>
        <v>0</v>
      </c>
      <c r="Z45" s="1">
        <v>42</v>
      </c>
      <c r="AA45" s="1">
        <v>31</v>
      </c>
      <c r="AB45" s="1">
        <v>-2</v>
      </c>
      <c r="AF45" s="69">
        <f ca="1">AF44+AI44</f>
        <v>0</v>
      </c>
      <c r="AG45" s="69"/>
      <c r="AH45" s="69"/>
      <c r="AI45" s="69"/>
      <c r="AJ45" s="69"/>
      <c r="AN45" s="1">
        <v>20</v>
      </c>
      <c r="AO45" s="1">
        <f t="shared" si="22"/>
        <v>1</v>
      </c>
      <c r="AP45" s="69">
        <f ca="1">IFERROR($AO45*IF(MOD($AN45,AP$20)=0,AP$25,0)*(1+$AS$10)^$AN45*IF($AS$3=$AN45,0,1),0)</f>
        <v>0</v>
      </c>
      <c r="AQ45" s="69">
        <f t="shared" ca="1" si="60"/>
        <v>0</v>
      </c>
      <c r="AR45" s="69">
        <f t="shared" ca="1" si="60"/>
        <v>0</v>
      </c>
      <c r="AS45" s="69">
        <f t="shared" ca="1" si="60"/>
        <v>0</v>
      </c>
      <c r="AT45" s="69">
        <f t="shared" ca="1" si="60"/>
        <v>0</v>
      </c>
      <c r="AU45" s="69">
        <f t="shared" ca="1" si="60"/>
        <v>0</v>
      </c>
      <c r="AV45" s="69">
        <f t="shared" ca="1" si="60"/>
        <v>0</v>
      </c>
      <c r="AW45" s="69">
        <f ca="1">SUM(AP45:AV45)/(1+$AS$11)^AN45</f>
        <v>0</v>
      </c>
      <c r="AX45" s="69">
        <f t="shared" ca="1" si="33"/>
        <v>0</v>
      </c>
      <c r="AY45" s="69">
        <f t="shared" ca="1" si="34"/>
        <v>0</v>
      </c>
      <c r="AZ45" s="69">
        <f ca="1">$AO45*IF(Auswahllisten!$G$150,AZ$25+AZ$25*AZ$13*$AN45,AZ$25*(1+AZ$13)^$AN45)</f>
        <v>0</v>
      </c>
      <c r="BA45" s="69">
        <f ca="1">$AO45*IF(Auswahllisten!$G$150,BA$25+BA$25*BA$13*$AN45,BA$25*(1+BA$13)^$AN45)</f>
        <v>0</v>
      </c>
      <c r="BB45" s="69">
        <f ca="1">$AO45*IF(Auswahllisten!$G$150,BB$25+BB$25*BB$13*$AN45,BB$25*(1+BB$13)^$AN45)</f>
        <v>0</v>
      </c>
      <c r="BC45" s="69">
        <f ca="1">$AO45*IF(Auswahllisten!$G$150,BC$25+BC$25*BC$13*$AN45,BC$25*(1+BC$13)^$AN45)</f>
        <v>0</v>
      </c>
      <c r="BD45" s="69">
        <f t="shared" ca="1" si="35"/>
        <v>0</v>
      </c>
      <c r="BE45" s="69">
        <f t="shared" ca="1" si="36"/>
        <v>0</v>
      </c>
      <c r="BF45" s="69">
        <f t="shared" ca="1" si="37"/>
        <v>0</v>
      </c>
      <c r="BG45" s="69">
        <f t="shared" ca="1" si="38"/>
        <v>0</v>
      </c>
      <c r="BI45" s="69">
        <f t="shared" ca="1" si="61"/>
        <v>0</v>
      </c>
      <c r="BJ45" s="69">
        <f t="shared" ca="1" si="61"/>
        <v>0</v>
      </c>
      <c r="BK45" s="69">
        <f t="shared" si="61"/>
        <v>0</v>
      </c>
      <c r="BL45" s="69">
        <f t="shared" ca="1" si="61"/>
        <v>0</v>
      </c>
      <c r="BM45" s="69">
        <f t="shared" ca="1" si="61"/>
        <v>0</v>
      </c>
      <c r="BN45" s="69">
        <f t="shared" ca="1" si="61"/>
        <v>0</v>
      </c>
      <c r="BO45" s="69">
        <f t="shared" si="61"/>
        <v>0</v>
      </c>
      <c r="BP45" s="69">
        <f t="shared" ca="1" si="25"/>
        <v>0</v>
      </c>
      <c r="BQ45" s="69">
        <f t="shared" ca="1" si="39"/>
        <v>0</v>
      </c>
      <c r="BR45" s="69">
        <f t="shared" ca="1" si="26"/>
        <v>0</v>
      </c>
      <c r="BS45" s="69">
        <f ca="1">$AO45*IF(Auswahllisten!$G$150,BS$25+BS$25*BS$13*$AN45,BS$25*(1+BS$13)^$AN45)</f>
        <v>0</v>
      </c>
      <c r="BT45" s="69">
        <f ca="1">$AO45*IF(Auswahllisten!$G$150,BT$25+BT$25*BT$13*$AN45,BT$25*(1+BT$13)^$AN45)</f>
        <v>0</v>
      </c>
      <c r="BU45" s="69">
        <f ca="1">$AO45*IF(Auswahllisten!$G$150,BU$25+BU$25*BU$13*$AN45,BU$25*(1+BU$13)^$AN45)</f>
        <v>0</v>
      </c>
      <c r="BV45" s="69">
        <f ca="1">$AO45*IF(Auswahllisten!$G$150,BV$25+BV$25*BV$13*$AN45,BV$25*(1+BV$13)^$AN45)</f>
        <v>0</v>
      </c>
      <c r="BW45" s="69">
        <f t="shared" ca="1" si="40"/>
        <v>0</v>
      </c>
      <c r="BX45" s="69">
        <f t="shared" ca="1" si="41"/>
        <v>0</v>
      </c>
      <c r="BY45" s="69">
        <f t="shared" ca="1" si="27"/>
        <v>0</v>
      </c>
      <c r="BZ45" s="69">
        <f t="shared" ca="1" si="28"/>
        <v>0</v>
      </c>
    </row>
    <row r="46" spans="1:78">
      <c r="A46" s="305" t="s">
        <v>1218</v>
      </c>
      <c r="B46" s="126" t="s">
        <v>1243</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IF($C$5=0,0,INDEX(Faktoren!E32:GQ32,1,VLOOKUP($F$5,$L$2:$O$14,4,FALSE)+$C$9*5+VLOOKUP(D46,Auswahllisten!$E$25:$F$29,2,FALSE)))</f>
        <v>0</v>
      </c>
      <c r="G46" s="26">
        <f t="shared" ca="1" si="62"/>
        <v>0</v>
      </c>
      <c r="H46" s="26" cm="1">
        <f t="array" aca="1" ref="H46" ca="1">INDIRECT("Investition_gewählt!"&amp;$I$6&amp;AA46)</f>
        <v>0</v>
      </c>
      <c r="I46" s="25" cm="1">
        <f t="array" aca="1" ref="I46" ca="1">IF($C$5=0,0,INDEX(Faktoren!E32:GQ32,1,VLOOKUP($F$6,$L$2:$O$14,4,FALSE)+$C$9*5+VLOOKUP(D46,Auswahllisten!$E$25:$F$29,2,FALSE)))</f>
        <v>0</v>
      </c>
      <c r="J46" s="16">
        <f t="shared" ca="1" si="63"/>
        <v>0</v>
      </c>
      <c r="K46" s="16">
        <f t="shared" ca="1" si="56"/>
        <v>0</v>
      </c>
      <c r="L46" s="16" t="b">
        <f t="shared" ca="1" si="57"/>
        <v>0</v>
      </c>
      <c r="M46" s="26">
        <f t="shared" ca="1" si="11"/>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IF($U$5=0,0,INDEX(Faktoren!E32:GQ32,1,VLOOKUP($X$5,$L$2:$O$14,4,FALSE)+$U$9*5+VLOOKUP(O46,Auswahllisten!$E$25:$F$29,2,FALSE)))</f>
        <v>0</v>
      </c>
      <c r="R46" s="26">
        <f t="shared" ca="1" si="58"/>
        <v>0</v>
      </c>
      <c r="S46" s="26" cm="1">
        <f t="array" aca="1" ref="S46" ca="1">INDIRECT("Investition_gewählt!"&amp;$AA$6&amp;AA46)</f>
        <v>0</v>
      </c>
      <c r="T46" s="16" cm="1">
        <f t="array" aca="1" ref="T46" ca="1">IF($U$5=0,0,INDEX(Faktoren!E32:QG32,1,VLOOKUP($X$6,$L$3:$O$14,4,FALSE)+$U$9*5+VLOOKUP(O46,Auswahllisten!$E$25:$F$29,2,FALSE)))</f>
        <v>0</v>
      </c>
      <c r="U46" s="26">
        <f t="shared" ca="1" si="59"/>
        <v>0</v>
      </c>
      <c r="V46" s="26">
        <f t="shared" ca="1" si="14"/>
        <v>0</v>
      </c>
      <c r="W46" s="25" t="b">
        <f t="shared" ca="1" si="64"/>
        <v>0</v>
      </c>
      <c r="X46" s="26">
        <f t="shared" ca="1" si="16"/>
        <v>0</v>
      </c>
      <c r="Z46" s="1">
        <v>41</v>
      </c>
      <c r="AA46" s="1">
        <v>32</v>
      </c>
      <c r="AB46" s="1">
        <v>-2</v>
      </c>
      <c r="AF46" s="69">
        <f ca="1">AH44+AK44</f>
        <v>0</v>
      </c>
      <c r="AG46" s="69"/>
      <c r="AN46" s="1">
        <v>21</v>
      </c>
      <c r="AO46" s="1">
        <f t="shared" si="22"/>
        <v>0</v>
      </c>
      <c r="AP46" s="69">
        <f t="shared" ref="AP46:AV61" ca="1" si="65">IFERROR($AO46*IF(MOD($AN46,AP$20)=0,AP$25,0)*(1+$AS$10)^$AN46*IF($AS$3=$AN46,0,1),0)</f>
        <v>0</v>
      </c>
      <c r="AQ46" s="69">
        <f t="shared" ca="1" si="65"/>
        <v>0</v>
      </c>
      <c r="AR46" s="69">
        <f t="shared" si="65"/>
        <v>0</v>
      </c>
      <c r="AS46" s="69">
        <f t="shared" ca="1" si="65"/>
        <v>0</v>
      </c>
      <c r="AT46" s="69">
        <f t="shared" ca="1" si="65"/>
        <v>0</v>
      </c>
      <c r="AU46" s="69">
        <f t="shared" ca="1" si="65"/>
        <v>0</v>
      </c>
      <c r="AV46" s="69">
        <f t="shared" si="65"/>
        <v>0</v>
      </c>
      <c r="AW46" s="69">
        <f t="shared" ref="AW46:AW90" ca="1" si="66">SUM(AP46:AV46)/(1+$AS$11)^AN46</f>
        <v>0</v>
      </c>
      <c r="AX46" s="69">
        <f t="shared" ca="1" si="33"/>
        <v>0</v>
      </c>
      <c r="AY46" s="69">
        <f t="shared" ca="1" si="34"/>
        <v>0</v>
      </c>
      <c r="AZ46" s="69">
        <f ca="1">$AO46*IF(Auswahllisten!$G$150,AZ$25+AZ$25*AZ$13*$AN46,AZ$25*(1+AZ$13)^$AN46)</f>
        <v>0</v>
      </c>
      <c r="BA46" s="69">
        <f ca="1">$AO46*IF(Auswahllisten!$G$150,BA$25+BA$25*BA$13*$AN46,BA$25*(1+BA$13)^$AN46)</f>
        <v>0</v>
      </c>
      <c r="BB46" s="69">
        <f ca="1">$AO46*IF(Auswahllisten!$G$150,BB$25+BB$25*BB$13*$AN46,BB$25*(1+BB$13)^$AN46)</f>
        <v>0</v>
      </c>
      <c r="BC46" s="69">
        <f ca="1">$AO46*IF(Auswahllisten!$G$150,BC$25+BC$25*BC$13*$AN46,BC$25*(1+BC$13)^$AN46)</f>
        <v>0</v>
      </c>
      <c r="BD46" s="69">
        <f t="shared" ca="1" si="35"/>
        <v>0</v>
      </c>
      <c r="BE46" s="69">
        <f t="shared" ca="1" si="36"/>
        <v>0</v>
      </c>
      <c r="BF46" s="69">
        <f t="shared" ca="1" si="37"/>
        <v>0</v>
      </c>
      <c r="BG46" s="69">
        <f t="shared" ca="1" si="38"/>
        <v>0</v>
      </c>
      <c r="BI46" s="69">
        <f t="shared" ca="1" si="61"/>
        <v>0</v>
      </c>
      <c r="BJ46" s="69">
        <f t="shared" ca="1" si="61"/>
        <v>0</v>
      </c>
      <c r="BK46" s="69">
        <f t="shared" si="61"/>
        <v>0</v>
      </c>
      <c r="BL46" s="69">
        <f t="shared" ca="1" si="61"/>
        <v>0</v>
      </c>
      <c r="BM46" s="69">
        <f t="shared" ca="1" si="61"/>
        <v>0</v>
      </c>
      <c r="BN46" s="69">
        <f t="shared" ca="1" si="61"/>
        <v>0</v>
      </c>
      <c r="BO46" s="69">
        <f t="shared" si="61"/>
        <v>0</v>
      </c>
      <c r="BP46" s="69">
        <f t="shared" ca="1" si="25"/>
        <v>0</v>
      </c>
      <c r="BQ46" s="69">
        <f t="shared" ca="1" si="39"/>
        <v>0</v>
      </c>
      <c r="BR46" s="69">
        <f t="shared" ca="1" si="26"/>
        <v>0</v>
      </c>
      <c r="BS46" s="69">
        <f ca="1">$AO46*IF(Auswahllisten!$G$150,BS$25+BS$25*BS$13*$AN46,BS$25*(1+BS$13)^$AN46)</f>
        <v>0</v>
      </c>
      <c r="BT46" s="69">
        <f ca="1">$AO46*IF(Auswahllisten!$G$150,BT$25+BT$25*BT$13*$AN46,BT$25*(1+BT$13)^$AN46)</f>
        <v>0</v>
      </c>
      <c r="BU46" s="69">
        <f ca="1">$AO46*IF(Auswahllisten!$G$150,BU$25+BU$25*BU$13*$AN46,BU$25*(1+BU$13)^$AN46)</f>
        <v>0</v>
      </c>
      <c r="BV46" s="69">
        <f ca="1">$AO46*IF(Auswahllisten!$G$150,BV$25+BV$25*BV$13*$AN46,BV$25*(1+BV$13)^$AN46)</f>
        <v>0</v>
      </c>
      <c r="BW46" s="69">
        <f t="shared" ca="1" si="40"/>
        <v>0</v>
      </c>
      <c r="BX46" s="69">
        <f t="shared" ca="1" si="41"/>
        <v>0</v>
      </c>
      <c r="BY46" s="69">
        <f t="shared" ca="1" si="27"/>
        <v>0</v>
      </c>
      <c r="BZ46" s="69">
        <f t="shared" ca="1" si="28"/>
        <v>0</v>
      </c>
    </row>
    <row r="47" spans="1:78">
      <c r="A47" s="305" t="s">
        <v>1215</v>
      </c>
      <c r="B47" s="126" t="s">
        <v>303</v>
      </c>
      <c r="C47" s="126" t="s">
        <v>966</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IF($C$5=0,0,INDEX(Faktoren!E33:GQ33,1,VLOOKUP($F$5,$L$2:$O$14,4,FALSE)+$C$9*5+VLOOKUP(D47,Auswahllisten!$E$25:$F$29,2,FALSE)))</f>
        <v>0</v>
      </c>
      <c r="G47" s="26">
        <f t="shared" ca="1" si="62"/>
        <v>0</v>
      </c>
      <c r="H47" s="26" cm="1">
        <f t="array" aca="1" ref="H47" ca="1">INDIRECT("Investition_gewählt!"&amp;$I$6&amp;AA47)</f>
        <v>0</v>
      </c>
      <c r="I47" s="25" cm="1">
        <f t="array" aca="1" ref="I47" ca="1">IF($C$5=0,0,INDEX(Faktoren!E33:GQ33,1,VLOOKUP($F$6,$L$2:$O$14,4,FALSE)+$C$9*5+VLOOKUP(D47,Auswahllisten!$E$25:$F$29,2,FALSE)))</f>
        <v>0</v>
      </c>
      <c r="J47" s="16">
        <f t="shared" ca="1" si="63"/>
        <v>0</v>
      </c>
      <c r="K47" s="16">
        <f t="shared" ca="1" si="56"/>
        <v>0</v>
      </c>
      <c r="L47" s="16" t="b">
        <f t="shared" ca="1" si="57"/>
        <v>0</v>
      </c>
      <c r="M47" s="26">
        <f t="shared" ca="1" si="11"/>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IF($U$5=0,0,INDEX(Faktoren!E33:GQ33,1,VLOOKUP($X$5,$L$2:$O$14,4,FALSE)+$U$9*5+VLOOKUP(O47,Auswahllisten!$E$25:$F$29,2,FALSE)))</f>
        <v>0</v>
      </c>
      <c r="R47" s="26">
        <f t="shared" ca="1" si="58"/>
        <v>0</v>
      </c>
      <c r="S47" s="26" cm="1">
        <f t="array" aca="1" ref="S47" ca="1">INDIRECT("Investition_gewählt!"&amp;$AA$6&amp;AA47)</f>
        <v>0</v>
      </c>
      <c r="T47" s="16" cm="1">
        <f t="array" aca="1" ref="T47" ca="1">IF($U$5=0,0,INDEX(Faktoren!E33:QG33,1,VLOOKUP($X$6,$L$3:$O$14,4,FALSE)+$U$9*5+VLOOKUP(O47,Auswahllisten!$E$25:$F$29,2,FALSE)))</f>
        <v>0</v>
      </c>
      <c r="U47" s="26">
        <f t="shared" ca="1" si="59"/>
        <v>0</v>
      </c>
      <c r="V47" s="26">
        <f t="shared" ca="1" si="14"/>
        <v>0</v>
      </c>
      <c r="W47" s="25" t="b">
        <f t="shared" ca="1" si="64"/>
        <v>0</v>
      </c>
      <c r="X47" s="26">
        <f t="shared" ca="1" si="16"/>
        <v>0</v>
      </c>
      <c r="Z47" s="1">
        <v>47</v>
      </c>
      <c r="AA47" s="1">
        <v>33</v>
      </c>
      <c r="AB47" s="1">
        <v>-2</v>
      </c>
      <c r="AF47" s="69">
        <f ca="1">AF45+AF46</f>
        <v>0</v>
      </c>
      <c r="AG47" s="69"/>
      <c r="AN47" s="1">
        <v>22</v>
      </c>
      <c r="AO47" s="1">
        <f t="shared" si="22"/>
        <v>0</v>
      </c>
      <c r="AP47" s="69">
        <f t="shared" ca="1" si="65"/>
        <v>0</v>
      </c>
      <c r="AQ47" s="69">
        <f t="shared" ca="1" si="65"/>
        <v>0</v>
      </c>
      <c r="AR47" s="69">
        <f t="shared" si="65"/>
        <v>0</v>
      </c>
      <c r="AS47" s="69">
        <f t="shared" ca="1" si="65"/>
        <v>0</v>
      </c>
      <c r="AT47" s="69">
        <f t="shared" ca="1" si="65"/>
        <v>0</v>
      </c>
      <c r="AU47" s="69">
        <f t="shared" ca="1" si="65"/>
        <v>0</v>
      </c>
      <c r="AV47" s="69">
        <f t="shared" si="65"/>
        <v>0</v>
      </c>
      <c r="AW47" s="69">
        <f t="shared" ca="1" si="66"/>
        <v>0</v>
      </c>
      <c r="AX47" s="69">
        <f t="shared" ca="1" si="33"/>
        <v>0</v>
      </c>
      <c r="AY47" s="69">
        <f t="shared" ca="1" si="34"/>
        <v>0</v>
      </c>
      <c r="AZ47" s="69">
        <f ca="1">$AO47*IF(Auswahllisten!$G$150,AZ$25+AZ$25*AZ$13*$AN47,AZ$25*(1+AZ$13)^$AN47)</f>
        <v>0</v>
      </c>
      <c r="BA47" s="69">
        <f ca="1">$AO47*IF(Auswahllisten!$G$150,BA$25+BA$25*BA$13*$AN47,BA$25*(1+BA$13)^$AN47)</f>
        <v>0</v>
      </c>
      <c r="BB47" s="69">
        <f ca="1">$AO47*IF(Auswahllisten!$G$150,BB$25+BB$25*BB$13*$AN47,BB$25*(1+BB$13)^$AN47)</f>
        <v>0</v>
      </c>
      <c r="BC47" s="69">
        <f ca="1">$AO47*IF(Auswahllisten!$G$150,BC$25+BC$25*BC$13*$AN47,BC$25*(1+BC$13)^$AN47)</f>
        <v>0</v>
      </c>
      <c r="BD47" s="69">
        <f t="shared" ca="1" si="35"/>
        <v>0</v>
      </c>
      <c r="BE47" s="69">
        <f t="shared" ca="1" si="36"/>
        <v>0</v>
      </c>
      <c r="BF47" s="69">
        <f t="shared" ca="1" si="37"/>
        <v>0</v>
      </c>
      <c r="BG47" s="69">
        <f t="shared" ca="1" si="38"/>
        <v>0</v>
      </c>
      <c r="BI47" s="69">
        <f t="shared" ca="1" si="61"/>
        <v>0</v>
      </c>
      <c r="BJ47" s="69">
        <f t="shared" ca="1" si="61"/>
        <v>0</v>
      </c>
      <c r="BK47" s="69">
        <f t="shared" si="61"/>
        <v>0</v>
      </c>
      <c r="BL47" s="69">
        <f t="shared" ca="1" si="61"/>
        <v>0</v>
      </c>
      <c r="BM47" s="69">
        <f t="shared" ca="1" si="61"/>
        <v>0</v>
      </c>
      <c r="BN47" s="69">
        <f t="shared" ca="1" si="61"/>
        <v>0</v>
      </c>
      <c r="BO47" s="69">
        <f t="shared" si="61"/>
        <v>0</v>
      </c>
      <c r="BP47" s="69">
        <f t="shared" ca="1" si="25"/>
        <v>0</v>
      </c>
      <c r="BQ47" s="69">
        <f t="shared" ca="1" si="39"/>
        <v>0</v>
      </c>
      <c r="BR47" s="69">
        <f t="shared" ca="1" si="26"/>
        <v>0</v>
      </c>
      <c r="BS47" s="69">
        <f ca="1">$AO47*IF(Auswahllisten!$G$150,BS$25+BS$25*BS$13*$AN47,BS$25*(1+BS$13)^$AN47)</f>
        <v>0</v>
      </c>
      <c r="BT47" s="69">
        <f ca="1">$AO47*IF(Auswahllisten!$G$150,BT$25+BT$25*BT$13*$AN47,BT$25*(1+BT$13)^$AN47)</f>
        <v>0</v>
      </c>
      <c r="BU47" s="69">
        <f ca="1">$AO47*IF(Auswahllisten!$G$150,BU$25+BU$25*BU$13*$AN47,BU$25*(1+BU$13)^$AN47)</f>
        <v>0</v>
      </c>
      <c r="BV47" s="69">
        <f ca="1">$AO47*IF(Auswahllisten!$G$150,BV$25+BV$25*BV$13*$AN47,BV$25*(1+BV$13)^$AN47)</f>
        <v>0</v>
      </c>
      <c r="BW47" s="69">
        <f t="shared" ca="1" si="40"/>
        <v>0</v>
      </c>
      <c r="BX47" s="69">
        <f t="shared" ca="1" si="41"/>
        <v>0</v>
      </c>
      <c r="BY47" s="69">
        <f t="shared" ca="1" si="27"/>
        <v>0</v>
      </c>
      <c r="BZ47" s="69">
        <f t="shared" ca="1" si="28"/>
        <v>0</v>
      </c>
    </row>
    <row r="48" spans="1:78">
      <c r="A48" s="306" t="s">
        <v>1256</v>
      </c>
      <c r="B48" s="297" t="s">
        <v>303</v>
      </c>
      <c r="C48" s="134" t="s">
        <v>186</v>
      </c>
      <c r="D48" s="163" t="str" cm="1">
        <f t="array" aca="1" ref="D48" ca="1">INDIRECT("Vergleich!"&amp;$G$2&amp;Z48)</f>
        <v>mittel</v>
      </c>
      <c r="E48" s="163" cm="1">
        <f t="array" aca="1" ref="E48" ca="1">INDIRECT("Investition_gewählt!"&amp;$I$5&amp;AA48)</f>
        <v>0</v>
      </c>
      <c r="F48" s="61" cm="1">
        <f t="array" aca="1" ref="F48" ca="1">IF($C$5=0,0,INDEX(Faktoren!E34:GQ34,1,VLOOKUP($F$5,$L$2:$O$14,4,FALSE)+$C$9*5+VLOOKUP(D48,Auswahllisten!$E$25:$F$29,2,FALSE)))</f>
        <v>0</v>
      </c>
      <c r="G48" s="296">
        <f t="shared" ca="1" si="62"/>
        <v>0</v>
      </c>
      <c r="H48" s="296" cm="1">
        <f t="array" aca="1" ref="H48" ca="1">INDIRECT("Investition_gewählt!"&amp;$I$6&amp;AA48)</f>
        <v>0</v>
      </c>
      <c r="I48" s="61" cm="1">
        <f t="array" aca="1" ref="I48" ca="1">IF($C$5=0,0,INDEX(Faktoren!E34:GQ34,1,VLOOKUP($F$6,$L$2:$O$14,4,FALSE)+$C$9*5+VLOOKUP(D48,Auswahllisten!$E$25:$F$29,2,FALSE)))</f>
        <v>0</v>
      </c>
      <c r="J48" s="93">
        <f t="shared" ca="1" si="63"/>
        <v>0</v>
      </c>
      <c r="K48" s="93">
        <f t="shared" ca="1" si="56"/>
        <v>0</v>
      </c>
      <c r="L48" s="93" t="b">
        <f t="shared" ca="1" si="57"/>
        <v>0</v>
      </c>
      <c r="M48" s="163">
        <f t="shared" ca="1" si="11"/>
        <v>0</v>
      </c>
      <c r="O48" s="93" t="str" cm="1">
        <f t="array" aca="1" ref="O48" ca="1">INDIRECT("Vergleich!"&amp;$Y$2&amp;Z48)</f>
        <v>gering</v>
      </c>
      <c r="P48" s="163" cm="1">
        <f t="array" aca="1" ref="P48" ca="1">INDIRECT("Investition_gewählt!"&amp;$AA$5&amp;AA48)</f>
        <v>0</v>
      </c>
      <c r="Q48" s="93" cm="1">
        <f t="array" aca="1" ref="Q48" ca="1">IF($U$5=0,0,INDEX(Faktoren!E34:GQ34,1,VLOOKUP($X$5,$L$2:$O$14,4,FALSE)+$U$9*5+VLOOKUP(O48,Auswahllisten!$E$25:$F$29,2,FALSE)))</f>
        <v>0</v>
      </c>
      <c r="R48" s="163">
        <f t="shared" ca="1" si="58"/>
        <v>0</v>
      </c>
      <c r="S48" s="163" cm="1">
        <f t="array" aca="1" ref="S48" ca="1">INDIRECT("Investition_gewählt!"&amp;$AA$6&amp;AA48)</f>
        <v>0</v>
      </c>
      <c r="T48" s="93" cm="1">
        <f t="array" aca="1" ref="T48" ca="1">IF($U$5=0,0,INDEX(Faktoren!E34:QG34,1,VLOOKUP($X$6,$L$3:$O$14,4,FALSE)+$U$9*5+VLOOKUP(O48,Auswahllisten!$E$25:$F$29,2,FALSE)))</f>
        <v>0</v>
      </c>
      <c r="U48" s="163">
        <f t="shared" ca="1" si="59"/>
        <v>0</v>
      </c>
      <c r="V48" s="163">
        <f t="shared" ca="1" si="14"/>
        <v>0</v>
      </c>
      <c r="W48" s="61" t="b">
        <f t="shared" ca="1" si="64"/>
        <v>0</v>
      </c>
      <c r="X48" s="163">
        <f t="shared" ca="1" si="16"/>
        <v>0</v>
      </c>
      <c r="Z48" s="1">
        <v>48</v>
      </c>
      <c r="AA48" s="1">
        <v>34</v>
      </c>
      <c r="AB48" s="1">
        <v>-2</v>
      </c>
      <c r="AF48" s="69"/>
      <c r="AN48" s="1">
        <v>23</v>
      </c>
      <c r="AO48" s="1">
        <f t="shared" si="22"/>
        <v>0</v>
      </c>
      <c r="AP48" s="69">
        <f t="shared" ca="1" si="65"/>
        <v>0</v>
      </c>
      <c r="AQ48" s="69">
        <f t="shared" ca="1" si="65"/>
        <v>0</v>
      </c>
      <c r="AR48" s="69">
        <f t="shared" si="65"/>
        <v>0</v>
      </c>
      <c r="AS48" s="69">
        <f t="shared" ca="1" si="65"/>
        <v>0</v>
      </c>
      <c r="AT48" s="69">
        <f t="shared" ca="1" si="65"/>
        <v>0</v>
      </c>
      <c r="AU48" s="69">
        <f t="shared" ca="1" si="65"/>
        <v>0</v>
      </c>
      <c r="AV48" s="69">
        <f t="shared" si="65"/>
        <v>0</v>
      </c>
      <c r="AW48" s="69">
        <f t="shared" ca="1" si="66"/>
        <v>0</v>
      </c>
      <c r="AX48" s="69">
        <f t="shared" ca="1" si="33"/>
        <v>0</v>
      </c>
      <c r="AY48" s="69">
        <f t="shared" ca="1" si="34"/>
        <v>0</v>
      </c>
      <c r="AZ48" s="69">
        <f ca="1">$AO48*IF(Auswahllisten!$G$150,AZ$25+AZ$25*AZ$13*$AN48,AZ$25*(1+AZ$13)^$AN48)</f>
        <v>0</v>
      </c>
      <c r="BA48" s="69">
        <f ca="1">$AO48*IF(Auswahllisten!$G$150,BA$25+BA$25*BA$13*$AN48,BA$25*(1+BA$13)^$AN48)</f>
        <v>0</v>
      </c>
      <c r="BB48" s="69">
        <f ca="1">$AO48*IF(Auswahllisten!$G$150,BB$25+BB$25*BB$13*$AN48,BB$25*(1+BB$13)^$AN48)</f>
        <v>0</v>
      </c>
      <c r="BC48" s="69">
        <f ca="1">$AO48*IF(Auswahllisten!$G$150,BC$25+BC$25*BC$13*$AN48,BC$25*(1+BC$13)^$AN48)</f>
        <v>0</v>
      </c>
      <c r="BD48" s="69">
        <f t="shared" ca="1" si="35"/>
        <v>0</v>
      </c>
      <c r="BE48" s="69">
        <f t="shared" ca="1" si="36"/>
        <v>0</v>
      </c>
      <c r="BF48" s="69">
        <f t="shared" ca="1" si="37"/>
        <v>0</v>
      </c>
      <c r="BG48" s="69">
        <f t="shared" ca="1" si="38"/>
        <v>0</v>
      </c>
      <c r="BI48" s="69">
        <f t="shared" ca="1" si="61"/>
        <v>0</v>
      </c>
      <c r="BJ48" s="69">
        <f t="shared" ca="1" si="61"/>
        <v>0</v>
      </c>
      <c r="BK48" s="69">
        <f t="shared" si="61"/>
        <v>0</v>
      </c>
      <c r="BL48" s="69">
        <f t="shared" ca="1" si="61"/>
        <v>0</v>
      </c>
      <c r="BM48" s="69">
        <f t="shared" ca="1" si="61"/>
        <v>0</v>
      </c>
      <c r="BN48" s="69">
        <f t="shared" ca="1" si="61"/>
        <v>0</v>
      </c>
      <c r="BO48" s="69">
        <f t="shared" si="61"/>
        <v>0</v>
      </c>
      <c r="BP48" s="69">
        <f t="shared" ca="1" si="25"/>
        <v>0</v>
      </c>
      <c r="BQ48" s="69">
        <f t="shared" ca="1" si="39"/>
        <v>0</v>
      </c>
      <c r="BR48" s="69">
        <f t="shared" ca="1" si="26"/>
        <v>0</v>
      </c>
      <c r="BS48" s="69">
        <f ca="1">$AO48*IF(Auswahllisten!$G$150,BS$25+BS$25*BS$13*$AN48,BS$25*(1+BS$13)^$AN48)</f>
        <v>0</v>
      </c>
      <c r="BT48" s="69">
        <f ca="1">$AO48*IF(Auswahllisten!$G$150,BT$25+BT$25*BT$13*$AN48,BT$25*(1+BT$13)^$AN48)</f>
        <v>0</v>
      </c>
      <c r="BU48" s="69">
        <f ca="1">$AO48*IF(Auswahllisten!$G$150,BU$25+BU$25*BU$13*$AN48,BU$25*(1+BU$13)^$AN48)</f>
        <v>0</v>
      </c>
      <c r="BV48" s="69">
        <f ca="1">$AO48*IF(Auswahllisten!$G$150,BV$25+BV$25*BV$13*$AN48,BV$25*(1+BV$13)^$AN48)</f>
        <v>0</v>
      </c>
      <c r="BW48" s="69">
        <f t="shared" ca="1" si="40"/>
        <v>0</v>
      </c>
      <c r="BX48" s="69">
        <f t="shared" ca="1" si="41"/>
        <v>0</v>
      </c>
      <c r="BY48" s="69">
        <f t="shared" ca="1" si="27"/>
        <v>0</v>
      </c>
      <c r="BZ48" s="69">
        <f t="shared" ca="1" si="28"/>
        <v>0</v>
      </c>
    </row>
    <row r="49" spans="1:78">
      <c r="A49" s="125"/>
      <c r="B49" s="64"/>
      <c r="C49" s="64"/>
      <c r="D49" s="69"/>
      <c r="M49" s="69"/>
      <c r="X49" s="69"/>
      <c r="AA49" s="1">
        <v>35</v>
      </c>
      <c r="AB49" s="1">
        <v>-2</v>
      </c>
      <c r="AF49" s="69"/>
      <c r="AN49" s="1">
        <v>24</v>
      </c>
      <c r="AO49" s="1">
        <f t="shared" si="22"/>
        <v>0</v>
      </c>
      <c r="AP49" s="69">
        <f t="shared" ca="1" si="65"/>
        <v>0</v>
      </c>
      <c r="AQ49" s="69">
        <f t="shared" ca="1" si="65"/>
        <v>0</v>
      </c>
      <c r="AR49" s="69">
        <f t="shared" si="65"/>
        <v>0</v>
      </c>
      <c r="AS49" s="69">
        <f t="shared" ca="1" si="65"/>
        <v>0</v>
      </c>
      <c r="AT49" s="69">
        <f t="shared" ca="1" si="65"/>
        <v>0</v>
      </c>
      <c r="AU49" s="69">
        <f t="shared" ca="1" si="65"/>
        <v>0</v>
      </c>
      <c r="AV49" s="69">
        <f t="shared" si="65"/>
        <v>0</v>
      </c>
      <c r="AW49" s="69">
        <f t="shared" ca="1" si="66"/>
        <v>0</v>
      </c>
      <c r="AX49" s="69">
        <f t="shared" ca="1" si="33"/>
        <v>0</v>
      </c>
      <c r="AY49" s="69">
        <f t="shared" ca="1" si="34"/>
        <v>0</v>
      </c>
      <c r="AZ49" s="69">
        <f ca="1">$AO49*IF(Auswahllisten!$G$150,AZ$25+AZ$25*AZ$13*$AN49,AZ$25*(1+AZ$13)^$AN49)</f>
        <v>0</v>
      </c>
      <c r="BA49" s="69">
        <f ca="1">$AO49*IF(Auswahllisten!$G$150,BA$25+BA$25*BA$13*$AN49,BA$25*(1+BA$13)^$AN49)</f>
        <v>0</v>
      </c>
      <c r="BB49" s="69">
        <f ca="1">$AO49*IF(Auswahllisten!$G$150,BB$25+BB$25*BB$13*$AN49,BB$25*(1+BB$13)^$AN49)</f>
        <v>0</v>
      </c>
      <c r="BC49" s="69">
        <f ca="1">$AO49*IF(Auswahllisten!$G$150,BC$25+BC$25*BC$13*$AN49,BC$25*(1+BC$13)^$AN49)</f>
        <v>0</v>
      </c>
      <c r="BD49" s="69">
        <f t="shared" ca="1" si="35"/>
        <v>0</v>
      </c>
      <c r="BE49" s="69">
        <f t="shared" ca="1" si="36"/>
        <v>0</v>
      </c>
      <c r="BF49" s="69">
        <f t="shared" ca="1" si="37"/>
        <v>0</v>
      </c>
      <c r="BG49" s="69">
        <f t="shared" ca="1" si="38"/>
        <v>0</v>
      </c>
      <c r="BI49" s="69">
        <f t="shared" ca="1" si="61"/>
        <v>0</v>
      </c>
      <c r="BJ49" s="69">
        <f t="shared" ca="1" si="61"/>
        <v>0</v>
      </c>
      <c r="BK49" s="69">
        <f t="shared" si="61"/>
        <v>0</v>
      </c>
      <c r="BL49" s="69">
        <f t="shared" ca="1" si="61"/>
        <v>0</v>
      </c>
      <c r="BM49" s="69">
        <f t="shared" ca="1" si="61"/>
        <v>0</v>
      </c>
      <c r="BN49" s="69">
        <f t="shared" ca="1" si="61"/>
        <v>0</v>
      </c>
      <c r="BO49" s="69">
        <f t="shared" si="61"/>
        <v>0</v>
      </c>
      <c r="BP49" s="69">
        <f t="shared" ca="1" si="25"/>
        <v>0</v>
      </c>
      <c r="BQ49" s="69">
        <f t="shared" ca="1" si="39"/>
        <v>0</v>
      </c>
      <c r="BR49" s="69">
        <f t="shared" ca="1" si="26"/>
        <v>0</v>
      </c>
      <c r="BS49" s="69">
        <f ca="1">$AO49*IF(Auswahllisten!$G$150,BS$25+BS$25*BS$13*$AN49,BS$25*(1+BS$13)^$AN49)</f>
        <v>0</v>
      </c>
      <c r="BT49" s="69">
        <f ca="1">$AO49*IF(Auswahllisten!$G$150,BT$25+BT$25*BT$13*$AN49,BT$25*(1+BT$13)^$AN49)</f>
        <v>0</v>
      </c>
      <c r="BU49" s="69">
        <f ca="1">$AO49*IF(Auswahllisten!$G$150,BU$25+BU$25*BU$13*$AN49,BU$25*(1+BU$13)^$AN49)</f>
        <v>0</v>
      </c>
      <c r="BV49" s="69">
        <f ca="1">$AO49*IF(Auswahllisten!$G$150,BV$25+BV$25*BV$13*$AN49,BV$25*(1+BV$13)^$AN49)</f>
        <v>0</v>
      </c>
      <c r="BW49" s="69">
        <f t="shared" ca="1" si="40"/>
        <v>0</v>
      </c>
      <c r="BX49" s="69">
        <f t="shared" ca="1" si="41"/>
        <v>0</v>
      </c>
      <c r="BY49" s="69">
        <f t="shared" ca="1" si="27"/>
        <v>0</v>
      </c>
      <c r="BZ49" s="69">
        <f t="shared" ca="1" si="28"/>
        <v>0</v>
      </c>
    </row>
    <row r="50" spans="1:78">
      <c r="A50" s="125" t="s">
        <v>996</v>
      </c>
      <c r="B50" s="125" t="s">
        <v>141</v>
      </c>
      <c r="C50" s="125"/>
      <c r="D50" s="69"/>
      <c r="L50" s="155">
        <v>5</v>
      </c>
      <c r="M50" s="69"/>
      <c r="X50" s="69"/>
      <c r="AA50" s="1">
        <v>36</v>
      </c>
      <c r="AB50" s="1">
        <v>-2</v>
      </c>
      <c r="AN50" s="1">
        <v>25</v>
      </c>
      <c r="AO50" s="1">
        <f t="shared" si="22"/>
        <v>0</v>
      </c>
      <c r="AP50" s="69">
        <f t="shared" ca="1" si="65"/>
        <v>0</v>
      </c>
      <c r="AQ50" s="69">
        <f t="shared" ca="1" si="65"/>
        <v>0</v>
      </c>
      <c r="AR50" s="69">
        <f t="shared" si="65"/>
        <v>0</v>
      </c>
      <c r="AS50" s="69">
        <f t="shared" ca="1" si="65"/>
        <v>0</v>
      </c>
      <c r="AT50" s="69">
        <f t="shared" ca="1" si="65"/>
        <v>0</v>
      </c>
      <c r="AU50" s="69">
        <f t="shared" ca="1" si="65"/>
        <v>0</v>
      </c>
      <c r="AV50" s="69">
        <f t="shared" si="65"/>
        <v>0</v>
      </c>
      <c r="AW50" s="69">
        <f t="shared" ca="1" si="66"/>
        <v>0</v>
      </c>
      <c r="AX50" s="69">
        <f t="shared" ca="1" si="33"/>
        <v>0</v>
      </c>
      <c r="AY50" s="69">
        <f t="shared" ca="1" si="34"/>
        <v>0</v>
      </c>
      <c r="AZ50" s="69">
        <f ca="1">$AO50*IF(Auswahllisten!$G$150,AZ$25+AZ$25*AZ$13*$AN50,AZ$25*(1+AZ$13)^$AN50)</f>
        <v>0</v>
      </c>
      <c r="BA50" s="69">
        <f ca="1">$AO50*IF(Auswahllisten!$G$150,BA$25+BA$25*BA$13*$AN50,BA$25*(1+BA$13)^$AN50)</f>
        <v>0</v>
      </c>
      <c r="BB50" s="69">
        <f ca="1">$AO50*IF(Auswahllisten!$G$150,BB$25+BB$25*BB$13*$AN50,BB$25*(1+BB$13)^$AN50)</f>
        <v>0</v>
      </c>
      <c r="BC50" s="69">
        <f ca="1">$AO50*IF(Auswahllisten!$G$150,BC$25+BC$25*BC$13*$AN50,BC$25*(1+BC$13)^$AN50)</f>
        <v>0</v>
      </c>
      <c r="BD50" s="69">
        <f t="shared" ca="1" si="35"/>
        <v>0</v>
      </c>
      <c r="BE50" s="69">
        <f t="shared" ca="1" si="36"/>
        <v>0</v>
      </c>
      <c r="BF50" s="69">
        <f t="shared" ca="1" si="37"/>
        <v>0</v>
      </c>
      <c r="BG50" s="69">
        <f t="shared" ca="1" si="38"/>
        <v>0</v>
      </c>
      <c r="BI50" s="69">
        <f t="shared" ca="1" si="61"/>
        <v>0</v>
      </c>
      <c r="BJ50" s="69">
        <f t="shared" ca="1" si="61"/>
        <v>0</v>
      </c>
      <c r="BK50" s="69">
        <f t="shared" si="61"/>
        <v>0</v>
      </c>
      <c r="BL50" s="69">
        <f t="shared" ca="1" si="61"/>
        <v>0</v>
      </c>
      <c r="BM50" s="69">
        <f t="shared" ca="1" si="61"/>
        <v>0</v>
      </c>
      <c r="BN50" s="69">
        <f t="shared" ca="1" si="61"/>
        <v>0</v>
      </c>
      <c r="BO50" s="69">
        <f t="shared" si="61"/>
        <v>0</v>
      </c>
      <c r="BP50" s="69">
        <f t="shared" ca="1" si="25"/>
        <v>0</v>
      </c>
      <c r="BQ50" s="69">
        <f t="shared" ca="1" si="39"/>
        <v>0</v>
      </c>
      <c r="BR50" s="69">
        <f t="shared" ca="1" si="26"/>
        <v>0</v>
      </c>
      <c r="BS50" s="69">
        <f ca="1">$AO50*IF(Auswahllisten!$G$150,BS$25+BS$25*BS$13*$AN50,BS$25*(1+BS$13)^$AN50)</f>
        <v>0</v>
      </c>
      <c r="BT50" s="69">
        <f ca="1">$AO50*IF(Auswahllisten!$G$150,BT$25+BT$25*BT$13*$AN50,BT$25*(1+BT$13)^$AN50)</f>
        <v>0</v>
      </c>
      <c r="BU50" s="69">
        <f ca="1">$AO50*IF(Auswahllisten!$G$150,BU$25+BU$25*BU$13*$AN50,BU$25*(1+BU$13)^$AN50)</f>
        <v>0</v>
      </c>
      <c r="BV50" s="69">
        <f ca="1">$AO50*IF(Auswahllisten!$G$150,BV$25+BV$25*BV$13*$AN50,BV$25*(1+BV$13)^$AN50)</f>
        <v>0</v>
      </c>
      <c r="BW50" s="69">
        <f t="shared" ca="1" si="40"/>
        <v>0</v>
      </c>
      <c r="BX50" s="69">
        <f t="shared" ca="1" si="41"/>
        <v>0</v>
      </c>
      <c r="BY50" s="69">
        <f t="shared" ca="1" si="27"/>
        <v>0</v>
      </c>
      <c r="BZ50" s="69">
        <f t="shared" ca="1" si="28"/>
        <v>0</v>
      </c>
    </row>
    <row r="51" spans="1:78">
      <c r="A51" s="304" t="s">
        <v>1217</v>
      </c>
      <c r="B51" s="131" t="s">
        <v>1242</v>
      </c>
      <c r="C51" s="131" t="s">
        <v>964</v>
      </c>
      <c r="D51" s="162" t="str" cm="1">
        <f t="array" aca="1" ref="D51" ca="1">INDIRECT("Vergleich!"&amp;$G$2&amp;Z51)</f>
        <v>mittel</v>
      </c>
      <c r="E51" s="162" cm="1">
        <f t="array" aca="1" ref="E51" ca="1">INDIRECT("Investition_gewählt!"&amp;$I$5&amp;AA51)</f>
        <v>3000</v>
      </c>
      <c r="F51" s="25" cm="1">
        <f t="array" aca="1" ref="F51" ca="1">IF($C$5=0,0,INDEX(Faktoren!E37:GQ37,1,VLOOKUP($F$5,$L$2:$O$14,4,FALSE)+$C$9*5+VLOOKUP(D51,Auswahllisten!$E$25:$F$29,2,FALSE)))</f>
        <v>0</v>
      </c>
      <c r="G51" s="162">
        <f ca="1">E51*F51</f>
        <v>0</v>
      </c>
      <c r="H51" s="162" cm="1">
        <f t="array" aca="1" ref="H51" ca="1">INDIRECT("Investition_gewählt!"&amp;$I$6&amp;AA51)</f>
        <v>3000</v>
      </c>
      <c r="I51" s="25" cm="1">
        <f t="array" aca="1" ref="I51" ca="1">IF($C$5=0,0,INDEX(Faktoren!E37:GQ37,1,VLOOKUP($F$6,$L$2:$O$14,4,FALSE)+$C$9*5+VLOOKUP(D51,Auswahllisten!$E$25:$F$29,2,FALSE)))</f>
        <v>0</v>
      </c>
      <c r="J51" s="162">
        <f ca="1">H51*I51</f>
        <v>0</v>
      </c>
      <c r="K51" s="162">
        <f t="shared" ref="K51:K58" ca="1" si="67">IF($C$5=0,0,G51+(J51-G51)*($C$6-$F$5)/($F$6-$F$5))</f>
        <v>0</v>
      </c>
      <c r="L51" s="25" t="b">
        <f t="shared" ref="L51:L58" ca="1" si="68">($C$5=$L$50)</f>
        <v>0</v>
      </c>
      <c r="M51" s="162">
        <f t="shared" ca="1" si="11"/>
        <v>0</v>
      </c>
      <c r="O51" s="25" t="str" cm="1">
        <f t="array" aca="1" ref="O51" ca="1">INDIRECT("Vergleich!"&amp;$Y$2&amp;Z51)</f>
        <v>gering</v>
      </c>
      <c r="P51" s="162" cm="1">
        <f t="array" aca="1" ref="P51" ca="1">INDIRECT("Investition_gewählt!"&amp;$AA$5&amp;AA51)</f>
        <v>3000</v>
      </c>
      <c r="Q51" s="25" cm="1">
        <f t="array" aca="1" ref="Q51" ca="1">IF($U$5=0,0,INDEX(Faktoren!E37:GQ37,1,VLOOKUP($X$5,$L$2:$O$14,4,FALSE)+$U$9*5+VLOOKUP(O51,Auswahllisten!$E$25:$F$29,2,FALSE)))</f>
        <v>0</v>
      </c>
      <c r="R51" s="162">
        <f t="shared" ref="R51:R58" ca="1" si="69">P51*Q51</f>
        <v>0</v>
      </c>
      <c r="S51" s="162" cm="1">
        <f t="array" aca="1" ref="S51" ca="1">INDIRECT("Investition_gewählt!"&amp;$AA$6&amp;AA51)</f>
        <v>3000</v>
      </c>
      <c r="T51" s="25" cm="1">
        <f t="array" aca="1" ref="T51" ca="1">IF($U$5=0,0,INDEX(Faktoren!E37:QG37,1,VLOOKUP($X$6,$L$3:$O$14,4,FALSE)+$U$9*5+VLOOKUP(O51,Auswahllisten!$E$25:$F$29,2,FALSE)))</f>
        <v>0</v>
      </c>
      <c r="U51" s="25">
        <f t="shared" ref="U51:U58" ca="1" si="70">S51*T51</f>
        <v>0</v>
      </c>
      <c r="V51" s="25">
        <f t="shared" ca="1" si="14"/>
        <v>0</v>
      </c>
      <c r="W51" s="25" t="b">
        <f ca="1">($U$5=$L$50)</f>
        <v>0</v>
      </c>
      <c r="X51" s="162">
        <f t="shared" ca="1" si="16"/>
        <v>0</v>
      </c>
      <c r="Z51" s="1">
        <v>33</v>
      </c>
      <c r="AA51" s="1">
        <v>37</v>
      </c>
      <c r="AB51" s="1">
        <v>-2</v>
      </c>
      <c r="AN51" s="1">
        <v>26</v>
      </c>
      <c r="AO51" s="1">
        <f t="shared" si="22"/>
        <v>0</v>
      </c>
      <c r="AP51" s="69">
        <f t="shared" ca="1" si="65"/>
        <v>0</v>
      </c>
      <c r="AQ51" s="69">
        <f t="shared" ca="1" si="65"/>
        <v>0</v>
      </c>
      <c r="AR51" s="69">
        <f t="shared" si="65"/>
        <v>0</v>
      </c>
      <c r="AS51" s="69">
        <f t="shared" ca="1" si="65"/>
        <v>0</v>
      </c>
      <c r="AT51" s="69">
        <f t="shared" ca="1" si="65"/>
        <v>0</v>
      </c>
      <c r="AU51" s="69">
        <f t="shared" ca="1" si="65"/>
        <v>0</v>
      </c>
      <c r="AV51" s="69">
        <f t="shared" si="65"/>
        <v>0</v>
      </c>
      <c r="AW51" s="69">
        <f t="shared" ca="1" si="66"/>
        <v>0</v>
      </c>
      <c r="AX51" s="69">
        <f t="shared" ca="1" si="33"/>
        <v>0</v>
      </c>
      <c r="AY51" s="69">
        <f t="shared" ca="1" si="34"/>
        <v>0</v>
      </c>
      <c r="AZ51" s="69">
        <f ca="1">$AO51*IF(Auswahllisten!$G$150,AZ$25+AZ$25*AZ$13*$AN51,AZ$25*(1+AZ$13)^$AN51)</f>
        <v>0</v>
      </c>
      <c r="BA51" s="69">
        <f ca="1">$AO51*IF(Auswahllisten!$G$150,BA$25+BA$25*BA$13*$AN51,BA$25*(1+BA$13)^$AN51)</f>
        <v>0</v>
      </c>
      <c r="BB51" s="69">
        <f ca="1">$AO51*IF(Auswahllisten!$G$150,BB$25+BB$25*BB$13*$AN51,BB$25*(1+BB$13)^$AN51)</f>
        <v>0</v>
      </c>
      <c r="BC51" s="69">
        <f ca="1">$AO51*IF(Auswahllisten!$G$150,BC$25+BC$25*BC$13*$AN51,BC$25*(1+BC$13)^$AN51)</f>
        <v>0</v>
      </c>
      <c r="BD51" s="69">
        <f t="shared" ca="1" si="35"/>
        <v>0</v>
      </c>
      <c r="BE51" s="69">
        <f t="shared" ca="1" si="36"/>
        <v>0</v>
      </c>
      <c r="BF51" s="69">
        <f t="shared" ca="1" si="37"/>
        <v>0</v>
      </c>
      <c r="BG51" s="69">
        <f t="shared" ca="1" si="38"/>
        <v>0</v>
      </c>
      <c r="BI51" s="69">
        <f t="shared" ca="1" si="61"/>
        <v>0</v>
      </c>
      <c r="BJ51" s="69">
        <f t="shared" ca="1" si="61"/>
        <v>0</v>
      </c>
      <c r="BK51" s="69">
        <f t="shared" si="61"/>
        <v>0</v>
      </c>
      <c r="BL51" s="69">
        <f t="shared" ca="1" si="61"/>
        <v>0</v>
      </c>
      <c r="BM51" s="69">
        <f t="shared" ca="1" si="61"/>
        <v>0</v>
      </c>
      <c r="BN51" s="69">
        <f t="shared" ca="1" si="61"/>
        <v>0</v>
      </c>
      <c r="BO51" s="69">
        <f t="shared" si="61"/>
        <v>0</v>
      </c>
      <c r="BP51" s="69">
        <f t="shared" ca="1" si="25"/>
        <v>0</v>
      </c>
      <c r="BQ51" s="69">
        <f t="shared" ca="1" si="39"/>
        <v>0</v>
      </c>
      <c r="BR51" s="69">
        <f t="shared" ca="1" si="26"/>
        <v>0</v>
      </c>
      <c r="BS51" s="69">
        <f ca="1">$AO51*IF(Auswahllisten!$G$150,BS$25+BS$25*BS$13*$AN51,BS$25*(1+BS$13)^$AN51)</f>
        <v>0</v>
      </c>
      <c r="BT51" s="69">
        <f ca="1">$AO51*IF(Auswahllisten!$G$150,BT$25+BT$25*BT$13*$AN51,BT$25*(1+BT$13)^$AN51)</f>
        <v>0</v>
      </c>
      <c r="BU51" s="69">
        <f ca="1">$AO51*IF(Auswahllisten!$G$150,BU$25+BU$25*BU$13*$AN51,BU$25*(1+BU$13)^$AN51)</f>
        <v>0</v>
      </c>
      <c r="BV51" s="69">
        <f ca="1">$AO51*IF(Auswahllisten!$G$150,BV$25+BV$25*BV$13*$AN51,BV$25*(1+BV$13)^$AN51)</f>
        <v>0</v>
      </c>
      <c r="BW51" s="69">
        <f t="shared" ca="1" si="40"/>
        <v>0</v>
      </c>
      <c r="BX51" s="69">
        <f t="shared" ca="1" si="41"/>
        <v>0</v>
      </c>
      <c r="BY51" s="69">
        <f t="shared" ca="1" si="27"/>
        <v>0</v>
      </c>
      <c r="BZ51" s="69">
        <f t="shared" ca="1" si="28"/>
        <v>0</v>
      </c>
    </row>
    <row r="52" spans="1:78">
      <c r="A52" s="305" t="s">
        <v>1215</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IF($C$5=0,0,INDEX(Faktoren!E38:GQ38,1,VLOOKUP($F$5,$L$2:$O$14,4,FALSE)+$C$9*5+VLOOKUP(D52,Auswahllisten!$E$25:$F$29,2,FALSE)))</f>
        <v>0</v>
      </c>
      <c r="G52" s="26">
        <f t="shared" ref="G52:G58" ca="1" si="71">E52*F52</f>
        <v>0</v>
      </c>
      <c r="H52" s="26" cm="1">
        <f t="array" aca="1" ref="H52" ca="1">INDIRECT("Investition_gewählt!"&amp;$I$6&amp;AA52)</f>
        <v>15800</v>
      </c>
      <c r="I52" s="25" cm="1">
        <f t="array" aca="1" ref="I52" ca="1">IF($C$5=0,0,INDEX(Faktoren!E38:GQ38,1,VLOOKUP($F$6,$L$2:$O$14,4,FALSE)+$C$9*5+VLOOKUP(D52,Auswahllisten!$E$25:$F$29,2,FALSE)))</f>
        <v>0</v>
      </c>
      <c r="J52" s="26">
        <f t="shared" ref="J52:J58" ca="1" si="72">H52*I52</f>
        <v>0</v>
      </c>
      <c r="K52" s="26">
        <f t="shared" ca="1" si="67"/>
        <v>0</v>
      </c>
      <c r="L52" s="16" t="b">
        <f t="shared" ca="1" si="68"/>
        <v>0</v>
      </c>
      <c r="M52" s="26">
        <f t="shared" ca="1" si="11"/>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IF($U$5=0,0,INDEX(Faktoren!E38:GQ38,1,VLOOKUP($X$5,$L$2:$O$14,4,FALSE)+$U$9*5+VLOOKUP(O52,Auswahllisten!$E$25:$F$29,2,FALSE)))</f>
        <v>0</v>
      </c>
      <c r="R52" s="26">
        <f t="shared" ca="1" si="69"/>
        <v>0</v>
      </c>
      <c r="S52" s="26" cm="1">
        <f t="array" aca="1" ref="S52" ca="1">INDIRECT("Investition_gewählt!"&amp;$AA$6&amp;AA52)</f>
        <v>15800</v>
      </c>
      <c r="T52" s="16" cm="1">
        <f t="array" aca="1" ref="T52" ca="1">IF($U$5=0,0,INDEX(Faktoren!E38:QG38,1,VLOOKUP($X$6,$L$3:$O$14,4,FALSE)+$U$9*5+VLOOKUP(O52,Auswahllisten!$E$25:$F$29,2,FALSE)))</f>
        <v>0</v>
      </c>
      <c r="U52" s="26">
        <f t="shared" ca="1" si="70"/>
        <v>0</v>
      </c>
      <c r="V52" s="26">
        <f t="shared" ca="1" si="14"/>
        <v>0</v>
      </c>
      <c r="W52" s="16" t="b">
        <f t="shared" ref="W52:W58" ca="1" si="73">($U$5=$L$50)</f>
        <v>0</v>
      </c>
      <c r="X52" s="26">
        <f t="shared" ca="1" si="16"/>
        <v>0</v>
      </c>
      <c r="Z52" s="1">
        <v>40</v>
      </c>
      <c r="AA52" s="1">
        <v>38</v>
      </c>
      <c r="AB52" s="1">
        <v>-2</v>
      </c>
      <c r="AN52" s="1">
        <v>27</v>
      </c>
      <c r="AO52" s="1">
        <f t="shared" si="22"/>
        <v>0</v>
      </c>
      <c r="AP52" s="69">
        <f t="shared" ca="1" si="65"/>
        <v>0</v>
      </c>
      <c r="AQ52" s="69">
        <f t="shared" ca="1" si="65"/>
        <v>0</v>
      </c>
      <c r="AR52" s="69">
        <f t="shared" si="65"/>
        <v>0</v>
      </c>
      <c r="AS52" s="69">
        <f t="shared" ca="1" si="65"/>
        <v>0</v>
      </c>
      <c r="AT52" s="69">
        <f t="shared" ca="1" si="65"/>
        <v>0</v>
      </c>
      <c r="AU52" s="69">
        <f t="shared" ca="1" si="65"/>
        <v>0</v>
      </c>
      <c r="AV52" s="69">
        <f t="shared" si="65"/>
        <v>0</v>
      </c>
      <c r="AW52" s="69">
        <f t="shared" ca="1" si="66"/>
        <v>0</v>
      </c>
      <c r="AX52" s="69">
        <f t="shared" ca="1" si="33"/>
        <v>0</v>
      </c>
      <c r="AY52" s="69">
        <f t="shared" ca="1" si="34"/>
        <v>0</v>
      </c>
      <c r="AZ52" s="69">
        <f ca="1">$AO52*IF(Auswahllisten!$G$150,AZ$25+AZ$25*AZ$13*$AN52,AZ$25*(1+AZ$13)^$AN52)</f>
        <v>0</v>
      </c>
      <c r="BA52" s="69">
        <f ca="1">$AO52*IF(Auswahllisten!$G$150,BA$25+BA$25*BA$13*$AN52,BA$25*(1+BA$13)^$AN52)</f>
        <v>0</v>
      </c>
      <c r="BB52" s="69">
        <f ca="1">$AO52*IF(Auswahllisten!$G$150,BB$25+BB$25*BB$13*$AN52,BB$25*(1+BB$13)^$AN52)</f>
        <v>0</v>
      </c>
      <c r="BC52" s="69">
        <f ca="1">$AO52*IF(Auswahllisten!$G$150,BC$25+BC$25*BC$13*$AN52,BC$25*(1+BC$13)^$AN52)</f>
        <v>0</v>
      </c>
      <c r="BD52" s="69">
        <f t="shared" ca="1" si="35"/>
        <v>0</v>
      </c>
      <c r="BE52" s="69">
        <f t="shared" ca="1" si="36"/>
        <v>0</v>
      </c>
      <c r="BF52" s="69">
        <f t="shared" ca="1" si="37"/>
        <v>0</v>
      </c>
      <c r="BG52" s="69">
        <f t="shared" ca="1" si="38"/>
        <v>0</v>
      </c>
      <c r="BI52" s="69">
        <f t="shared" ca="1" si="61"/>
        <v>0</v>
      </c>
      <c r="BJ52" s="69">
        <f t="shared" ca="1" si="61"/>
        <v>0</v>
      </c>
      <c r="BK52" s="69">
        <f t="shared" si="61"/>
        <v>0</v>
      </c>
      <c r="BL52" s="69">
        <f t="shared" ca="1" si="61"/>
        <v>0</v>
      </c>
      <c r="BM52" s="69">
        <f t="shared" ca="1" si="61"/>
        <v>0</v>
      </c>
      <c r="BN52" s="69">
        <f t="shared" ca="1" si="61"/>
        <v>0</v>
      </c>
      <c r="BO52" s="69">
        <f t="shared" si="61"/>
        <v>0</v>
      </c>
      <c r="BP52" s="69">
        <f t="shared" ca="1" si="25"/>
        <v>0</v>
      </c>
      <c r="BQ52" s="69">
        <f t="shared" ca="1" si="39"/>
        <v>0</v>
      </c>
      <c r="BR52" s="69">
        <f t="shared" ca="1" si="26"/>
        <v>0</v>
      </c>
      <c r="BS52" s="69">
        <f ca="1">$AO52*IF(Auswahllisten!$G$150,BS$25+BS$25*BS$13*$AN52,BS$25*(1+BS$13)^$AN52)</f>
        <v>0</v>
      </c>
      <c r="BT52" s="69">
        <f ca="1">$AO52*IF(Auswahllisten!$G$150,BT$25+BT$25*BT$13*$AN52,BT$25*(1+BT$13)^$AN52)</f>
        <v>0</v>
      </c>
      <c r="BU52" s="69">
        <f ca="1">$AO52*IF(Auswahllisten!$G$150,BU$25+BU$25*BU$13*$AN52,BU$25*(1+BU$13)^$AN52)</f>
        <v>0</v>
      </c>
      <c r="BV52" s="69">
        <f ca="1">$AO52*IF(Auswahllisten!$G$150,BV$25+BV$25*BV$13*$AN52,BV$25*(1+BV$13)^$AN52)</f>
        <v>0</v>
      </c>
      <c r="BW52" s="69">
        <f t="shared" ca="1" si="40"/>
        <v>0</v>
      </c>
      <c r="BX52" s="69">
        <f t="shared" ca="1" si="41"/>
        <v>0</v>
      </c>
      <c r="BY52" s="69">
        <f t="shared" ca="1" si="27"/>
        <v>0</v>
      </c>
      <c r="BZ52" s="69">
        <f t="shared" ca="1" si="28"/>
        <v>0</v>
      </c>
    </row>
    <row r="53" spans="1:78">
      <c r="A53" s="305" t="s">
        <v>1215</v>
      </c>
      <c r="B53" s="126" t="s">
        <v>303</v>
      </c>
      <c r="C53" s="126" t="s">
        <v>965</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IF($C$5=0,0,INDEX(Faktoren!E39:GQ39,1,VLOOKUP($F$5,$L$2:$O$14,4,FALSE)+$C$9*5+VLOOKUP(D53,Auswahllisten!$E$25:$F$29,2,FALSE)))</f>
        <v>0</v>
      </c>
      <c r="G53" s="26">
        <f t="shared" ca="1" si="71"/>
        <v>0</v>
      </c>
      <c r="H53" s="26" cm="1">
        <f t="array" aca="1" ref="H53" ca="1">INDIRECT("Investition_gewählt!"&amp;$I$6&amp;AA53)</f>
        <v>3800</v>
      </c>
      <c r="I53" s="25" cm="1">
        <f t="array" aca="1" ref="I53" ca="1">IF($C$5=0,0,INDEX(Faktoren!E39:GQ39,1,VLOOKUP($F$6,$L$2:$O$14,4,FALSE)+$C$9*5+VLOOKUP(D53,Auswahllisten!$E$25:$F$29,2,FALSE)))</f>
        <v>0</v>
      </c>
      <c r="J53" s="26">
        <f t="shared" ca="1" si="72"/>
        <v>0</v>
      </c>
      <c r="K53" s="26">
        <f t="shared" ca="1" si="67"/>
        <v>0</v>
      </c>
      <c r="L53" s="16" t="b">
        <f t="shared" ca="1" si="68"/>
        <v>0</v>
      </c>
      <c r="M53" s="26">
        <f t="shared" ca="1" si="11"/>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IF($U$5=0,0,INDEX(Faktoren!E39:GQ39,1,VLOOKUP($X$5,$L$2:$O$14,4,FALSE)+$U$9*5+VLOOKUP(O53,Auswahllisten!$E$25:$F$29,2,FALSE)))</f>
        <v>0</v>
      </c>
      <c r="R53" s="26">
        <f t="shared" ca="1" si="69"/>
        <v>0</v>
      </c>
      <c r="S53" s="26" cm="1">
        <f t="array" aca="1" ref="S53" ca="1">INDIRECT("Investition_gewählt!"&amp;$AA$6&amp;AA53)</f>
        <v>3800</v>
      </c>
      <c r="T53" s="16" cm="1">
        <f t="array" aca="1" ref="T53" ca="1">IF($U$5=0,0,INDEX(Faktoren!E39:QG39,1,VLOOKUP($X$6,$L$3:$O$14,4,FALSE)+$U$9*5+VLOOKUP(O53,Auswahllisten!$E$25:$F$29,2,FALSE)))</f>
        <v>0</v>
      </c>
      <c r="U53" s="26">
        <f t="shared" ca="1" si="70"/>
        <v>0</v>
      </c>
      <c r="V53" s="26">
        <f t="shared" ca="1" si="14"/>
        <v>0</v>
      </c>
      <c r="W53" s="16" t="b">
        <f t="shared" ca="1" si="73"/>
        <v>0</v>
      </c>
      <c r="X53" s="26">
        <f t="shared" ca="1" si="16"/>
        <v>0</v>
      </c>
      <c r="Z53" s="1">
        <v>42</v>
      </c>
      <c r="AA53" s="1">
        <v>39</v>
      </c>
      <c r="AB53" s="1">
        <v>-2</v>
      </c>
      <c r="AN53" s="1">
        <v>28</v>
      </c>
      <c r="AO53" s="1">
        <f t="shared" si="22"/>
        <v>0</v>
      </c>
      <c r="AP53" s="69">
        <f t="shared" ca="1" si="65"/>
        <v>0</v>
      </c>
      <c r="AQ53" s="69">
        <f t="shared" ca="1" si="65"/>
        <v>0</v>
      </c>
      <c r="AR53" s="69">
        <f t="shared" si="65"/>
        <v>0</v>
      </c>
      <c r="AS53" s="69">
        <f t="shared" ca="1" si="65"/>
        <v>0</v>
      </c>
      <c r="AT53" s="69">
        <f t="shared" ca="1" si="65"/>
        <v>0</v>
      </c>
      <c r="AU53" s="69">
        <f t="shared" ca="1" si="65"/>
        <v>0</v>
      </c>
      <c r="AV53" s="69">
        <f t="shared" si="65"/>
        <v>0</v>
      </c>
      <c r="AW53" s="69">
        <f t="shared" ca="1" si="66"/>
        <v>0</v>
      </c>
      <c r="AX53" s="69">
        <f t="shared" ca="1" si="33"/>
        <v>0</v>
      </c>
      <c r="AY53" s="69">
        <f t="shared" ca="1" si="34"/>
        <v>0</v>
      </c>
      <c r="AZ53" s="69">
        <f ca="1">$AO53*IF(Auswahllisten!$G$150,AZ$25+AZ$25*AZ$13*$AN53,AZ$25*(1+AZ$13)^$AN53)</f>
        <v>0</v>
      </c>
      <c r="BA53" s="69">
        <f ca="1">$AO53*IF(Auswahllisten!$G$150,BA$25+BA$25*BA$13*$AN53,BA$25*(1+BA$13)^$AN53)</f>
        <v>0</v>
      </c>
      <c r="BB53" s="69">
        <f ca="1">$AO53*IF(Auswahllisten!$G$150,BB$25+BB$25*BB$13*$AN53,BB$25*(1+BB$13)^$AN53)</f>
        <v>0</v>
      </c>
      <c r="BC53" s="69">
        <f ca="1">$AO53*IF(Auswahllisten!$G$150,BC$25+BC$25*BC$13*$AN53,BC$25*(1+BC$13)^$AN53)</f>
        <v>0</v>
      </c>
      <c r="BD53" s="69">
        <f t="shared" ca="1" si="35"/>
        <v>0</v>
      </c>
      <c r="BE53" s="69">
        <f t="shared" ca="1" si="36"/>
        <v>0</v>
      </c>
      <c r="BF53" s="69">
        <f t="shared" ca="1" si="37"/>
        <v>0</v>
      </c>
      <c r="BG53" s="69">
        <f t="shared" ca="1" si="38"/>
        <v>0</v>
      </c>
      <c r="BI53" s="69">
        <f t="shared" ca="1" si="61"/>
        <v>0</v>
      </c>
      <c r="BJ53" s="69">
        <f t="shared" ca="1" si="61"/>
        <v>0</v>
      </c>
      <c r="BK53" s="69">
        <f t="shared" si="61"/>
        <v>0</v>
      </c>
      <c r="BL53" s="69">
        <f t="shared" ca="1" si="61"/>
        <v>0</v>
      </c>
      <c r="BM53" s="69">
        <f t="shared" ca="1" si="61"/>
        <v>0</v>
      </c>
      <c r="BN53" s="69">
        <f t="shared" ca="1" si="61"/>
        <v>0</v>
      </c>
      <c r="BO53" s="69">
        <f t="shared" si="61"/>
        <v>0</v>
      </c>
      <c r="BP53" s="69">
        <f t="shared" ca="1" si="25"/>
        <v>0</v>
      </c>
      <c r="BQ53" s="69">
        <f t="shared" ca="1" si="39"/>
        <v>0</v>
      </c>
      <c r="BR53" s="69">
        <f t="shared" ca="1" si="26"/>
        <v>0</v>
      </c>
      <c r="BS53" s="69">
        <f ca="1">$AO53*IF(Auswahllisten!$G$150,BS$25+BS$25*BS$13*$AN53,BS$25*(1+BS$13)^$AN53)</f>
        <v>0</v>
      </c>
      <c r="BT53" s="69">
        <f ca="1">$AO53*IF(Auswahllisten!$G$150,BT$25+BT$25*BT$13*$AN53,BT$25*(1+BT$13)^$AN53)</f>
        <v>0</v>
      </c>
      <c r="BU53" s="69">
        <f ca="1">$AO53*IF(Auswahllisten!$G$150,BU$25+BU$25*BU$13*$AN53,BU$25*(1+BU$13)^$AN53)</f>
        <v>0</v>
      </c>
      <c r="BV53" s="69">
        <f ca="1">$AO53*IF(Auswahllisten!$G$150,BV$25+BV$25*BV$13*$AN53,BV$25*(1+BV$13)^$AN53)</f>
        <v>0</v>
      </c>
      <c r="BW53" s="69">
        <f t="shared" ca="1" si="40"/>
        <v>0</v>
      </c>
      <c r="BX53" s="69">
        <f t="shared" ca="1" si="41"/>
        <v>0</v>
      </c>
      <c r="BY53" s="69">
        <f t="shared" ca="1" si="27"/>
        <v>0</v>
      </c>
      <c r="BZ53" s="69">
        <f t="shared" ca="1" si="28"/>
        <v>0</v>
      </c>
    </row>
    <row r="54" spans="1:78">
      <c r="A54" s="305" t="s">
        <v>1218</v>
      </c>
      <c r="B54" s="126" t="s">
        <v>1243</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IF($C$5=0,0,INDEX(Faktoren!E40:GQ40,1,VLOOKUP($F$5,$L$2:$O$14,4,FALSE)+$C$9*5+VLOOKUP(D54,Auswahllisten!$E$25:$F$29,2,FALSE)))</f>
        <v>0</v>
      </c>
      <c r="G54" s="26">
        <f t="shared" ca="1" si="71"/>
        <v>0</v>
      </c>
      <c r="H54" s="26" cm="1">
        <f t="array" aca="1" ref="H54" ca="1">INDIRECT("Investition_gewählt!"&amp;$I$6&amp;AA54)</f>
        <v>1500</v>
      </c>
      <c r="I54" s="25" cm="1">
        <f t="array" aca="1" ref="I54" ca="1">IF($C$5=0,0,INDEX(Faktoren!E40:GQ40,1,VLOOKUP($F$6,$L$2:$O$14,4,FALSE)+$C$9*5+VLOOKUP(D54,Auswahllisten!$E$25:$F$29,2,FALSE)))</f>
        <v>0</v>
      </c>
      <c r="J54" s="26">
        <f t="shared" ca="1" si="72"/>
        <v>0</v>
      </c>
      <c r="K54" s="26">
        <f t="shared" ca="1" si="67"/>
        <v>0</v>
      </c>
      <c r="L54" s="16" t="b">
        <f t="shared" ca="1" si="68"/>
        <v>0</v>
      </c>
      <c r="M54" s="26">
        <f t="shared" ca="1" si="11"/>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IF($U$5=0,0,INDEX(Faktoren!E40:GQ40,1,VLOOKUP($X$5,$L$2:$O$14,4,FALSE)+$U$9*5+VLOOKUP(O54,Auswahllisten!$E$25:$F$29,2,FALSE)))</f>
        <v>0</v>
      </c>
      <c r="R54" s="26">
        <f t="shared" ca="1" si="69"/>
        <v>0</v>
      </c>
      <c r="S54" s="26" cm="1">
        <f t="array" aca="1" ref="S54" ca="1">INDIRECT("Investition_gewählt!"&amp;$AA$6&amp;AA54)</f>
        <v>1500</v>
      </c>
      <c r="T54" s="16" cm="1">
        <f t="array" aca="1" ref="T54" ca="1">IF($U$5=0,0,INDEX(Faktoren!E40:QG40,1,VLOOKUP($X$6,$L$3:$O$14,4,FALSE)+$U$9*5+VLOOKUP(O54,Auswahllisten!$E$25:$F$29,2,FALSE)))</f>
        <v>0</v>
      </c>
      <c r="U54" s="26">
        <f t="shared" ca="1" si="70"/>
        <v>0</v>
      </c>
      <c r="V54" s="26">
        <f t="shared" ca="1" si="14"/>
        <v>0</v>
      </c>
      <c r="W54" s="16" t="b">
        <f t="shared" ca="1" si="73"/>
        <v>0</v>
      </c>
      <c r="X54" s="26">
        <f t="shared" ca="1" si="16"/>
        <v>0</v>
      </c>
      <c r="Z54" s="1">
        <v>41</v>
      </c>
      <c r="AA54" s="1">
        <v>40</v>
      </c>
      <c r="AB54" s="1">
        <v>-2</v>
      </c>
      <c r="AN54" s="1">
        <v>29</v>
      </c>
      <c r="AO54" s="1">
        <f t="shared" si="22"/>
        <v>0</v>
      </c>
      <c r="AP54" s="69">
        <f t="shared" ca="1" si="65"/>
        <v>0</v>
      </c>
      <c r="AQ54" s="69">
        <f t="shared" ca="1" si="65"/>
        <v>0</v>
      </c>
      <c r="AR54" s="69">
        <f t="shared" si="65"/>
        <v>0</v>
      </c>
      <c r="AS54" s="69">
        <f t="shared" ca="1" si="65"/>
        <v>0</v>
      </c>
      <c r="AT54" s="69">
        <f t="shared" ca="1" si="65"/>
        <v>0</v>
      </c>
      <c r="AU54" s="69">
        <f t="shared" ca="1" si="65"/>
        <v>0</v>
      </c>
      <c r="AV54" s="69">
        <f t="shared" si="65"/>
        <v>0</v>
      </c>
      <c r="AW54" s="69">
        <f t="shared" ca="1" si="66"/>
        <v>0</v>
      </c>
      <c r="AX54" s="69">
        <f t="shared" ca="1" si="33"/>
        <v>0</v>
      </c>
      <c r="AY54" s="69">
        <f t="shared" ca="1" si="34"/>
        <v>0</v>
      </c>
      <c r="AZ54" s="69">
        <f ca="1">$AO54*IF(Auswahllisten!$G$150,AZ$25+AZ$25*AZ$13*$AN54,AZ$25*(1+AZ$13)^$AN54)</f>
        <v>0</v>
      </c>
      <c r="BA54" s="69">
        <f ca="1">$AO54*IF(Auswahllisten!$G$150,BA$25+BA$25*BA$13*$AN54,BA$25*(1+BA$13)^$AN54)</f>
        <v>0</v>
      </c>
      <c r="BB54" s="69">
        <f ca="1">$AO54*IF(Auswahllisten!$G$150,BB$25+BB$25*BB$13*$AN54,BB$25*(1+BB$13)^$AN54)</f>
        <v>0</v>
      </c>
      <c r="BC54" s="69">
        <f ca="1">$AO54*IF(Auswahllisten!$G$150,BC$25+BC$25*BC$13*$AN54,BC$25*(1+BC$13)^$AN54)</f>
        <v>0</v>
      </c>
      <c r="BD54" s="69">
        <f t="shared" ca="1" si="35"/>
        <v>0</v>
      </c>
      <c r="BE54" s="69">
        <f t="shared" ca="1" si="36"/>
        <v>0</v>
      </c>
      <c r="BF54" s="69">
        <f t="shared" ca="1" si="37"/>
        <v>0</v>
      </c>
      <c r="BG54" s="69">
        <f t="shared" ca="1" si="38"/>
        <v>0</v>
      </c>
      <c r="BI54" s="69">
        <f t="shared" ca="1" si="61"/>
        <v>0</v>
      </c>
      <c r="BJ54" s="69">
        <f t="shared" ca="1" si="61"/>
        <v>0</v>
      </c>
      <c r="BK54" s="69">
        <f t="shared" si="61"/>
        <v>0</v>
      </c>
      <c r="BL54" s="69">
        <f t="shared" ca="1" si="61"/>
        <v>0</v>
      </c>
      <c r="BM54" s="69">
        <f t="shared" ca="1" si="61"/>
        <v>0</v>
      </c>
      <c r="BN54" s="69">
        <f t="shared" ca="1" si="61"/>
        <v>0</v>
      </c>
      <c r="BO54" s="69">
        <f t="shared" si="61"/>
        <v>0</v>
      </c>
      <c r="BP54" s="69">
        <f t="shared" ca="1" si="25"/>
        <v>0</v>
      </c>
      <c r="BQ54" s="69">
        <f t="shared" ca="1" si="39"/>
        <v>0</v>
      </c>
      <c r="BR54" s="69">
        <f t="shared" ca="1" si="26"/>
        <v>0</v>
      </c>
      <c r="BS54" s="69">
        <f ca="1">$AO54*IF(Auswahllisten!$G$150,BS$25+BS$25*BS$13*$AN54,BS$25*(1+BS$13)^$AN54)</f>
        <v>0</v>
      </c>
      <c r="BT54" s="69">
        <f ca="1">$AO54*IF(Auswahllisten!$G$150,BT$25+BT$25*BT$13*$AN54,BT$25*(1+BT$13)^$AN54)</f>
        <v>0</v>
      </c>
      <c r="BU54" s="69">
        <f ca="1">$AO54*IF(Auswahllisten!$G$150,BU$25+BU$25*BU$13*$AN54,BU$25*(1+BU$13)^$AN54)</f>
        <v>0</v>
      </c>
      <c r="BV54" s="69">
        <f ca="1">$AO54*IF(Auswahllisten!$G$150,BV$25+BV$25*BV$13*$AN54,BV$25*(1+BV$13)^$AN54)</f>
        <v>0</v>
      </c>
      <c r="BW54" s="69">
        <f t="shared" ca="1" si="40"/>
        <v>0</v>
      </c>
      <c r="BX54" s="69">
        <f t="shared" ca="1" si="41"/>
        <v>0</v>
      </c>
      <c r="BY54" s="69">
        <f t="shared" ca="1" si="27"/>
        <v>0</v>
      </c>
      <c r="BZ54" s="69">
        <f t="shared" ca="1" si="28"/>
        <v>0</v>
      </c>
    </row>
    <row r="55" spans="1:78">
      <c r="A55" s="305" t="s">
        <v>1215</v>
      </c>
      <c r="B55" s="126" t="s">
        <v>303</v>
      </c>
      <c r="C55" s="126" t="s">
        <v>966</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IF($C$5=0,0,INDEX(Faktoren!E41:GQ41,1,VLOOKUP($F$5,$L$2:$O$14,4,FALSE)+$C$9*5+VLOOKUP(D55,Auswahllisten!$E$25:$F$29,2,FALSE)))</f>
        <v>0</v>
      </c>
      <c r="G55" s="26">
        <f t="shared" ca="1" si="71"/>
        <v>0</v>
      </c>
      <c r="H55" s="26" cm="1">
        <f t="array" aca="1" ref="H55" ca="1">INDIRECT("Investition_gewählt!"&amp;$I$6&amp;AA55)</f>
        <v>6000</v>
      </c>
      <c r="I55" s="25" cm="1">
        <f t="array" aca="1" ref="I55" ca="1">IF($C$5=0,0,INDEX(Faktoren!E41:GQ41,1,VLOOKUP($F$6,$L$2:$O$14,4,FALSE)+$C$9*5+VLOOKUP(D55,Auswahllisten!$E$25:$F$29,2,FALSE)))</f>
        <v>0</v>
      </c>
      <c r="J55" s="26">
        <f t="shared" ca="1" si="72"/>
        <v>0</v>
      </c>
      <c r="K55" s="26">
        <f t="shared" ca="1" si="67"/>
        <v>0</v>
      </c>
      <c r="L55" s="16" t="b">
        <f t="shared" ca="1" si="68"/>
        <v>0</v>
      </c>
      <c r="M55" s="26">
        <f t="shared" ca="1" si="11"/>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IF($U$5=0,0,INDEX(Faktoren!E41:GQ41,1,VLOOKUP($X$5,$L$2:$O$14,4,FALSE)+$U$9*5+VLOOKUP(O55,Auswahllisten!$E$25:$F$29,2,FALSE)))</f>
        <v>0</v>
      </c>
      <c r="R55" s="26">
        <f t="shared" ca="1" si="69"/>
        <v>0</v>
      </c>
      <c r="S55" s="26" cm="1">
        <f t="array" aca="1" ref="S55" ca="1">INDIRECT("Investition_gewählt!"&amp;$AA$6&amp;AA55)</f>
        <v>6000</v>
      </c>
      <c r="T55" s="16" cm="1">
        <f t="array" aca="1" ref="T55" ca="1">IF($U$5=0,0,INDEX(Faktoren!E41:QG41,1,VLOOKUP($X$6,$L$3:$O$14,4,FALSE)+$U$9*5+VLOOKUP(O55,Auswahllisten!$E$25:$F$29,2,FALSE)))</f>
        <v>0</v>
      </c>
      <c r="U55" s="26">
        <f t="shared" ca="1" si="70"/>
        <v>0</v>
      </c>
      <c r="V55" s="26">
        <f t="shared" ca="1" si="14"/>
        <v>0</v>
      </c>
      <c r="W55" s="16" t="b">
        <f t="shared" ca="1" si="73"/>
        <v>0</v>
      </c>
      <c r="X55" s="26">
        <f t="shared" ca="1" si="16"/>
        <v>0</v>
      </c>
      <c r="Z55" s="1">
        <v>47</v>
      </c>
      <c r="AA55" s="1">
        <v>41</v>
      </c>
      <c r="AB55" s="1">
        <v>-2</v>
      </c>
      <c r="AN55" s="1">
        <v>30</v>
      </c>
      <c r="AO55" s="1">
        <f t="shared" si="22"/>
        <v>0</v>
      </c>
      <c r="AP55" s="69">
        <f t="shared" ca="1" si="65"/>
        <v>0</v>
      </c>
      <c r="AQ55" s="69">
        <f t="shared" ca="1" si="65"/>
        <v>0</v>
      </c>
      <c r="AR55" s="69">
        <f t="shared" si="65"/>
        <v>0</v>
      </c>
      <c r="AS55" s="69">
        <f t="shared" ca="1" si="65"/>
        <v>0</v>
      </c>
      <c r="AT55" s="69">
        <f t="shared" ca="1" si="65"/>
        <v>0</v>
      </c>
      <c r="AU55" s="69">
        <f t="shared" ca="1" si="65"/>
        <v>0</v>
      </c>
      <c r="AV55" s="69">
        <f t="shared" si="65"/>
        <v>0</v>
      </c>
      <c r="AW55" s="69">
        <f t="shared" ca="1" si="66"/>
        <v>0</v>
      </c>
      <c r="AX55" s="69">
        <f t="shared" ca="1" si="33"/>
        <v>0</v>
      </c>
      <c r="AY55" s="69">
        <f t="shared" ca="1" si="34"/>
        <v>0</v>
      </c>
      <c r="AZ55" s="69">
        <f ca="1">$AO55*IF(Auswahllisten!$G$150,AZ$25+AZ$25*AZ$13*$AN55,AZ$25*(1+AZ$13)^$AN55)</f>
        <v>0</v>
      </c>
      <c r="BA55" s="69">
        <f ca="1">$AO55*IF(Auswahllisten!$G$150,BA$25+BA$25*BA$13*$AN55,BA$25*(1+BA$13)^$AN55)</f>
        <v>0</v>
      </c>
      <c r="BB55" s="69">
        <f ca="1">$AO55*IF(Auswahllisten!$G$150,BB$25+BB$25*BB$13*$AN55,BB$25*(1+BB$13)^$AN55)</f>
        <v>0</v>
      </c>
      <c r="BC55" s="69">
        <f ca="1">$AO55*IF(Auswahllisten!$G$150,BC$25+BC$25*BC$13*$AN55,BC$25*(1+BC$13)^$AN55)</f>
        <v>0</v>
      </c>
      <c r="BD55" s="69">
        <f t="shared" ca="1" si="35"/>
        <v>0</v>
      </c>
      <c r="BE55" s="69">
        <f t="shared" ca="1" si="36"/>
        <v>0</v>
      </c>
      <c r="BF55" s="69">
        <f t="shared" ca="1" si="37"/>
        <v>0</v>
      </c>
      <c r="BG55" s="69">
        <f t="shared" ca="1" si="38"/>
        <v>0</v>
      </c>
      <c r="BI55" s="69">
        <f t="shared" ca="1" si="61"/>
        <v>0</v>
      </c>
      <c r="BJ55" s="69">
        <f t="shared" ca="1" si="61"/>
        <v>0</v>
      </c>
      <c r="BK55" s="69">
        <f t="shared" si="61"/>
        <v>0</v>
      </c>
      <c r="BL55" s="69">
        <f t="shared" ca="1" si="61"/>
        <v>0</v>
      </c>
      <c r="BM55" s="69">
        <f t="shared" ca="1" si="61"/>
        <v>0</v>
      </c>
      <c r="BN55" s="69">
        <f t="shared" ca="1" si="61"/>
        <v>0</v>
      </c>
      <c r="BO55" s="69">
        <f t="shared" si="61"/>
        <v>0</v>
      </c>
      <c r="BP55" s="69">
        <f t="shared" ca="1" si="25"/>
        <v>0</v>
      </c>
      <c r="BQ55" s="69">
        <f t="shared" ca="1" si="39"/>
        <v>0</v>
      </c>
      <c r="BR55" s="69">
        <f t="shared" ca="1" si="26"/>
        <v>0</v>
      </c>
      <c r="BS55" s="69">
        <f ca="1">$AO55*IF(Auswahllisten!$G$150,BS$25+BS$25*BS$13*$AN55,BS$25*(1+BS$13)^$AN55)</f>
        <v>0</v>
      </c>
      <c r="BT55" s="69">
        <f ca="1">$AO55*IF(Auswahllisten!$G$150,BT$25+BT$25*BT$13*$AN55,BT$25*(1+BT$13)^$AN55)</f>
        <v>0</v>
      </c>
      <c r="BU55" s="69">
        <f ca="1">$AO55*IF(Auswahllisten!$G$150,BU$25+BU$25*BU$13*$AN55,BU$25*(1+BU$13)^$AN55)</f>
        <v>0</v>
      </c>
      <c r="BV55" s="69">
        <f ca="1">$AO55*IF(Auswahllisten!$G$150,BV$25+BV$25*BV$13*$AN55,BV$25*(1+BV$13)^$AN55)</f>
        <v>0</v>
      </c>
      <c r="BW55" s="69">
        <f t="shared" ca="1" si="40"/>
        <v>0</v>
      </c>
      <c r="BX55" s="69">
        <f t="shared" ca="1" si="41"/>
        <v>0</v>
      </c>
      <c r="BY55" s="69">
        <f t="shared" ca="1" si="27"/>
        <v>0</v>
      </c>
      <c r="BZ55" s="69">
        <f t="shared" ca="1" si="28"/>
        <v>0</v>
      </c>
    </row>
    <row r="56" spans="1:78">
      <c r="A56" s="305" t="s">
        <v>1244</v>
      </c>
      <c r="B56" s="126" t="s">
        <v>1245</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IF($C$5=0,0,INDEX(Faktoren!E42:GQ42,1,VLOOKUP($F$5,$L$2:$O$14,4,FALSE)+$C$9*5+VLOOKUP(D56,Auswahllisten!$E$25:$F$29,2,FALSE)))</f>
        <v>0</v>
      </c>
      <c r="G56" s="26">
        <f t="shared" ca="1" si="71"/>
        <v>0</v>
      </c>
      <c r="H56" s="26" cm="1">
        <f t="array" aca="1" ref="H56" ca="1">INDIRECT("Investition_gewählt!"&amp;$I$6&amp;AA56)</f>
        <v>0</v>
      </c>
      <c r="I56" s="25" cm="1">
        <f t="array" aca="1" ref="I56" ca="1">IF($C$5=0,0,INDEX(Faktoren!E42:GQ42,1,VLOOKUP($F$6,$L$2:$O$14,4,FALSE)+$C$9*5+VLOOKUP(D56,Auswahllisten!$E$25:$F$29,2,FALSE)))</f>
        <v>0</v>
      </c>
      <c r="J56" s="26">
        <f t="shared" ca="1" si="72"/>
        <v>0</v>
      </c>
      <c r="K56" s="26">
        <f t="shared" ca="1" si="67"/>
        <v>0</v>
      </c>
      <c r="L56" s="16" t="b">
        <f t="shared" ca="1" si="68"/>
        <v>0</v>
      </c>
      <c r="M56" s="26">
        <f t="shared" ca="1" si="11"/>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IF($U$5=0,0,INDEX(Faktoren!E42:GQ42,1,VLOOKUP($X$5,$L$2:$O$14,4,FALSE)+$U$9*5+VLOOKUP(O56,Auswahllisten!$E$25:$F$29,2,FALSE)))</f>
        <v>0</v>
      </c>
      <c r="R56" s="26">
        <f t="shared" ca="1" si="69"/>
        <v>0</v>
      </c>
      <c r="S56" s="26" cm="1">
        <f t="array" aca="1" ref="S56" ca="1">INDIRECT("Investition_gewählt!"&amp;$AA$6&amp;AA56)</f>
        <v>0</v>
      </c>
      <c r="T56" s="16" cm="1">
        <f t="array" aca="1" ref="T56" ca="1">IF($U$5=0,0,INDEX(Faktoren!E42:QG42,1,VLOOKUP($X$6,$L$3:$O$14,4,FALSE)+$U$9*5+VLOOKUP(O56,Auswahllisten!$E$25:$F$29,2,FALSE)))</f>
        <v>0</v>
      </c>
      <c r="U56" s="26">
        <f t="shared" ca="1" si="70"/>
        <v>0</v>
      </c>
      <c r="V56" s="26">
        <f t="shared" ca="1" si="14"/>
        <v>0</v>
      </c>
      <c r="W56" s="16" t="b">
        <f t="shared" ca="1" si="73"/>
        <v>0</v>
      </c>
      <c r="X56" s="26">
        <f t="shared" ca="1" si="16"/>
        <v>0</v>
      </c>
      <c r="Z56" s="1">
        <v>51</v>
      </c>
      <c r="AA56" s="1">
        <v>42</v>
      </c>
      <c r="AB56" s="1">
        <v>-2</v>
      </c>
      <c r="AN56" s="1">
        <v>31</v>
      </c>
      <c r="AO56" s="1">
        <f t="shared" si="22"/>
        <v>0</v>
      </c>
      <c r="AP56" s="69">
        <f t="shared" ca="1" si="65"/>
        <v>0</v>
      </c>
      <c r="AQ56" s="69">
        <f t="shared" ca="1" si="65"/>
        <v>0</v>
      </c>
      <c r="AR56" s="69">
        <f t="shared" si="65"/>
        <v>0</v>
      </c>
      <c r="AS56" s="69">
        <f t="shared" ca="1" si="65"/>
        <v>0</v>
      </c>
      <c r="AT56" s="69">
        <f t="shared" ca="1" si="65"/>
        <v>0</v>
      </c>
      <c r="AU56" s="69">
        <f t="shared" ca="1" si="65"/>
        <v>0</v>
      </c>
      <c r="AV56" s="69">
        <f t="shared" si="65"/>
        <v>0</v>
      </c>
      <c r="AW56" s="69">
        <f t="shared" ca="1" si="66"/>
        <v>0</v>
      </c>
      <c r="AX56" s="69">
        <f t="shared" ca="1" si="33"/>
        <v>0</v>
      </c>
      <c r="AY56" s="69">
        <f t="shared" ca="1" si="34"/>
        <v>0</v>
      </c>
      <c r="AZ56" s="69">
        <f ca="1">$AO56*IF(Auswahllisten!$G$150,AZ$25+AZ$25*AZ$13*$AN56,AZ$25*(1+AZ$13)^$AN56)</f>
        <v>0</v>
      </c>
      <c r="BA56" s="69">
        <f ca="1">$AO56*IF(Auswahllisten!$G$150,BA$25+BA$25*BA$13*$AN56,BA$25*(1+BA$13)^$AN56)</f>
        <v>0</v>
      </c>
      <c r="BB56" s="69">
        <f ca="1">$AO56*IF(Auswahllisten!$G$150,BB$25+BB$25*BB$13*$AN56,BB$25*(1+BB$13)^$AN56)</f>
        <v>0</v>
      </c>
      <c r="BC56" s="69">
        <f ca="1">$AO56*IF(Auswahllisten!$G$150,BC$25+BC$25*BC$13*$AN56,BC$25*(1+BC$13)^$AN56)</f>
        <v>0</v>
      </c>
      <c r="BD56" s="69">
        <f t="shared" ca="1" si="35"/>
        <v>0</v>
      </c>
      <c r="BE56" s="69">
        <f t="shared" ca="1" si="36"/>
        <v>0</v>
      </c>
      <c r="BF56" s="69">
        <f t="shared" ca="1" si="37"/>
        <v>0</v>
      </c>
      <c r="BG56" s="69">
        <f t="shared" ca="1" si="38"/>
        <v>0</v>
      </c>
      <c r="BI56" s="69">
        <f t="shared" ca="1" si="61"/>
        <v>0</v>
      </c>
      <c r="BJ56" s="69">
        <f t="shared" ca="1" si="61"/>
        <v>0</v>
      </c>
      <c r="BK56" s="69">
        <f t="shared" si="61"/>
        <v>0</v>
      </c>
      <c r="BL56" s="69">
        <f t="shared" ca="1" si="61"/>
        <v>0</v>
      </c>
      <c r="BM56" s="69">
        <f t="shared" ca="1" si="61"/>
        <v>0</v>
      </c>
      <c r="BN56" s="69">
        <f t="shared" ca="1" si="61"/>
        <v>0</v>
      </c>
      <c r="BO56" s="69">
        <f t="shared" si="61"/>
        <v>0</v>
      </c>
      <c r="BP56" s="69">
        <f t="shared" ca="1" si="25"/>
        <v>0</v>
      </c>
      <c r="BQ56" s="69">
        <f t="shared" ca="1" si="39"/>
        <v>0</v>
      </c>
      <c r="BR56" s="69">
        <f t="shared" ca="1" si="26"/>
        <v>0</v>
      </c>
      <c r="BS56" s="69">
        <f ca="1">$AO56*IF(Auswahllisten!$G$150,BS$25+BS$25*BS$13*$AN56,BS$25*(1+BS$13)^$AN56)</f>
        <v>0</v>
      </c>
      <c r="BT56" s="69">
        <f ca="1">$AO56*IF(Auswahllisten!$G$150,BT$25+BT$25*BT$13*$AN56,BT$25*(1+BT$13)^$AN56)</f>
        <v>0</v>
      </c>
      <c r="BU56" s="69">
        <f ca="1">$AO56*IF(Auswahllisten!$G$150,BU$25+BU$25*BU$13*$AN56,BU$25*(1+BU$13)^$AN56)</f>
        <v>0</v>
      </c>
      <c r="BV56" s="69">
        <f ca="1">$AO56*IF(Auswahllisten!$G$150,BV$25+BV$25*BV$13*$AN56,BV$25*(1+BV$13)^$AN56)</f>
        <v>0</v>
      </c>
      <c r="BW56" s="69">
        <f t="shared" ca="1" si="40"/>
        <v>0</v>
      </c>
      <c r="BX56" s="69">
        <f t="shared" ca="1" si="41"/>
        <v>0</v>
      </c>
      <c r="BY56" s="69">
        <f t="shared" ca="1" si="27"/>
        <v>0</v>
      </c>
      <c r="BZ56" s="69">
        <f t="shared" ca="1" si="28"/>
        <v>0</v>
      </c>
    </row>
    <row r="57" spans="1:78">
      <c r="A57" s="305" t="s">
        <v>1244</v>
      </c>
      <c r="B57" s="126" t="s">
        <v>1245</v>
      </c>
      <c r="C57" s="126" t="s">
        <v>967</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IF($C$5=0,0,INDEX(Faktoren!E43:GQ43,1,VLOOKUP($F$5,$L$2:$O$14,4,FALSE)+$C$9*5+VLOOKUP(D57,Auswahllisten!$E$25:$F$29,2,FALSE)))</f>
        <v>0</v>
      </c>
      <c r="G57" s="26">
        <f t="shared" ca="1" si="71"/>
        <v>0</v>
      </c>
      <c r="H57" s="26" cm="1">
        <f t="array" aca="1" ref="H57" ca="1">INDIRECT("Investition_gewählt!"&amp;$I$6&amp;AA57)</f>
        <v>0</v>
      </c>
      <c r="I57" s="25" cm="1">
        <f t="array" aca="1" ref="I57" ca="1">IF($C$5=0,0,INDEX(Faktoren!E43:GQ43,1,VLOOKUP($F$6,$L$2:$O$14,4,FALSE)+$C$9*5+VLOOKUP(D57,Auswahllisten!$E$25:$F$29,2,FALSE)))</f>
        <v>0</v>
      </c>
      <c r="J57" s="26">
        <f t="shared" ca="1" si="72"/>
        <v>0</v>
      </c>
      <c r="K57" s="26">
        <f t="shared" ca="1" si="67"/>
        <v>0</v>
      </c>
      <c r="L57" s="16" t="b">
        <f t="shared" ca="1" si="68"/>
        <v>0</v>
      </c>
      <c r="M57" s="26">
        <f t="shared" ca="1" si="11"/>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IF($U$5=0,0,INDEX(Faktoren!E43:GQ43,1,VLOOKUP($X$5,$L$2:$O$14,4,FALSE)+$U$9*5+VLOOKUP(O57,Auswahllisten!$E$25:$F$29,2,FALSE)))</f>
        <v>0</v>
      </c>
      <c r="R57" s="26">
        <f t="shared" ca="1" si="69"/>
        <v>0</v>
      </c>
      <c r="S57" s="26" cm="1">
        <f t="array" aca="1" ref="S57" ca="1">INDIRECT("Investition_gewählt!"&amp;$AA$6&amp;AA57)</f>
        <v>0</v>
      </c>
      <c r="T57" s="16" cm="1">
        <f t="array" aca="1" ref="T57" ca="1">IF($U$5=0,0,INDEX(Faktoren!E43:QG43,1,VLOOKUP($X$6,$L$3:$O$14,4,FALSE)+$U$9*5+VLOOKUP(O57,Auswahllisten!$E$25:$F$29,2,FALSE)))</f>
        <v>0</v>
      </c>
      <c r="U57" s="26">
        <f t="shared" ca="1" si="70"/>
        <v>0</v>
      </c>
      <c r="V57" s="26">
        <f t="shared" ca="1" si="14"/>
        <v>0</v>
      </c>
      <c r="W57" s="16" t="b">
        <f t="shared" ca="1" si="73"/>
        <v>0</v>
      </c>
      <c r="X57" s="26">
        <f t="shared" ca="1" si="16"/>
        <v>0</v>
      </c>
      <c r="Z57" s="1">
        <v>49</v>
      </c>
      <c r="AA57" s="1">
        <v>43</v>
      </c>
      <c r="AB57" s="1">
        <v>-2</v>
      </c>
      <c r="AN57" s="1">
        <v>32</v>
      </c>
      <c r="AO57" s="1">
        <f t="shared" si="22"/>
        <v>0</v>
      </c>
      <c r="AP57" s="69">
        <f t="shared" ca="1" si="65"/>
        <v>0</v>
      </c>
      <c r="AQ57" s="69">
        <f t="shared" ca="1" si="65"/>
        <v>0</v>
      </c>
      <c r="AR57" s="69">
        <f t="shared" si="65"/>
        <v>0</v>
      </c>
      <c r="AS57" s="69">
        <f t="shared" ca="1" si="65"/>
        <v>0</v>
      </c>
      <c r="AT57" s="69">
        <f t="shared" ca="1" si="65"/>
        <v>0</v>
      </c>
      <c r="AU57" s="69">
        <f t="shared" ca="1" si="65"/>
        <v>0</v>
      </c>
      <c r="AV57" s="69">
        <f t="shared" si="65"/>
        <v>0</v>
      </c>
      <c r="AW57" s="69">
        <f t="shared" ca="1" si="66"/>
        <v>0</v>
      </c>
      <c r="AX57" s="69">
        <f t="shared" ca="1" si="33"/>
        <v>0</v>
      </c>
      <c r="AY57" s="69">
        <f t="shared" ca="1" si="34"/>
        <v>0</v>
      </c>
      <c r="AZ57" s="69">
        <f ca="1">$AO57*IF(Auswahllisten!$G$150,AZ$25+AZ$25*AZ$13*$AN57,AZ$25*(1+AZ$13)^$AN57)</f>
        <v>0</v>
      </c>
      <c r="BA57" s="69">
        <f ca="1">$AO57*IF(Auswahllisten!$G$150,BA$25+BA$25*BA$13*$AN57,BA$25*(1+BA$13)^$AN57)</f>
        <v>0</v>
      </c>
      <c r="BB57" s="69">
        <f ca="1">$AO57*IF(Auswahllisten!$G$150,BB$25+BB$25*BB$13*$AN57,BB$25*(1+BB$13)^$AN57)</f>
        <v>0</v>
      </c>
      <c r="BC57" s="69">
        <f ca="1">$AO57*IF(Auswahllisten!$G$150,BC$25+BC$25*BC$13*$AN57,BC$25*(1+BC$13)^$AN57)</f>
        <v>0</v>
      </c>
      <c r="BD57" s="69">
        <f t="shared" ca="1" si="35"/>
        <v>0</v>
      </c>
      <c r="BE57" s="69">
        <f t="shared" ca="1" si="36"/>
        <v>0</v>
      </c>
      <c r="BF57" s="69">
        <f t="shared" ca="1" si="37"/>
        <v>0</v>
      </c>
      <c r="BG57" s="69">
        <f t="shared" ca="1" si="38"/>
        <v>0</v>
      </c>
      <c r="BI57" s="69">
        <f t="shared" ca="1" si="61"/>
        <v>0</v>
      </c>
      <c r="BJ57" s="69">
        <f t="shared" ca="1" si="61"/>
        <v>0</v>
      </c>
      <c r="BK57" s="69">
        <f t="shared" si="61"/>
        <v>0</v>
      </c>
      <c r="BL57" s="69">
        <f t="shared" ca="1" si="61"/>
        <v>0</v>
      </c>
      <c r="BM57" s="69">
        <f t="shared" ca="1" si="61"/>
        <v>0</v>
      </c>
      <c r="BN57" s="69">
        <f t="shared" ca="1" si="61"/>
        <v>0</v>
      </c>
      <c r="BO57" s="69">
        <f t="shared" si="61"/>
        <v>0</v>
      </c>
      <c r="BP57" s="69">
        <f t="shared" ca="1" si="25"/>
        <v>0</v>
      </c>
      <c r="BQ57" s="69">
        <f t="shared" ca="1" si="39"/>
        <v>0</v>
      </c>
      <c r="BR57" s="69">
        <f t="shared" ca="1" si="26"/>
        <v>0</v>
      </c>
      <c r="BS57" s="69">
        <f ca="1">$AO57*IF(Auswahllisten!$G$150,BS$25+BS$25*BS$13*$AN57,BS$25*(1+BS$13)^$AN57)</f>
        <v>0</v>
      </c>
      <c r="BT57" s="69">
        <f ca="1">$AO57*IF(Auswahllisten!$G$150,BT$25+BT$25*BT$13*$AN57,BT$25*(1+BT$13)^$AN57)</f>
        <v>0</v>
      </c>
      <c r="BU57" s="69">
        <f ca="1">$AO57*IF(Auswahllisten!$G$150,BU$25+BU$25*BU$13*$AN57,BU$25*(1+BU$13)^$AN57)</f>
        <v>0</v>
      </c>
      <c r="BV57" s="69">
        <f ca="1">$AO57*IF(Auswahllisten!$G$150,BV$25+BV$25*BV$13*$AN57,BV$25*(1+BV$13)^$AN57)</f>
        <v>0</v>
      </c>
      <c r="BW57" s="69">
        <f t="shared" ca="1" si="40"/>
        <v>0</v>
      </c>
      <c r="BX57" s="69">
        <f t="shared" ca="1" si="41"/>
        <v>0</v>
      </c>
      <c r="BY57" s="69">
        <f t="shared" ca="1" si="27"/>
        <v>0</v>
      </c>
      <c r="BZ57" s="69">
        <f t="shared" ca="1" si="28"/>
        <v>0</v>
      </c>
    </row>
    <row r="58" spans="1:78">
      <c r="A58" s="307" t="s">
        <v>1244</v>
      </c>
      <c r="B58" s="297" t="s">
        <v>1245</v>
      </c>
      <c r="C58" s="134" t="s">
        <v>359</v>
      </c>
      <c r="D58" s="163" t="str" cm="1">
        <f t="array" aca="1" ref="D58" ca="1">INDIRECT("Vergleich!"&amp;$G$2&amp;Z58)</f>
        <v>mittel</v>
      </c>
      <c r="E58" s="163" cm="1">
        <f t="array" aca="1" ref="E58" ca="1">INDIRECT("Investition_gewählt!"&amp;$I$5&amp;AA58)</f>
        <v>4500</v>
      </c>
      <c r="F58" s="61" cm="1">
        <f t="array" aca="1" ref="F58" ca="1">IF($C$5=0,0,INDEX(Faktoren!E44:GQ44,1,VLOOKUP($F$5,$L$2:$O$14,4,FALSE)+$C$9*5+VLOOKUP(D58,Auswahllisten!$E$25:$F$29,2,FALSE)))</f>
        <v>0</v>
      </c>
      <c r="G58" s="296">
        <f t="shared" ca="1" si="71"/>
        <v>0</v>
      </c>
      <c r="H58" s="296" cm="1">
        <f t="array" aca="1" ref="H58" ca="1">INDIRECT("Investition_gewählt!"&amp;$I$6&amp;AA58)</f>
        <v>4500</v>
      </c>
      <c r="I58" s="61" cm="1">
        <f t="array" aca="1" ref="I58" ca="1">IF($C$5=0,0,INDEX(Faktoren!E44:GQ44,1,VLOOKUP($F$6,$L$2:$O$14,4,FALSE)+$C$9*5+VLOOKUP(D58,Auswahllisten!$E$25:$F$29,2,FALSE)))</f>
        <v>0</v>
      </c>
      <c r="J58" s="163">
        <f t="shared" ca="1" si="72"/>
        <v>0</v>
      </c>
      <c r="K58" s="163">
        <f t="shared" ca="1" si="67"/>
        <v>0</v>
      </c>
      <c r="L58" s="93" t="b">
        <f t="shared" ca="1" si="68"/>
        <v>0</v>
      </c>
      <c r="M58" s="163">
        <f t="shared" ca="1" si="11"/>
        <v>0</v>
      </c>
      <c r="O58" s="93" t="str" cm="1">
        <f t="array" aca="1" ref="O58" ca="1">INDIRECT("Vergleich!"&amp;$Y$2&amp;Z58)</f>
        <v>gering</v>
      </c>
      <c r="P58" s="163" cm="1">
        <f t="array" aca="1" ref="P58" ca="1">INDIRECT("Investition_gewählt!"&amp;$AA$5&amp;AA58)</f>
        <v>4500</v>
      </c>
      <c r="Q58" s="93" cm="1">
        <f t="array" aca="1" ref="Q58" ca="1">IF($U$5=0,0,INDEX(Faktoren!E44:GQ44,1,VLOOKUP($X$5,$L$2:$O$14,4,FALSE)+$U$9*5+VLOOKUP(O58,Auswahllisten!$E$25:$F$29,2,FALSE)))</f>
        <v>0</v>
      </c>
      <c r="R58" s="163">
        <f t="shared" ca="1" si="69"/>
        <v>0</v>
      </c>
      <c r="S58" s="163" cm="1">
        <f t="array" aca="1" ref="S58" ca="1">INDIRECT("Investition_gewählt!"&amp;$AA$6&amp;AA58)</f>
        <v>4500</v>
      </c>
      <c r="T58" s="93" cm="1">
        <f t="array" aca="1" ref="T58" ca="1">IF($U$5=0,0,INDEX(Faktoren!E44:QG44,1,VLOOKUP($X$6,$L$3:$O$14,4,FALSE)+$U$9*5+VLOOKUP(O58,Auswahllisten!$E$25:$F$29,2,FALSE)))</f>
        <v>0</v>
      </c>
      <c r="U58" s="163">
        <f t="shared" ca="1" si="70"/>
        <v>0</v>
      </c>
      <c r="V58" s="163">
        <f t="shared" ca="1" si="14"/>
        <v>0</v>
      </c>
      <c r="W58" s="93" t="b">
        <f t="shared" ca="1" si="73"/>
        <v>0</v>
      </c>
      <c r="X58" s="163">
        <f t="shared" ca="1" si="16"/>
        <v>0</v>
      </c>
      <c r="Z58" s="1">
        <v>50</v>
      </c>
      <c r="AA58" s="1">
        <v>44</v>
      </c>
      <c r="AB58" s="1">
        <v>-2</v>
      </c>
      <c r="AN58" s="1">
        <v>33</v>
      </c>
      <c r="AO58" s="1">
        <f t="shared" si="22"/>
        <v>0</v>
      </c>
      <c r="AP58" s="69">
        <f t="shared" ca="1" si="65"/>
        <v>0</v>
      </c>
      <c r="AQ58" s="69">
        <f t="shared" ca="1" si="65"/>
        <v>0</v>
      </c>
      <c r="AR58" s="69">
        <f t="shared" si="65"/>
        <v>0</v>
      </c>
      <c r="AS58" s="69">
        <f t="shared" ca="1" si="65"/>
        <v>0</v>
      </c>
      <c r="AT58" s="69">
        <f t="shared" ca="1" si="65"/>
        <v>0</v>
      </c>
      <c r="AU58" s="69">
        <f t="shared" ca="1" si="65"/>
        <v>0</v>
      </c>
      <c r="AV58" s="69">
        <f t="shared" si="65"/>
        <v>0</v>
      </c>
      <c r="AW58" s="69">
        <f t="shared" ca="1" si="66"/>
        <v>0</v>
      </c>
      <c r="AX58" s="69">
        <f t="shared" ca="1" si="33"/>
        <v>0</v>
      </c>
      <c r="AY58" s="69">
        <f t="shared" ca="1" si="34"/>
        <v>0</v>
      </c>
      <c r="AZ58" s="69">
        <f ca="1">$AO58*IF(Auswahllisten!$G$150,AZ$25+AZ$25*AZ$13*$AN58,AZ$25*(1+AZ$13)^$AN58)</f>
        <v>0</v>
      </c>
      <c r="BA58" s="69">
        <f ca="1">$AO58*IF(Auswahllisten!$G$150,BA$25+BA$25*BA$13*$AN58,BA$25*(1+BA$13)^$AN58)</f>
        <v>0</v>
      </c>
      <c r="BB58" s="69">
        <f ca="1">$AO58*IF(Auswahllisten!$G$150,BB$25+BB$25*BB$13*$AN58,BB$25*(1+BB$13)^$AN58)</f>
        <v>0</v>
      </c>
      <c r="BC58" s="69">
        <f ca="1">$AO58*IF(Auswahllisten!$G$150,BC$25+BC$25*BC$13*$AN58,BC$25*(1+BC$13)^$AN58)</f>
        <v>0</v>
      </c>
      <c r="BD58" s="69">
        <f t="shared" ca="1" si="35"/>
        <v>0</v>
      </c>
      <c r="BE58" s="69">
        <f t="shared" ca="1" si="36"/>
        <v>0</v>
      </c>
      <c r="BF58" s="69">
        <f t="shared" ca="1" si="37"/>
        <v>0</v>
      </c>
      <c r="BG58" s="69">
        <f t="shared" ca="1" si="38"/>
        <v>0</v>
      </c>
      <c r="BI58" s="69">
        <f t="shared" ca="1" si="61"/>
        <v>0</v>
      </c>
      <c r="BJ58" s="69">
        <f t="shared" ca="1" si="61"/>
        <v>0</v>
      </c>
      <c r="BK58" s="69">
        <f t="shared" si="61"/>
        <v>0</v>
      </c>
      <c r="BL58" s="69">
        <f t="shared" ca="1" si="61"/>
        <v>0</v>
      </c>
      <c r="BM58" s="69">
        <f t="shared" ca="1" si="61"/>
        <v>0</v>
      </c>
      <c r="BN58" s="69">
        <f t="shared" ca="1" si="61"/>
        <v>0</v>
      </c>
      <c r="BO58" s="69">
        <f t="shared" si="61"/>
        <v>0</v>
      </c>
      <c r="BP58" s="69">
        <f t="shared" ref="BP58:BP96" ca="1" si="74">SUM(BI58:BO58)/(1+$AS$11)^AN58</f>
        <v>0</v>
      </c>
      <c r="BQ58" s="69">
        <f t="shared" ca="1" si="39"/>
        <v>0</v>
      </c>
      <c r="BR58" s="69">
        <f t="shared" ref="BR58:BR96" ca="1" si="75">SUM(BQ58)/(1+$AS$11)^AN58</f>
        <v>0</v>
      </c>
      <c r="BS58" s="69">
        <f ca="1">$AO58*IF(Auswahllisten!$G$150,BS$25+BS$25*BS$13*$AN58,BS$25*(1+BS$13)^$AN58)</f>
        <v>0</v>
      </c>
      <c r="BT58" s="69">
        <f ca="1">$AO58*IF(Auswahllisten!$G$150,BT$25+BT$25*BT$13*$AN58,BT$25*(1+BT$13)^$AN58)</f>
        <v>0</v>
      </c>
      <c r="BU58" s="69">
        <f ca="1">$AO58*IF(Auswahllisten!$G$150,BU$25+BU$25*BU$13*$AN58,BU$25*(1+BU$13)^$AN58)</f>
        <v>0</v>
      </c>
      <c r="BV58" s="69">
        <f ca="1">$AO58*IF(Auswahllisten!$G$150,BV$25+BV$25*BV$13*$AN58,BV$25*(1+BV$13)^$AN58)</f>
        <v>0</v>
      </c>
      <c r="BW58" s="69">
        <f t="shared" ca="1" si="40"/>
        <v>0</v>
      </c>
      <c r="BX58" s="69">
        <f t="shared" ca="1" si="41"/>
        <v>0</v>
      </c>
      <c r="BY58" s="69">
        <f t="shared" ca="1" si="27"/>
        <v>0</v>
      </c>
      <c r="BZ58" s="69">
        <f t="shared" ca="1" si="28"/>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22"/>
        <v>0</v>
      </c>
      <c r="AP59" s="69">
        <f t="shared" ca="1" si="65"/>
        <v>0</v>
      </c>
      <c r="AQ59" s="69">
        <f t="shared" ca="1" si="65"/>
        <v>0</v>
      </c>
      <c r="AR59" s="69">
        <f t="shared" si="65"/>
        <v>0</v>
      </c>
      <c r="AS59" s="69">
        <f t="shared" ca="1" si="65"/>
        <v>0</v>
      </c>
      <c r="AT59" s="69">
        <f t="shared" ca="1" si="65"/>
        <v>0</v>
      </c>
      <c r="AU59" s="69">
        <f t="shared" ca="1" si="65"/>
        <v>0</v>
      </c>
      <c r="AV59" s="69">
        <f t="shared" si="65"/>
        <v>0</v>
      </c>
      <c r="AW59" s="69">
        <f t="shared" ca="1" si="66"/>
        <v>0</v>
      </c>
      <c r="AX59" s="69">
        <f t="shared" ca="1" si="33"/>
        <v>0</v>
      </c>
      <c r="AY59" s="69">
        <f t="shared" ca="1" si="34"/>
        <v>0</v>
      </c>
      <c r="AZ59" s="69">
        <f ca="1">$AO59*IF(Auswahllisten!$G$150,AZ$25+AZ$25*AZ$13*$AN59,AZ$25*(1+AZ$13)^$AN59)</f>
        <v>0</v>
      </c>
      <c r="BA59" s="69">
        <f ca="1">$AO59*IF(Auswahllisten!$G$150,BA$25+BA$25*BA$13*$AN59,BA$25*(1+BA$13)^$AN59)</f>
        <v>0</v>
      </c>
      <c r="BB59" s="69">
        <f ca="1">$AO59*IF(Auswahllisten!$G$150,BB$25+BB$25*BB$13*$AN59,BB$25*(1+BB$13)^$AN59)</f>
        <v>0</v>
      </c>
      <c r="BC59" s="69">
        <f ca="1">$AO59*IF(Auswahllisten!$G$150,BC$25+BC$25*BC$13*$AN59,BC$25*(1+BC$13)^$AN59)</f>
        <v>0</v>
      </c>
      <c r="BD59" s="69">
        <f t="shared" ca="1" si="35"/>
        <v>0</v>
      </c>
      <c r="BE59" s="69">
        <f t="shared" ca="1" si="36"/>
        <v>0</v>
      </c>
      <c r="BF59" s="69">
        <f t="shared" ca="1" si="37"/>
        <v>0</v>
      </c>
      <c r="BG59" s="69">
        <f t="shared" ca="1" si="38"/>
        <v>0</v>
      </c>
      <c r="BI59" s="69">
        <f t="shared" ca="1" si="61"/>
        <v>0</v>
      </c>
      <c r="BJ59" s="69">
        <f t="shared" ca="1" si="61"/>
        <v>0</v>
      </c>
      <c r="BK59" s="69">
        <f t="shared" si="61"/>
        <v>0</v>
      </c>
      <c r="BL59" s="69">
        <f t="shared" ca="1" si="61"/>
        <v>0</v>
      </c>
      <c r="BM59" s="69">
        <f t="shared" ca="1" si="61"/>
        <v>0</v>
      </c>
      <c r="BN59" s="69">
        <f t="shared" ca="1" si="61"/>
        <v>0</v>
      </c>
      <c r="BO59" s="69">
        <f t="shared" si="61"/>
        <v>0</v>
      </c>
      <c r="BP59" s="69">
        <f t="shared" ca="1" si="74"/>
        <v>0</v>
      </c>
      <c r="BQ59" s="69">
        <f t="shared" ca="1" si="39"/>
        <v>0</v>
      </c>
      <c r="BR59" s="69">
        <f t="shared" ca="1" si="75"/>
        <v>0</v>
      </c>
      <c r="BS59" s="69">
        <f ca="1">$AO59*IF(Auswahllisten!$G$150,BS$25+BS$25*BS$13*$AN59,BS$25*(1+BS$13)^$AN59)</f>
        <v>0</v>
      </c>
      <c r="BT59" s="69">
        <f ca="1">$AO59*IF(Auswahllisten!$G$150,BT$25+BT$25*BT$13*$AN59,BT$25*(1+BT$13)^$AN59)</f>
        <v>0</v>
      </c>
      <c r="BU59" s="69">
        <f ca="1">$AO59*IF(Auswahllisten!$G$150,BU$25+BU$25*BU$13*$AN59,BU$25*(1+BU$13)^$AN59)</f>
        <v>0</v>
      </c>
      <c r="BV59" s="69">
        <f ca="1">$AO59*IF(Auswahllisten!$G$150,BV$25+BV$25*BV$13*$AN59,BV$25*(1+BV$13)^$AN59)</f>
        <v>0</v>
      </c>
      <c r="BW59" s="69">
        <f t="shared" ca="1" si="40"/>
        <v>0</v>
      </c>
      <c r="BX59" s="69">
        <f t="shared" ca="1" si="41"/>
        <v>0</v>
      </c>
      <c r="BY59" s="69">
        <f t="shared" ca="1" si="27"/>
        <v>0</v>
      </c>
      <c r="BZ59" s="69">
        <f t="shared" ca="1" si="28"/>
        <v>0</v>
      </c>
    </row>
    <row r="60" spans="1:78">
      <c r="A60" s="125" t="s">
        <v>998</v>
      </c>
      <c r="B60" s="125" t="s">
        <v>999</v>
      </c>
      <c r="C60" s="125"/>
      <c r="D60" s="69"/>
      <c r="E60" s="69"/>
      <c r="G60" s="69"/>
      <c r="H60" s="69"/>
      <c r="J60" s="69"/>
      <c r="K60" s="69"/>
      <c r="L60" s="155">
        <v>6</v>
      </c>
      <c r="M60" s="69"/>
      <c r="P60" s="69"/>
      <c r="R60" s="69"/>
      <c r="S60" s="69"/>
      <c r="U60" s="69"/>
      <c r="V60" s="69"/>
      <c r="X60" s="69"/>
      <c r="AA60" s="1">
        <v>46</v>
      </c>
      <c r="AB60" s="1">
        <v>-2</v>
      </c>
      <c r="AN60" s="1">
        <v>35</v>
      </c>
      <c r="AO60" s="1">
        <f t="shared" si="22"/>
        <v>0</v>
      </c>
      <c r="AP60" s="69">
        <f t="shared" ca="1" si="65"/>
        <v>0</v>
      </c>
      <c r="AQ60" s="69">
        <f t="shared" ca="1" si="65"/>
        <v>0</v>
      </c>
      <c r="AR60" s="69">
        <f t="shared" si="65"/>
        <v>0</v>
      </c>
      <c r="AS60" s="69">
        <f t="shared" ca="1" si="65"/>
        <v>0</v>
      </c>
      <c r="AT60" s="69">
        <f t="shared" ca="1" si="65"/>
        <v>0</v>
      </c>
      <c r="AU60" s="69">
        <f t="shared" ca="1" si="65"/>
        <v>0</v>
      </c>
      <c r="AV60" s="69">
        <f t="shared" si="65"/>
        <v>0</v>
      </c>
      <c r="AW60" s="69">
        <f t="shared" ca="1" si="66"/>
        <v>0</v>
      </c>
      <c r="AX60" s="69">
        <f t="shared" ca="1" si="33"/>
        <v>0</v>
      </c>
      <c r="AY60" s="69">
        <f t="shared" ca="1" si="34"/>
        <v>0</v>
      </c>
      <c r="AZ60" s="69">
        <f ca="1">$AO60*IF(Auswahllisten!$G$150,AZ$25+AZ$25*AZ$13*$AN60,AZ$25*(1+AZ$13)^$AN60)</f>
        <v>0</v>
      </c>
      <c r="BA60" s="69">
        <f ca="1">$AO60*IF(Auswahllisten!$G$150,BA$25+BA$25*BA$13*$AN60,BA$25*(1+BA$13)^$AN60)</f>
        <v>0</v>
      </c>
      <c r="BB60" s="69">
        <f ca="1">$AO60*IF(Auswahllisten!$G$150,BB$25+BB$25*BB$13*$AN60,BB$25*(1+BB$13)^$AN60)</f>
        <v>0</v>
      </c>
      <c r="BC60" s="69">
        <f ca="1">$AO60*IF(Auswahllisten!$G$150,BC$25+BC$25*BC$13*$AN60,BC$25*(1+BC$13)^$AN60)</f>
        <v>0</v>
      </c>
      <c r="BD60" s="69">
        <f t="shared" ca="1" si="35"/>
        <v>0</v>
      </c>
      <c r="BE60" s="69">
        <f t="shared" ca="1" si="36"/>
        <v>0</v>
      </c>
      <c r="BF60" s="69">
        <f t="shared" ca="1" si="37"/>
        <v>0</v>
      </c>
      <c r="BG60" s="69">
        <f t="shared" ca="1" si="38"/>
        <v>0</v>
      </c>
      <c r="BI60" s="69">
        <f t="shared" ca="1" si="61"/>
        <v>0</v>
      </c>
      <c r="BJ60" s="69">
        <f t="shared" ca="1" si="61"/>
        <v>0</v>
      </c>
      <c r="BK60" s="69">
        <f t="shared" si="61"/>
        <v>0</v>
      </c>
      <c r="BL60" s="69">
        <f t="shared" ca="1" si="61"/>
        <v>0</v>
      </c>
      <c r="BM60" s="69">
        <f t="shared" ca="1" si="61"/>
        <v>0</v>
      </c>
      <c r="BN60" s="69">
        <f t="shared" ca="1" si="61"/>
        <v>0</v>
      </c>
      <c r="BO60" s="69">
        <f t="shared" si="61"/>
        <v>0</v>
      </c>
      <c r="BP60" s="69">
        <f t="shared" ca="1" si="74"/>
        <v>0</v>
      </c>
      <c r="BQ60" s="69">
        <f t="shared" ca="1" si="39"/>
        <v>0</v>
      </c>
      <c r="BR60" s="69">
        <f t="shared" ca="1" si="75"/>
        <v>0</v>
      </c>
      <c r="BS60" s="69">
        <f ca="1">$AO60*IF(Auswahllisten!$G$150,BS$25+BS$25*BS$13*$AN60,BS$25*(1+BS$13)^$AN60)</f>
        <v>0</v>
      </c>
      <c r="BT60" s="69">
        <f ca="1">$AO60*IF(Auswahllisten!$G$150,BT$25+BT$25*BT$13*$AN60,BT$25*(1+BT$13)^$AN60)</f>
        <v>0</v>
      </c>
      <c r="BU60" s="69">
        <f ca="1">$AO60*IF(Auswahllisten!$G$150,BU$25+BU$25*BU$13*$AN60,BU$25*(1+BU$13)^$AN60)</f>
        <v>0</v>
      </c>
      <c r="BV60" s="69">
        <f ca="1">$AO60*IF(Auswahllisten!$G$150,BV$25+BV$25*BV$13*$AN60,BV$25*(1+BV$13)^$AN60)</f>
        <v>0</v>
      </c>
      <c r="BW60" s="69">
        <f t="shared" ca="1" si="40"/>
        <v>0</v>
      </c>
      <c r="BX60" s="69">
        <f t="shared" ca="1" si="41"/>
        <v>0</v>
      </c>
      <c r="BY60" s="69">
        <f t="shared" ca="1" si="27"/>
        <v>0</v>
      </c>
      <c r="BZ60" s="69">
        <f t="shared" ca="1" si="28"/>
        <v>0</v>
      </c>
    </row>
    <row r="61" spans="1:78">
      <c r="A61" s="304" t="s">
        <v>1217</v>
      </c>
      <c r="B61" s="131" t="s">
        <v>1242</v>
      </c>
      <c r="C61" s="131" t="s">
        <v>245</v>
      </c>
      <c r="D61" s="162" t="str" cm="1">
        <f t="array" aca="1" ref="D61" ca="1">INDIRECT("Vergleich!"&amp;$G$2&amp;Z61)</f>
        <v>mittel</v>
      </c>
      <c r="E61" s="162" cm="1">
        <f t="array" aca="1" ref="E61" ca="1">INDIRECT("Investition_gewählt!"&amp;$I$5&amp;AA61)</f>
        <v>23500</v>
      </c>
      <c r="F61" s="25" cm="1">
        <f t="array" aca="1" ref="F61" ca="1">IF($C$5=0,0,INDEX(Faktoren!E47:GQ47,1,VLOOKUP($F$5,$L$2:$O$14,4,FALSE)+$C$9*5+VLOOKUP(D61,Auswahllisten!$E$25:$F$29,2,FALSE)))</f>
        <v>0</v>
      </c>
      <c r="G61" s="162">
        <f ca="1">E61*F61</f>
        <v>0</v>
      </c>
      <c r="H61" s="162" cm="1">
        <f t="array" aca="1" ref="H61" ca="1">INDIRECT("Investition_gewählt!"&amp;$I$6&amp;AA61)</f>
        <v>23500</v>
      </c>
      <c r="I61" s="25" cm="1">
        <f t="array" aca="1" ref="I61" ca="1">IF($C$5=0,0,INDEX(Faktoren!E47:GQ47,1,VLOOKUP($F$6,$L$2:$O$14,4,FALSE)+$C$9*5+VLOOKUP(D61,Auswahllisten!$E$25:$F$29,2,FALSE)))</f>
        <v>0</v>
      </c>
      <c r="J61" s="162">
        <f ca="1">H61*I61</f>
        <v>0</v>
      </c>
      <c r="K61" s="162">
        <f t="shared" ref="K61:K69" ca="1" si="76">IF($C$5=0,0,G61+(J61-G61)*($C$6-$F$5)/($F$6-$F$5))</f>
        <v>0</v>
      </c>
      <c r="L61" s="25" t="b">
        <f t="shared" ref="L61:L69" ca="1" si="77">($C$5=$L$60)</f>
        <v>0</v>
      </c>
      <c r="M61" s="162">
        <f t="shared" ca="1" si="11"/>
        <v>0</v>
      </c>
      <c r="O61" s="25" t="str" cm="1">
        <f t="array" aca="1" ref="O61" ca="1">INDIRECT("Vergleich!"&amp;$Y$2&amp;Z61)</f>
        <v>gering</v>
      </c>
      <c r="P61" s="162" cm="1">
        <f t="array" aca="1" ref="P61" ca="1">INDIRECT("Investition_gewählt!"&amp;$AA$5&amp;AA61)</f>
        <v>23500</v>
      </c>
      <c r="Q61" s="25" cm="1">
        <f t="array" aca="1" ref="Q61" ca="1">IF($U$5=0,0,INDEX(Faktoren!E47:GQ47,1,VLOOKUP($X$5,$L$2:$O$14,4,FALSE)+$U$9*5+VLOOKUP(O61,Auswahllisten!$E$25:$F$29,2,FALSE)))</f>
        <v>0</v>
      </c>
      <c r="R61" s="162">
        <f t="shared" ref="R61:R69" ca="1" si="78">P61*Q61</f>
        <v>0</v>
      </c>
      <c r="S61" s="162" cm="1">
        <f t="array" aca="1" ref="S61" ca="1">INDIRECT("Investition_gewählt!"&amp;$AA$6&amp;AA61)</f>
        <v>23500</v>
      </c>
      <c r="T61" s="25" cm="1">
        <f t="array" aca="1" ref="T61" ca="1">IF($U$5=0,0,INDEX(Faktoren!E47:QG47,1,VLOOKUP($X$6,$L$3:$O$14,4,FALSE)+$U$9*5+VLOOKUP(O61,Auswahllisten!$E$25:$F$29,2,FALSE)))</f>
        <v>0</v>
      </c>
      <c r="U61" s="162">
        <f t="shared" ref="U61:U69" ca="1" si="79">S61*T61</f>
        <v>0</v>
      </c>
      <c r="V61" s="162">
        <f t="shared" ca="1" si="14"/>
        <v>0</v>
      </c>
      <c r="W61" s="25" t="b">
        <f ca="1">($U$5=$L$60)</f>
        <v>0</v>
      </c>
      <c r="X61" s="162">
        <f t="shared" ca="1" si="16"/>
        <v>0</v>
      </c>
      <c r="Z61" s="1">
        <v>32</v>
      </c>
      <c r="AA61" s="1">
        <v>47</v>
      </c>
      <c r="AB61" s="1">
        <v>-2</v>
      </c>
      <c r="AN61" s="1">
        <v>36</v>
      </c>
      <c r="AO61" s="1">
        <f t="shared" si="22"/>
        <v>0</v>
      </c>
      <c r="AP61" s="69">
        <f t="shared" ca="1" si="65"/>
        <v>0</v>
      </c>
      <c r="AQ61" s="69">
        <f t="shared" ca="1" si="65"/>
        <v>0</v>
      </c>
      <c r="AR61" s="69">
        <f t="shared" si="65"/>
        <v>0</v>
      </c>
      <c r="AS61" s="69">
        <f t="shared" ca="1" si="65"/>
        <v>0</v>
      </c>
      <c r="AT61" s="69">
        <f t="shared" ca="1" si="65"/>
        <v>0</v>
      </c>
      <c r="AU61" s="69">
        <f t="shared" ca="1" si="65"/>
        <v>0</v>
      </c>
      <c r="AV61" s="69">
        <f t="shared" si="65"/>
        <v>0</v>
      </c>
      <c r="AW61" s="69">
        <f t="shared" ca="1" si="66"/>
        <v>0</v>
      </c>
      <c r="AX61" s="69">
        <f t="shared" ca="1" si="33"/>
        <v>0</v>
      </c>
      <c r="AY61" s="69">
        <f t="shared" ca="1" si="34"/>
        <v>0</v>
      </c>
      <c r="AZ61" s="69">
        <f ca="1">$AO61*IF(Auswahllisten!$G$150,AZ$25+AZ$25*AZ$13*$AN61,AZ$25*(1+AZ$13)^$AN61)</f>
        <v>0</v>
      </c>
      <c r="BA61" s="69">
        <f ca="1">$AO61*IF(Auswahllisten!$G$150,BA$25+BA$25*BA$13*$AN61,BA$25*(1+BA$13)^$AN61)</f>
        <v>0</v>
      </c>
      <c r="BB61" s="69">
        <f ca="1">$AO61*IF(Auswahllisten!$G$150,BB$25+BB$25*BB$13*$AN61,BB$25*(1+BB$13)^$AN61)</f>
        <v>0</v>
      </c>
      <c r="BC61" s="69">
        <f ca="1">$AO61*IF(Auswahllisten!$G$150,BC$25+BC$25*BC$13*$AN61,BC$25*(1+BC$13)^$AN61)</f>
        <v>0</v>
      </c>
      <c r="BD61" s="69">
        <f t="shared" ca="1" si="35"/>
        <v>0</v>
      </c>
      <c r="BE61" s="69">
        <f t="shared" ca="1" si="36"/>
        <v>0</v>
      </c>
      <c r="BF61" s="69">
        <f t="shared" ca="1" si="37"/>
        <v>0</v>
      </c>
      <c r="BG61" s="69">
        <f t="shared" ca="1" si="38"/>
        <v>0</v>
      </c>
      <c r="BI61" s="69">
        <f t="shared" ca="1" si="61"/>
        <v>0</v>
      </c>
      <c r="BJ61" s="69">
        <f t="shared" ca="1" si="61"/>
        <v>0</v>
      </c>
      <c r="BK61" s="69">
        <f t="shared" si="61"/>
        <v>0</v>
      </c>
      <c r="BL61" s="69">
        <f t="shared" ca="1" si="61"/>
        <v>0</v>
      </c>
      <c r="BM61" s="69">
        <f t="shared" ca="1" si="61"/>
        <v>0</v>
      </c>
      <c r="BN61" s="69">
        <f t="shared" ca="1" si="61"/>
        <v>0</v>
      </c>
      <c r="BO61" s="69">
        <f t="shared" si="61"/>
        <v>0</v>
      </c>
      <c r="BP61" s="69">
        <f t="shared" ca="1" si="74"/>
        <v>0</v>
      </c>
      <c r="BQ61" s="69">
        <f t="shared" ca="1" si="39"/>
        <v>0</v>
      </c>
      <c r="BR61" s="69">
        <f t="shared" ca="1" si="75"/>
        <v>0</v>
      </c>
      <c r="BS61" s="69">
        <f ca="1">$AO61*IF(Auswahllisten!$G$150,BS$25+BS$25*BS$13*$AN61,BS$25*(1+BS$13)^$AN61)</f>
        <v>0</v>
      </c>
      <c r="BT61" s="69">
        <f ca="1">$AO61*IF(Auswahllisten!$G$150,BT$25+BT$25*BT$13*$AN61,BT$25*(1+BT$13)^$AN61)</f>
        <v>0</v>
      </c>
      <c r="BU61" s="69">
        <f ca="1">$AO61*IF(Auswahllisten!$G$150,BU$25+BU$25*BU$13*$AN61,BU$25*(1+BU$13)^$AN61)</f>
        <v>0</v>
      </c>
      <c r="BV61" s="69">
        <f ca="1">$AO61*IF(Auswahllisten!$G$150,BV$25+BV$25*BV$13*$AN61,BV$25*(1+BV$13)^$AN61)</f>
        <v>0</v>
      </c>
      <c r="BW61" s="69">
        <f t="shared" ca="1" si="40"/>
        <v>0</v>
      </c>
      <c r="BX61" s="69">
        <f t="shared" ca="1" si="41"/>
        <v>0</v>
      </c>
      <c r="BY61" s="69">
        <f t="shared" ca="1" si="27"/>
        <v>0</v>
      </c>
      <c r="BZ61" s="69">
        <f t="shared" ca="1" si="28"/>
        <v>0</v>
      </c>
    </row>
    <row r="62" spans="1:78">
      <c r="A62" s="305" t="s">
        <v>1215</v>
      </c>
      <c r="B62" s="126" t="s">
        <v>303</v>
      </c>
      <c r="C62" s="126" t="s">
        <v>1000</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IF($C$5=0,0,INDEX(Faktoren!E48:GQ48,1,VLOOKUP($F$5,$L$2:$O$14,4,FALSE)+$C$9*5+VLOOKUP(D62,Auswahllisten!$E$25:$F$29,2,FALSE)))</f>
        <v>0</v>
      </c>
      <c r="G62" s="26">
        <f t="shared" ref="G62:G69" ca="1" si="80">E62*F62</f>
        <v>0</v>
      </c>
      <c r="H62" s="26" cm="1">
        <f t="array" aca="1" ref="H62" ca="1">INDIRECT("Investition_gewählt!"&amp;$I$6&amp;AA62)</f>
        <v>8800</v>
      </c>
      <c r="I62" s="25" cm="1">
        <f t="array" aca="1" ref="I62" ca="1">IF($C$5=0,0,INDEX(Faktoren!E48:GQ48,1,VLOOKUP($F$6,$L$2:$O$14,4,FALSE)+$C$9*5+VLOOKUP(D62,Auswahllisten!$E$25:$F$29,2,FALSE)))</f>
        <v>0</v>
      </c>
      <c r="J62" s="26">
        <f t="shared" ref="J62:J69" ca="1" si="81">H62*I62</f>
        <v>0</v>
      </c>
      <c r="K62" s="26">
        <f t="shared" ca="1" si="76"/>
        <v>0</v>
      </c>
      <c r="L62" s="16" t="b">
        <f t="shared" ca="1" si="77"/>
        <v>0</v>
      </c>
      <c r="M62" s="26">
        <f t="shared" ca="1" si="11"/>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IF($U$5=0,0,INDEX(Faktoren!E48:GQ48,1,VLOOKUP($X$5,$L$2:$O$14,4,FALSE)+$U$9*5+VLOOKUP(O62,Auswahllisten!$E$25:$F$29,2,FALSE)))</f>
        <v>0</v>
      </c>
      <c r="R62" s="26">
        <f t="shared" ca="1" si="78"/>
        <v>0</v>
      </c>
      <c r="S62" s="26" cm="1">
        <f t="array" aca="1" ref="S62" ca="1">INDIRECT("Investition_gewählt!"&amp;$AA$6&amp;AA62)</f>
        <v>8800</v>
      </c>
      <c r="T62" s="16" cm="1">
        <f t="array" aca="1" ref="T62" ca="1">IF($U$5=0,0,INDEX(Faktoren!E48:QG48,1,VLOOKUP($X$6,$L$3:$O$14,4,FALSE)+$U$9*5+VLOOKUP(O62,Auswahllisten!$E$25:$F$29,2,FALSE)))</f>
        <v>0</v>
      </c>
      <c r="U62" s="26">
        <f t="shared" ca="1" si="79"/>
        <v>0</v>
      </c>
      <c r="V62" s="26">
        <f t="shared" ca="1" si="14"/>
        <v>0</v>
      </c>
      <c r="W62" s="16" t="b">
        <f t="shared" ref="W62:W69" ca="1" si="82">($U$5=$L$60)</f>
        <v>0</v>
      </c>
      <c r="X62" s="26">
        <f t="shared" ca="1" si="16"/>
        <v>0</v>
      </c>
      <c r="Z62" s="1">
        <v>40</v>
      </c>
      <c r="AA62" s="1">
        <v>48</v>
      </c>
      <c r="AB62" s="1">
        <v>-2</v>
      </c>
      <c r="AN62" s="1">
        <v>37</v>
      </c>
      <c r="AO62" s="1">
        <f t="shared" si="22"/>
        <v>0</v>
      </c>
      <c r="AP62" s="69">
        <f t="shared" ref="AP62:AV77" ca="1" si="83">IFERROR($AO62*IF(MOD($AN62,AP$20)=0,AP$25,0)*(1+$AS$10)^$AN62*IF($AS$3=$AN62,0,1),0)</f>
        <v>0</v>
      </c>
      <c r="AQ62" s="69">
        <f t="shared" ca="1" si="83"/>
        <v>0</v>
      </c>
      <c r="AR62" s="69">
        <f t="shared" si="83"/>
        <v>0</v>
      </c>
      <c r="AS62" s="69">
        <f t="shared" ca="1" si="83"/>
        <v>0</v>
      </c>
      <c r="AT62" s="69">
        <f t="shared" ca="1" si="83"/>
        <v>0</v>
      </c>
      <c r="AU62" s="69">
        <f t="shared" ca="1" si="83"/>
        <v>0</v>
      </c>
      <c r="AV62" s="69">
        <f t="shared" si="83"/>
        <v>0</v>
      </c>
      <c r="AW62" s="69">
        <f t="shared" ca="1" si="66"/>
        <v>0</v>
      </c>
      <c r="AX62" s="69">
        <f t="shared" ca="1" si="33"/>
        <v>0</v>
      </c>
      <c r="AY62" s="69">
        <f t="shared" ca="1" si="34"/>
        <v>0</v>
      </c>
      <c r="AZ62" s="69">
        <f ca="1">$AO62*IF(Auswahllisten!$G$150,AZ$25+AZ$25*AZ$13*$AN62,AZ$25*(1+AZ$13)^$AN62)</f>
        <v>0</v>
      </c>
      <c r="BA62" s="69">
        <f ca="1">$AO62*IF(Auswahllisten!$G$150,BA$25+BA$25*BA$13*$AN62,BA$25*(1+BA$13)^$AN62)</f>
        <v>0</v>
      </c>
      <c r="BB62" s="69">
        <f ca="1">$AO62*IF(Auswahllisten!$G$150,BB$25+BB$25*BB$13*$AN62,BB$25*(1+BB$13)^$AN62)</f>
        <v>0</v>
      </c>
      <c r="BC62" s="69">
        <f ca="1">$AO62*IF(Auswahllisten!$G$150,BC$25+BC$25*BC$13*$AN62,BC$25*(1+BC$13)^$AN62)</f>
        <v>0</v>
      </c>
      <c r="BD62" s="69">
        <f t="shared" ca="1" si="35"/>
        <v>0</v>
      </c>
      <c r="BE62" s="69">
        <f t="shared" ca="1" si="36"/>
        <v>0</v>
      </c>
      <c r="BF62" s="69">
        <f t="shared" ca="1" si="37"/>
        <v>0</v>
      </c>
      <c r="BG62" s="69">
        <f t="shared" ca="1" si="38"/>
        <v>0</v>
      </c>
      <c r="BI62" s="69">
        <f t="shared" ca="1" si="61"/>
        <v>0</v>
      </c>
      <c r="BJ62" s="69">
        <f t="shared" ca="1" si="61"/>
        <v>0</v>
      </c>
      <c r="BK62" s="69">
        <f t="shared" si="61"/>
        <v>0</v>
      </c>
      <c r="BL62" s="69">
        <f t="shared" ca="1" si="61"/>
        <v>0</v>
      </c>
      <c r="BM62" s="69">
        <f t="shared" ca="1" si="61"/>
        <v>0</v>
      </c>
      <c r="BN62" s="69">
        <f t="shared" ca="1" si="61"/>
        <v>0</v>
      </c>
      <c r="BO62" s="69">
        <f t="shared" si="61"/>
        <v>0</v>
      </c>
      <c r="BP62" s="69">
        <f t="shared" ca="1" si="74"/>
        <v>0</v>
      </c>
      <c r="BQ62" s="69">
        <f t="shared" ca="1" si="39"/>
        <v>0</v>
      </c>
      <c r="BR62" s="69">
        <f t="shared" ca="1" si="75"/>
        <v>0</v>
      </c>
      <c r="BS62" s="69">
        <f ca="1">$AO62*IF(Auswahllisten!$G$150,BS$25+BS$25*BS$13*$AN62,BS$25*(1+BS$13)^$AN62)</f>
        <v>0</v>
      </c>
      <c r="BT62" s="69">
        <f ca="1">$AO62*IF(Auswahllisten!$G$150,BT$25+BT$25*BT$13*$AN62,BT$25*(1+BT$13)^$AN62)</f>
        <v>0</v>
      </c>
      <c r="BU62" s="69">
        <f ca="1">$AO62*IF(Auswahllisten!$G$150,BU$25+BU$25*BU$13*$AN62,BU$25*(1+BU$13)^$AN62)</f>
        <v>0</v>
      </c>
      <c r="BV62" s="69">
        <f ca="1">$AO62*IF(Auswahllisten!$G$150,BV$25+BV$25*BV$13*$AN62,BV$25*(1+BV$13)^$AN62)</f>
        <v>0</v>
      </c>
      <c r="BW62" s="69">
        <f t="shared" ca="1" si="40"/>
        <v>0</v>
      </c>
      <c r="BX62" s="69">
        <f t="shared" ca="1" si="41"/>
        <v>0</v>
      </c>
      <c r="BY62" s="69">
        <f t="shared" ca="1" si="27"/>
        <v>0</v>
      </c>
      <c r="BZ62" s="69">
        <f t="shared" ca="1" si="28"/>
        <v>0</v>
      </c>
    </row>
    <row r="63" spans="1:78">
      <c r="A63" s="305" t="s">
        <v>1215</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IF($C$5=0,0,INDEX(Faktoren!E49:GQ49,1,VLOOKUP($F$5,$L$2:$O$14,4,FALSE)+$C$9*5+VLOOKUP(D63,Auswahllisten!$E$25:$F$29,2,FALSE)))</f>
        <v>0</v>
      </c>
      <c r="G63" s="26">
        <f t="shared" ca="1" si="80"/>
        <v>0</v>
      </c>
      <c r="H63" s="26" cm="1">
        <f t="array" aca="1" ref="H63" ca="1">INDIRECT("Investition_gewählt!"&amp;$I$6&amp;AA63)</f>
        <v>3600</v>
      </c>
      <c r="I63" s="25" cm="1">
        <f t="array" aca="1" ref="I63" ca="1">IF($C$5=0,0,INDEX(Faktoren!E49:GQ49,1,VLOOKUP($F$6,$L$2:$O$14,4,FALSE)+$C$9*5+VLOOKUP(D63,Auswahllisten!$E$25:$F$29,2,FALSE)))</f>
        <v>0</v>
      </c>
      <c r="J63" s="26">
        <f t="shared" ca="1" si="81"/>
        <v>0</v>
      </c>
      <c r="K63" s="26">
        <f t="shared" ca="1" si="76"/>
        <v>0</v>
      </c>
      <c r="L63" s="16" t="b">
        <f t="shared" ca="1" si="77"/>
        <v>0</v>
      </c>
      <c r="M63" s="26">
        <f t="shared" ca="1" si="11"/>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IF($U$5=0,0,INDEX(Faktoren!E49:GQ49,1,VLOOKUP($X$5,$L$2:$O$14,4,FALSE)+$U$9*5+VLOOKUP(O63,Auswahllisten!$E$25:$F$29,2,FALSE)))</f>
        <v>0</v>
      </c>
      <c r="R63" s="26">
        <f t="shared" ca="1" si="78"/>
        <v>0</v>
      </c>
      <c r="S63" s="26" cm="1">
        <f t="array" aca="1" ref="S63" ca="1">INDIRECT("Investition_gewählt!"&amp;$AA$6&amp;AA63)</f>
        <v>3600</v>
      </c>
      <c r="T63" s="16" cm="1">
        <f t="array" aca="1" ref="T63" ca="1">IF($U$5=0,0,INDEX(Faktoren!E49:QG49,1,VLOOKUP($X$6,$L$3:$O$14,4,FALSE)+$U$9*5+VLOOKUP(O63,Auswahllisten!$E$25:$F$29,2,FALSE)))</f>
        <v>0</v>
      </c>
      <c r="U63" s="26">
        <f t="shared" ca="1" si="79"/>
        <v>0</v>
      </c>
      <c r="V63" s="26">
        <f t="shared" ca="1" si="14"/>
        <v>0</v>
      </c>
      <c r="W63" s="16" t="b">
        <f t="shared" ca="1" si="82"/>
        <v>0</v>
      </c>
      <c r="X63" s="26">
        <f t="shared" ca="1" si="16"/>
        <v>0</v>
      </c>
      <c r="Z63" s="1">
        <v>42</v>
      </c>
      <c r="AA63" s="1">
        <v>49</v>
      </c>
      <c r="AB63" s="1">
        <v>-2</v>
      </c>
      <c r="AN63" s="1">
        <v>38</v>
      </c>
      <c r="AO63" s="1">
        <f t="shared" si="22"/>
        <v>0</v>
      </c>
      <c r="AP63" s="69">
        <f t="shared" ca="1" si="83"/>
        <v>0</v>
      </c>
      <c r="AQ63" s="69">
        <f t="shared" ca="1" si="83"/>
        <v>0</v>
      </c>
      <c r="AR63" s="69">
        <f t="shared" si="83"/>
        <v>0</v>
      </c>
      <c r="AS63" s="69">
        <f t="shared" ca="1" si="83"/>
        <v>0</v>
      </c>
      <c r="AT63" s="69">
        <f t="shared" ca="1" si="83"/>
        <v>0</v>
      </c>
      <c r="AU63" s="69">
        <f t="shared" ca="1" si="83"/>
        <v>0</v>
      </c>
      <c r="AV63" s="69">
        <f t="shared" si="83"/>
        <v>0</v>
      </c>
      <c r="AW63" s="69">
        <f t="shared" ca="1" si="66"/>
        <v>0</v>
      </c>
      <c r="AX63" s="69">
        <f t="shared" ca="1" si="33"/>
        <v>0</v>
      </c>
      <c r="AY63" s="69">
        <f t="shared" ca="1" si="34"/>
        <v>0</v>
      </c>
      <c r="AZ63" s="69">
        <f ca="1">$AO63*IF(Auswahllisten!$G$150,AZ$25+AZ$25*AZ$13*$AN63,AZ$25*(1+AZ$13)^$AN63)</f>
        <v>0</v>
      </c>
      <c r="BA63" s="69">
        <f ca="1">$AO63*IF(Auswahllisten!$G$150,BA$25+BA$25*BA$13*$AN63,BA$25*(1+BA$13)^$AN63)</f>
        <v>0</v>
      </c>
      <c r="BB63" s="69">
        <f ca="1">$AO63*IF(Auswahllisten!$G$150,BB$25+BB$25*BB$13*$AN63,BB$25*(1+BB$13)^$AN63)</f>
        <v>0</v>
      </c>
      <c r="BC63" s="69">
        <f ca="1">$AO63*IF(Auswahllisten!$G$150,BC$25+BC$25*BC$13*$AN63,BC$25*(1+BC$13)^$AN63)</f>
        <v>0</v>
      </c>
      <c r="BD63" s="69">
        <f t="shared" ca="1" si="35"/>
        <v>0</v>
      </c>
      <c r="BE63" s="69">
        <f t="shared" ca="1" si="36"/>
        <v>0</v>
      </c>
      <c r="BF63" s="69">
        <f t="shared" ca="1" si="37"/>
        <v>0</v>
      </c>
      <c r="BG63" s="69">
        <f t="shared" ca="1" si="38"/>
        <v>0</v>
      </c>
      <c r="BI63" s="69">
        <f t="shared" ca="1" si="61"/>
        <v>0</v>
      </c>
      <c r="BJ63" s="69">
        <f t="shared" ca="1" si="61"/>
        <v>0</v>
      </c>
      <c r="BK63" s="69">
        <f t="shared" si="61"/>
        <v>0</v>
      </c>
      <c r="BL63" s="69">
        <f t="shared" ca="1" si="61"/>
        <v>0</v>
      </c>
      <c r="BM63" s="69">
        <f t="shared" ca="1" si="61"/>
        <v>0</v>
      </c>
      <c r="BN63" s="69">
        <f t="shared" ca="1" si="61"/>
        <v>0</v>
      </c>
      <c r="BO63" s="69">
        <f t="shared" si="61"/>
        <v>0</v>
      </c>
      <c r="BP63" s="69">
        <f t="shared" ca="1" si="74"/>
        <v>0</v>
      </c>
      <c r="BQ63" s="69">
        <f t="shared" ca="1" si="39"/>
        <v>0</v>
      </c>
      <c r="BR63" s="69">
        <f t="shared" ca="1" si="75"/>
        <v>0</v>
      </c>
      <c r="BS63" s="69">
        <f ca="1">$AO63*IF(Auswahllisten!$G$150,BS$25+BS$25*BS$13*$AN63,BS$25*(1+BS$13)^$AN63)</f>
        <v>0</v>
      </c>
      <c r="BT63" s="69">
        <f ca="1">$AO63*IF(Auswahllisten!$G$150,BT$25+BT$25*BT$13*$AN63,BT$25*(1+BT$13)^$AN63)</f>
        <v>0</v>
      </c>
      <c r="BU63" s="69">
        <f ca="1">$AO63*IF(Auswahllisten!$G$150,BU$25+BU$25*BU$13*$AN63,BU$25*(1+BU$13)^$AN63)</f>
        <v>0</v>
      </c>
      <c r="BV63" s="69">
        <f ca="1">$AO63*IF(Auswahllisten!$G$150,BV$25+BV$25*BV$13*$AN63,BV$25*(1+BV$13)^$AN63)</f>
        <v>0</v>
      </c>
      <c r="BW63" s="69">
        <f t="shared" ca="1" si="40"/>
        <v>0</v>
      </c>
      <c r="BX63" s="69">
        <f t="shared" ca="1" si="41"/>
        <v>0</v>
      </c>
      <c r="BY63" s="69">
        <f t="shared" ca="1" si="27"/>
        <v>0</v>
      </c>
      <c r="BZ63" s="69">
        <f t="shared" ca="1" si="28"/>
        <v>0</v>
      </c>
    </row>
    <row r="64" spans="1:78">
      <c r="A64" s="305" t="s">
        <v>1218</v>
      </c>
      <c r="B64" s="126" t="s">
        <v>1243</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IF($C$5=0,0,INDEX(Faktoren!E50:GQ50,1,VLOOKUP($F$5,$L$2:$O$14,4,FALSE)+$C$9*5+VLOOKUP(D64,Auswahllisten!$E$25:$F$29,2,FALSE)))</f>
        <v>0</v>
      </c>
      <c r="G64" s="26">
        <f t="shared" ca="1" si="80"/>
        <v>0</v>
      </c>
      <c r="H64" s="26" cm="1">
        <f t="array" aca="1" ref="H64" ca="1">INDIRECT("Investition_gewählt!"&amp;$I$6&amp;AA64)</f>
        <v>1500</v>
      </c>
      <c r="I64" s="25" cm="1">
        <f t="array" aca="1" ref="I64" ca="1">IF($C$5=0,0,INDEX(Faktoren!E50:GQ50,1,VLOOKUP($F$6,$L$2:$O$14,4,FALSE)+$C$9*5+VLOOKUP(D64,Auswahllisten!$E$25:$F$29,2,FALSE)))</f>
        <v>0</v>
      </c>
      <c r="J64" s="26">
        <f t="shared" ca="1" si="81"/>
        <v>0</v>
      </c>
      <c r="K64" s="26">
        <f t="shared" ca="1" si="76"/>
        <v>0</v>
      </c>
      <c r="L64" s="16" t="b">
        <f t="shared" ca="1" si="77"/>
        <v>0</v>
      </c>
      <c r="M64" s="26">
        <f t="shared" ca="1" si="11"/>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IF($U$5=0,0,INDEX(Faktoren!E50:GQ50,1,VLOOKUP($X$5,$L$2:$O$14,4,FALSE)+$U$9*5+VLOOKUP(O64,Auswahllisten!$E$25:$F$29,2,FALSE)))</f>
        <v>0</v>
      </c>
      <c r="R64" s="26">
        <f t="shared" ca="1" si="78"/>
        <v>0</v>
      </c>
      <c r="S64" s="26" cm="1">
        <f t="array" aca="1" ref="S64" ca="1">INDIRECT("Investition_gewählt!"&amp;$AA$6&amp;AA64)</f>
        <v>1500</v>
      </c>
      <c r="T64" s="16" cm="1">
        <f t="array" aca="1" ref="T64" ca="1">IF($U$5=0,0,INDEX(Faktoren!E50:QG50,1,VLOOKUP($X$6,$L$3:$O$14,4,FALSE)+$U$9*5+VLOOKUP(O64,Auswahllisten!$E$25:$F$29,2,FALSE)))</f>
        <v>0</v>
      </c>
      <c r="U64" s="26">
        <f t="shared" ca="1" si="79"/>
        <v>0</v>
      </c>
      <c r="V64" s="26">
        <f t="shared" ca="1" si="14"/>
        <v>0</v>
      </c>
      <c r="W64" s="16" t="b">
        <f t="shared" ca="1" si="82"/>
        <v>0</v>
      </c>
      <c r="X64" s="26">
        <f t="shared" ca="1" si="16"/>
        <v>0</v>
      </c>
      <c r="Z64" s="1">
        <v>41</v>
      </c>
      <c r="AA64" s="1">
        <v>50</v>
      </c>
      <c r="AB64" s="1">
        <v>-2</v>
      </c>
      <c r="AN64" s="1">
        <v>39</v>
      </c>
      <c r="AO64" s="1">
        <f t="shared" si="22"/>
        <v>0</v>
      </c>
      <c r="AP64" s="69">
        <f t="shared" ca="1" si="83"/>
        <v>0</v>
      </c>
      <c r="AQ64" s="69">
        <f t="shared" ca="1" si="83"/>
        <v>0</v>
      </c>
      <c r="AR64" s="69">
        <f t="shared" si="83"/>
        <v>0</v>
      </c>
      <c r="AS64" s="69">
        <f t="shared" ca="1" si="83"/>
        <v>0</v>
      </c>
      <c r="AT64" s="69">
        <f t="shared" ca="1" si="83"/>
        <v>0</v>
      </c>
      <c r="AU64" s="69">
        <f t="shared" ca="1" si="83"/>
        <v>0</v>
      </c>
      <c r="AV64" s="69">
        <f t="shared" si="83"/>
        <v>0</v>
      </c>
      <c r="AW64" s="69">
        <f t="shared" ca="1" si="66"/>
        <v>0</v>
      </c>
      <c r="AX64" s="69">
        <f t="shared" ca="1" si="33"/>
        <v>0</v>
      </c>
      <c r="AY64" s="69">
        <f t="shared" ca="1" si="34"/>
        <v>0</v>
      </c>
      <c r="AZ64" s="69">
        <f ca="1">$AO64*IF(Auswahllisten!$G$150,AZ$25+AZ$25*AZ$13*$AN64,AZ$25*(1+AZ$13)^$AN64)</f>
        <v>0</v>
      </c>
      <c r="BA64" s="69">
        <f ca="1">$AO64*IF(Auswahllisten!$G$150,BA$25+BA$25*BA$13*$AN64,BA$25*(1+BA$13)^$AN64)</f>
        <v>0</v>
      </c>
      <c r="BB64" s="69">
        <f ca="1">$AO64*IF(Auswahllisten!$G$150,BB$25+BB$25*BB$13*$AN64,BB$25*(1+BB$13)^$AN64)</f>
        <v>0</v>
      </c>
      <c r="BC64" s="69">
        <f ca="1">$AO64*IF(Auswahllisten!$G$150,BC$25+BC$25*BC$13*$AN64,BC$25*(1+BC$13)^$AN64)</f>
        <v>0</v>
      </c>
      <c r="BD64" s="69">
        <f t="shared" ca="1" si="35"/>
        <v>0</v>
      </c>
      <c r="BE64" s="69">
        <f t="shared" ca="1" si="36"/>
        <v>0</v>
      </c>
      <c r="BF64" s="69">
        <f t="shared" ca="1" si="37"/>
        <v>0</v>
      </c>
      <c r="BG64" s="69">
        <f t="shared" ca="1" si="38"/>
        <v>0</v>
      </c>
      <c r="BI64" s="69">
        <f t="shared" ca="1" si="61"/>
        <v>0</v>
      </c>
      <c r="BJ64" s="69">
        <f t="shared" ca="1" si="61"/>
        <v>0</v>
      </c>
      <c r="BK64" s="69">
        <f t="shared" si="61"/>
        <v>0</v>
      </c>
      <c r="BL64" s="69">
        <f t="shared" ca="1" si="61"/>
        <v>0</v>
      </c>
      <c r="BM64" s="69">
        <f t="shared" ca="1" si="61"/>
        <v>0</v>
      </c>
      <c r="BN64" s="69">
        <f t="shared" ca="1" si="61"/>
        <v>0</v>
      </c>
      <c r="BO64" s="69">
        <f t="shared" si="61"/>
        <v>0</v>
      </c>
      <c r="BP64" s="69">
        <f t="shared" ca="1" si="74"/>
        <v>0</v>
      </c>
      <c r="BQ64" s="69">
        <f t="shared" ca="1" si="39"/>
        <v>0</v>
      </c>
      <c r="BR64" s="69">
        <f t="shared" ca="1" si="75"/>
        <v>0</v>
      </c>
      <c r="BS64" s="69">
        <f ca="1">$AO64*IF(Auswahllisten!$G$150,BS$25+BS$25*BS$13*$AN64,BS$25*(1+BS$13)^$AN64)</f>
        <v>0</v>
      </c>
      <c r="BT64" s="69">
        <f ca="1">$AO64*IF(Auswahllisten!$G$150,BT$25+BT$25*BT$13*$AN64,BT$25*(1+BT$13)^$AN64)</f>
        <v>0</v>
      </c>
      <c r="BU64" s="69">
        <f ca="1">$AO64*IF(Auswahllisten!$G$150,BU$25+BU$25*BU$13*$AN64,BU$25*(1+BU$13)^$AN64)</f>
        <v>0</v>
      </c>
      <c r="BV64" s="69">
        <f ca="1">$AO64*IF(Auswahllisten!$G$150,BV$25+BV$25*BV$13*$AN64,BV$25*(1+BV$13)^$AN64)</f>
        <v>0</v>
      </c>
      <c r="BW64" s="69">
        <f t="shared" ca="1" si="40"/>
        <v>0</v>
      </c>
      <c r="BX64" s="69">
        <f t="shared" ca="1" si="41"/>
        <v>0</v>
      </c>
      <c r="BY64" s="69">
        <f t="shared" ca="1" si="27"/>
        <v>0</v>
      </c>
      <c r="BZ64" s="69">
        <f t="shared" ca="1" si="28"/>
        <v>0</v>
      </c>
    </row>
    <row r="65" spans="1:78">
      <c r="A65" s="305" t="s">
        <v>1215</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IF($C$5=0,0,INDEX(Faktoren!E51:GQ51,1,VLOOKUP($F$5,$L$2:$O$14,4,FALSE)+$C$9*5+VLOOKUP(D65,Auswahllisten!$E$25:$F$29,2,FALSE)))</f>
        <v>0</v>
      </c>
      <c r="G65" s="26">
        <f t="shared" ca="1" si="80"/>
        <v>0</v>
      </c>
      <c r="H65" s="26" cm="1">
        <f t="array" aca="1" ref="H65" ca="1">INDIRECT("Investition_gewählt!"&amp;$I$6&amp;AA65)</f>
        <v>5600</v>
      </c>
      <c r="I65" s="25" cm="1">
        <f t="array" aca="1" ref="I65" ca="1">IF($C$5=0,0,INDEX(Faktoren!E51:GQ51,1,VLOOKUP($F$6,$L$2:$O$14,4,FALSE)+$C$9*5+VLOOKUP(D65,Auswahllisten!$E$25:$F$29,2,FALSE)))</f>
        <v>0</v>
      </c>
      <c r="J65" s="26">
        <f t="shared" ca="1" si="81"/>
        <v>0</v>
      </c>
      <c r="K65" s="26">
        <f t="shared" ca="1" si="76"/>
        <v>0</v>
      </c>
      <c r="L65" s="16" t="b">
        <f t="shared" ca="1" si="77"/>
        <v>0</v>
      </c>
      <c r="M65" s="26">
        <f t="shared" ca="1" si="11"/>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IF($U$5=0,0,INDEX(Faktoren!E51:GQ51,1,VLOOKUP($X$5,$L$2:$O$14,4,FALSE)+$U$9*5+VLOOKUP(O65,Auswahllisten!$E$25:$F$29,2,FALSE)))</f>
        <v>0</v>
      </c>
      <c r="R65" s="26">
        <f t="shared" ca="1" si="78"/>
        <v>0</v>
      </c>
      <c r="S65" s="26" cm="1">
        <f t="array" aca="1" ref="S65" ca="1">INDIRECT("Investition_gewählt!"&amp;$AA$6&amp;AA65)</f>
        <v>5600</v>
      </c>
      <c r="T65" s="16" cm="1">
        <f t="array" aca="1" ref="T65" ca="1">IF($U$5=0,0,INDEX(Faktoren!E51:QG51,1,VLOOKUP($X$6,$L$3:$O$14,4,FALSE)+$U$9*5+VLOOKUP(O65,Auswahllisten!$E$25:$F$29,2,FALSE)))</f>
        <v>0</v>
      </c>
      <c r="U65" s="26">
        <f t="shared" ca="1" si="79"/>
        <v>0</v>
      </c>
      <c r="V65" s="26">
        <f t="shared" ca="1" si="14"/>
        <v>0</v>
      </c>
      <c r="W65" s="16" t="b">
        <f t="shared" ca="1" si="82"/>
        <v>0</v>
      </c>
      <c r="X65" s="26">
        <f t="shared" ca="1" si="16"/>
        <v>0</v>
      </c>
      <c r="Z65" s="1">
        <v>46</v>
      </c>
      <c r="AA65" s="1">
        <v>51</v>
      </c>
      <c r="AB65" s="1">
        <v>-2</v>
      </c>
      <c r="AN65" s="1">
        <v>40</v>
      </c>
      <c r="AO65" s="1">
        <f t="shared" si="22"/>
        <v>0</v>
      </c>
      <c r="AP65" s="69">
        <f t="shared" ca="1" si="83"/>
        <v>0</v>
      </c>
      <c r="AQ65" s="69">
        <f t="shared" ca="1" si="83"/>
        <v>0</v>
      </c>
      <c r="AR65" s="69">
        <f t="shared" ca="1" si="83"/>
        <v>0</v>
      </c>
      <c r="AS65" s="69">
        <f t="shared" ca="1" si="83"/>
        <v>0</v>
      </c>
      <c r="AT65" s="69">
        <f t="shared" ca="1" si="83"/>
        <v>0</v>
      </c>
      <c r="AU65" s="69">
        <f t="shared" ca="1" si="83"/>
        <v>0</v>
      </c>
      <c r="AV65" s="69">
        <f t="shared" ca="1" si="83"/>
        <v>0</v>
      </c>
      <c r="AW65" s="69">
        <f t="shared" ca="1" si="66"/>
        <v>0</v>
      </c>
      <c r="AX65" s="69">
        <f t="shared" ca="1" si="33"/>
        <v>0</v>
      </c>
      <c r="AY65" s="69">
        <f t="shared" ca="1" si="34"/>
        <v>0</v>
      </c>
      <c r="AZ65" s="69">
        <f ca="1">$AO65*IF(Auswahllisten!$G$150,AZ$25+AZ$25*AZ$13*$AN65,AZ$25*(1+AZ$13)^$AN65)</f>
        <v>0</v>
      </c>
      <c r="BA65" s="69">
        <f ca="1">$AO65*IF(Auswahllisten!$G$150,BA$25+BA$25*BA$13*$AN65,BA$25*(1+BA$13)^$AN65)</f>
        <v>0</v>
      </c>
      <c r="BB65" s="69">
        <f ca="1">$AO65*IF(Auswahllisten!$G$150,BB$25+BB$25*BB$13*$AN65,BB$25*(1+BB$13)^$AN65)</f>
        <v>0</v>
      </c>
      <c r="BC65" s="69">
        <f ca="1">$AO65*IF(Auswahllisten!$G$150,BC$25+BC$25*BC$13*$AN65,BC$25*(1+BC$13)^$AN65)</f>
        <v>0</v>
      </c>
      <c r="BD65" s="69">
        <f t="shared" ca="1" si="35"/>
        <v>0</v>
      </c>
      <c r="BE65" s="69">
        <f t="shared" ca="1" si="36"/>
        <v>0</v>
      </c>
      <c r="BF65" s="69">
        <f t="shared" ca="1" si="37"/>
        <v>0</v>
      </c>
      <c r="BG65" s="69">
        <f t="shared" ca="1" si="38"/>
        <v>0</v>
      </c>
      <c r="BI65" s="69">
        <f t="shared" ca="1" si="61"/>
        <v>0</v>
      </c>
      <c r="BJ65" s="69">
        <f t="shared" ca="1" si="61"/>
        <v>0</v>
      </c>
      <c r="BK65" s="69">
        <f t="shared" si="61"/>
        <v>0</v>
      </c>
      <c r="BL65" s="69">
        <f t="shared" ca="1" si="61"/>
        <v>0</v>
      </c>
      <c r="BM65" s="69">
        <f t="shared" ca="1" si="61"/>
        <v>0</v>
      </c>
      <c r="BN65" s="69">
        <f t="shared" ca="1" si="61"/>
        <v>0</v>
      </c>
      <c r="BO65" s="69">
        <f t="shared" si="61"/>
        <v>0</v>
      </c>
      <c r="BP65" s="69">
        <f t="shared" ca="1" si="74"/>
        <v>0</v>
      </c>
      <c r="BQ65" s="69">
        <f t="shared" ca="1" si="39"/>
        <v>0</v>
      </c>
      <c r="BR65" s="69">
        <f t="shared" ca="1" si="75"/>
        <v>0</v>
      </c>
      <c r="BS65" s="69">
        <f ca="1">$AO65*IF(Auswahllisten!$G$150,BS$25+BS$25*BS$13*$AN65,BS$25*(1+BS$13)^$AN65)</f>
        <v>0</v>
      </c>
      <c r="BT65" s="69">
        <f ca="1">$AO65*IF(Auswahllisten!$G$150,BT$25+BT$25*BT$13*$AN65,BT$25*(1+BT$13)^$AN65)</f>
        <v>0</v>
      </c>
      <c r="BU65" s="69">
        <f ca="1">$AO65*IF(Auswahllisten!$G$150,BU$25+BU$25*BU$13*$AN65,BU$25*(1+BU$13)^$AN65)</f>
        <v>0</v>
      </c>
      <c r="BV65" s="69">
        <f ca="1">$AO65*IF(Auswahllisten!$G$150,BV$25+BV$25*BV$13*$AN65,BV$25*(1+BV$13)^$AN65)</f>
        <v>0</v>
      </c>
      <c r="BW65" s="69">
        <f t="shared" ca="1" si="40"/>
        <v>0</v>
      </c>
      <c r="BX65" s="69">
        <f t="shared" ca="1" si="41"/>
        <v>0</v>
      </c>
      <c r="BY65" s="69">
        <f t="shared" ca="1" si="27"/>
        <v>0</v>
      </c>
      <c r="BZ65" s="69">
        <f t="shared" ca="1" si="28"/>
        <v>0</v>
      </c>
    </row>
    <row r="66" spans="1:78">
      <c r="A66" s="305" t="s">
        <v>1215</v>
      </c>
      <c r="B66" s="126" t="s">
        <v>303</v>
      </c>
      <c r="C66" s="126" t="s">
        <v>966</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IF($C$5=0,0,INDEX(Faktoren!E52:GQ52,1,VLOOKUP($F$5,$L$2:$O$14,4,FALSE)+$C$9*5+VLOOKUP(D66,Auswahllisten!$E$25:$F$29,2,FALSE)))</f>
        <v>0</v>
      </c>
      <c r="G66" s="26">
        <f t="shared" ca="1" si="80"/>
        <v>0</v>
      </c>
      <c r="H66" s="26" cm="1">
        <f t="array" aca="1" ref="H66" ca="1">INDIRECT("Investition_gewählt!"&amp;$I$6&amp;AA66)</f>
        <v>8700</v>
      </c>
      <c r="I66" s="25" cm="1">
        <f t="array" aca="1" ref="I66" ca="1">IF($C$5=0,0,INDEX(Faktoren!E52:GQ52,1,VLOOKUP($F$6,$L$2:$O$14,4,FALSE)+$C$9*5+VLOOKUP(D66,Auswahllisten!$E$25:$F$29,2,FALSE)))</f>
        <v>0</v>
      </c>
      <c r="J66" s="26">
        <f t="shared" ca="1" si="81"/>
        <v>0</v>
      </c>
      <c r="K66" s="26">
        <f t="shared" ca="1" si="76"/>
        <v>0</v>
      </c>
      <c r="L66" s="16" t="b">
        <f t="shared" ca="1" si="77"/>
        <v>0</v>
      </c>
      <c r="M66" s="26">
        <f t="shared" ca="1" si="11"/>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IF($U$5=0,0,INDEX(Faktoren!E52:GQ52,1,VLOOKUP($X$5,$L$2:$O$14,4,FALSE)+$U$9*5+VLOOKUP(O66,Auswahllisten!$E$25:$F$29,2,FALSE)))</f>
        <v>0</v>
      </c>
      <c r="R66" s="26">
        <f t="shared" ca="1" si="78"/>
        <v>0</v>
      </c>
      <c r="S66" s="26" cm="1">
        <f t="array" aca="1" ref="S66" ca="1">INDIRECT("Investition_gewählt!"&amp;$AA$6&amp;AA66)</f>
        <v>8700</v>
      </c>
      <c r="T66" s="16" cm="1">
        <f t="array" aca="1" ref="T66" ca="1">IF($U$5=0,0,INDEX(Faktoren!E52:QG52,1,VLOOKUP($X$6,$L$3:$O$14,4,FALSE)+$U$9*5+VLOOKUP(O66,Auswahllisten!$E$25:$F$29,2,FALSE)))</f>
        <v>0</v>
      </c>
      <c r="U66" s="26">
        <f t="shared" ca="1" si="79"/>
        <v>0</v>
      </c>
      <c r="V66" s="26">
        <f t="shared" ca="1" si="14"/>
        <v>0</v>
      </c>
      <c r="W66" s="16" t="b">
        <f t="shared" ca="1" si="82"/>
        <v>0</v>
      </c>
      <c r="X66" s="26">
        <f t="shared" ca="1" si="16"/>
        <v>0</v>
      </c>
      <c r="Z66" s="1">
        <v>47</v>
      </c>
      <c r="AA66" s="1">
        <v>52</v>
      </c>
      <c r="AB66" s="1">
        <v>-2</v>
      </c>
      <c r="AN66" s="1">
        <v>41</v>
      </c>
      <c r="AO66" s="1">
        <f t="shared" si="22"/>
        <v>0</v>
      </c>
      <c r="AP66" s="69">
        <f t="shared" ca="1" si="83"/>
        <v>0</v>
      </c>
      <c r="AQ66" s="69">
        <f t="shared" ca="1" si="83"/>
        <v>0</v>
      </c>
      <c r="AR66" s="69">
        <f t="shared" si="83"/>
        <v>0</v>
      </c>
      <c r="AS66" s="69">
        <f t="shared" ca="1" si="83"/>
        <v>0</v>
      </c>
      <c r="AT66" s="69">
        <f t="shared" ca="1" si="83"/>
        <v>0</v>
      </c>
      <c r="AU66" s="69">
        <f t="shared" ca="1" si="83"/>
        <v>0</v>
      </c>
      <c r="AV66" s="69">
        <f t="shared" si="83"/>
        <v>0</v>
      </c>
      <c r="AW66" s="69">
        <f t="shared" ca="1" si="66"/>
        <v>0</v>
      </c>
      <c r="AX66" s="69">
        <f t="shared" ca="1" si="33"/>
        <v>0</v>
      </c>
      <c r="AY66" s="69">
        <f t="shared" ca="1" si="34"/>
        <v>0</v>
      </c>
      <c r="AZ66" s="69">
        <f ca="1">$AO66*IF(Auswahllisten!$G$150,AZ$25+AZ$25*AZ$13*$AN66,AZ$25*(1+AZ$13)^$AN66)</f>
        <v>0</v>
      </c>
      <c r="BA66" s="69">
        <f ca="1">$AO66*IF(Auswahllisten!$G$150,BA$25+BA$25*BA$13*$AN66,BA$25*(1+BA$13)^$AN66)</f>
        <v>0</v>
      </c>
      <c r="BB66" s="69">
        <f ca="1">$AO66*IF(Auswahllisten!$G$150,BB$25+BB$25*BB$13*$AN66,BB$25*(1+BB$13)^$AN66)</f>
        <v>0</v>
      </c>
      <c r="BC66" s="69">
        <f ca="1">$AO66*IF(Auswahllisten!$G$150,BC$25+BC$25*BC$13*$AN66,BC$25*(1+BC$13)^$AN66)</f>
        <v>0</v>
      </c>
      <c r="BD66" s="69">
        <f t="shared" ca="1" si="35"/>
        <v>0</v>
      </c>
      <c r="BE66" s="69">
        <f t="shared" ca="1" si="36"/>
        <v>0</v>
      </c>
      <c r="BF66" s="69">
        <f t="shared" ca="1" si="37"/>
        <v>0</v>
      </c>
      <c r="BG66" s="69">
        <f t="shared" ca="1" si="38"/>
        <v>0</v>
      </c>
      <c r="BI66" s="69">
        <f t="shared" ca="1" si="61"/>
        <v>0</v>
      </c>
      <c r="BJ66" s="69">
        <f t="shared" ca="1" si="61"/>
        <v>0</v>
      </c>
      <c r="BK66" s="69">
        <f t="shared" si="61"/>
        <v>0</v>
      </c>
      <c r="BL66" s="69">
        <f t="shared" ca="1" si="61"/>
        <v>0</v>
      </c>
      <c r="BM66" s="69">
        <f t="shared" ca="1" si="61"/>
        <v>0</v>
      </c>
      <c r="BN66" s="69">
        <f t="shared" ca="1" si="61"/>
        <v>0</v>
      </c>
      <c r="BO66" s="69">
        <f t="shared" si="61"/>
        <v>0</v>
      </c>
      <c r="BP66" s="69">
        <f t="shared" ca="1" si="74"/>
        <v>0</v>
      </c>
      <c r="BQ66" s="69">
        <f t="shared" ca="1" si="39"/>
        <v>0</v>
      </c>
      <c r="BR66" s="69">
        <f t="shared" ca="1" si="75"/>
        <v>0</v>
      </c>
      <c r="BS66" s="69">
        <f ca="1">$AO66*IF(Auswahllisten!$G$150,BS$25+BS$25*BS$13*$AN66,BS$25*(1+BS$13)^$AN66)</f>
        <v>0</v>
      </c>
      <c r="BT66" s="69">
        <f ca="1">$AO66*IF(Auswahllisten!$G$150,BT$25+BT$25*BT$13*$AN66,BT$25*(1+BT$13)^$AN66)</f>
        <v>0</v>
      </c>
      <c r="BU66" s="69">
        <f ca="1">$AO66*IF(Auswahllisten!$G$150,BU$25+BU$25*BU$13*$AN66,BU$25*(1+BU$13)^$AN66)</f>
        <v>0</v>
      </c>
      <c r="BV66" s="69">
        <f ca="1">$AO66*IF(Auswahllisten!$G$150,BV$25+BV$25*BV$13*$AN66,BV$25*(1+BV$13)^$AN66)</f>
        <v>0</v>
      </c>
      <c r="BW66" s="69">
        <f t="shared" ca="1" si="40"/>
        <v>0</v>
      </c>
      <c r="BX66" s="69">
        <f t="shared" ca="1" si="41"/>
        <v>0</v>
      </c>
      <c r="BY66" s="69">
        <f t="shared" ca="1" si="27"/>
        <v>0</v>
      </c>
      <c r="BZ66" s="69">
        <f t="shared" ca="1" si="28"/>
        <v>0</v>
      </c>
    </row>
    <row r="67" spans="1:78">
      <c r="A67" s="305" t="s">
        <v>1244</v>
      </c>
      <c r="B67" s="126" t="s">
        <v>1245</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IF($C$5=0,0,INDEX(Faktoren!E53:GQ53,1,VLOOKUP($F$5,$L$2:$O$14,4,FALSE)+$C$9*5+VLOOKUP(D67,Auswahllisten!$E$25:$F$29,2,FALSE)))</f>
        <v>0</v>
      </c>
      <c r="G67" s="26">
        <f t="shared" ca="1" si="80"/>
        <v>0</v>
      </c>
      <c r="H67" s="26" cm="1">
        <f t="array" aca="1" ref="H67" ca="1">INDIRECT("Investition_gewählt!"&amp;$I$6&amp;AA67)</f>
        <v>0</v>
      </c>
      <c r="I67" s="25" cm="1">
        <f t="array" aca="1" ref="I67" ca="1">IF($C$5=0,0,INDEX(Faktoren!E53:GQ53,1,VLOOKUP($F$6,$L$2:$O$14,4,FALSE)+$C$9*5+VLOOKUP(D67,Auswahllisten!$E$25:$F$29,2,FALSE)))</f>
        <v>0</v>
      </c>
      <c r="J67" s="26">
        <f t="shared" ca="1" si="81"/>
        <v>0</v>
      </c>
      <c r="K67" s="26">
        <f t="shared" ca="1" si="76"/>
        <v>0</v>
      </c>
      <c r="L67" s="16" t="b">
        <f t="shared" ca="1" si="77"/>
        <v>0</v>
      </c>
      <c r="M67" s="26">
        <f t="shared" ca="1" si="11"/>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IF($U$5=0,0,INDEX(Faktoren!E53:GQ53,1,VLOOKUP($X$5,$L$2:$O$14,4,FALSE)+$U$9*5+VLOOKUP(O67,Auswahllisten!$E$25:$F$29,2,FALSE)))</f>
        <v>0</v>
      </c>
      <c r="R67" s="26">
        <f t="shared" ca="1" si="78"/>
        <v>0</v>
      </c>
      <c r="S67" s="26" cm="1">
        <f t="array" aca="1" ref="S67" ca="1">INDIRECT("Investition_gewählt!"&amp;$AA$6&amp;AA67)</f>
        <v>0</v>
      </c>
      <c r="T67" s="16" cm="1">
        <f t="array" aca="1" ref="T67" ca="1">IF($U$5=0,0,INDEX(Faktoren!E53:QG53,1,VLOOKUP($X$6,$L$3:$O$14,4,FALSE)+$U$9*5+VLOOKUP(O67,Auswahllisten!$E$25:$F$29,2,FALSE)))</f>
        <v>0</v>
      </c>
      <c r="U67" s="26">
        <f t="shared" ca="1" si="79"/>
        <v>0</v>
      </c>
      <c r="V67" s="26">
        <f t="shared" ca="1" si="14"/>
        <v>0</v>
      </c>
      <c r="W67" s="16" t="b">
        <f t="shared" ca="1" si="82"/>
        <v>0</v>
      </c>
      <c r="X67" s="26">
        <f t="shared" ca="1" si="16"/>
        <v>0</v>
      </c>
      <c r="Z67" s="1">
        <v>51</v>
      </c>
      <c r="AA67" s="1">
        <v>53</v>
      </c>
      <c r="AB67" s="1">
        <v>-2</v>
      </c>
      <c r="AN67" s="1">
        <v>42</v>
      </c>
      <c r="AO67" s="1">
        <f t="shared" si="22"/>
        <v>0</v>
      </c>
      <c r="AP67" s="69">
        <f t="shared" ca="1" si="83"/>
        <v>0</v>
      </c>
      <c r="AQ67" s="69">
        <f t="shared" ca="1" si="83"/>
        <v>0</v>
      </c>
      <c r="AR67" s="69">
        <f t="shared" si="83"/>
        <v>0</v>
      </c>
      <c r="AS67" s="69">
        <f t="shared" ca="1" si="83"/>
        <v>0</v>
      </c>
      <c r="AT67" s="69">
        <f t="shared" ca="1" si="83"/>
        <v>0</v>
      </c>
      <c r="AU67" s="69">
        <f t="shared" ca="1" si="83"/>
        <v>0</v>
      </c>
      <c r="AV67" s="69">
        <f t="shared" si="83"/>
        <v>0</v>
      </c>
      <c r="AW67" s="69">
        <f t="shared" ca="1" si="66"/>
        <v>0</v>
      </c>
      <c r="AX67" s="69">
        <f t="shared" ca="1" si="33"/>
        <v>0</v>
      </c>
      <c r="AY67" s="69">
        <f t="shared" ca="1" si="34"/>
        <v>0</v>
      </c>
      <c r="AZ67" s="69">
        <f ca="1">$AO67*IF(Auswahllisten!$G$150,AZ$25+AZ$25*AZ$13*$AN67,AZ$25*(1+AZ$13)^$AN67)</f>
        <v>0</v>
      </c>
      <c r="BA67" s="69">
        <f ca="1">$AO67*IF(Auswahllisten!$G$150,BA$25+BA$25*BA$13*$AN67,BA$25*(1+BA$13)^$AN67)</f>
        <v>0</v>
      </c>
      <c r="BB67" s="69">
        <f ca="1">$AO67*IF(Auswahllisten!$G$150,BB$25+BB$25*BB$13*$AN67,BB$25*(1+BB$13)^$AN67)</f>
        <v>0</v>
      </c>
      <c r="BC67" s="69">
        <f ca="1">$AO67*IF(Auswahllisten!$G$150,BC$25+BC$25*BC$13*$AN67,BC$25*(1+BC$13)^$AN67)</f>
        <v>0</v>
      </c>
      <c r="BD67" s="69">
        <f t="shared" ca="1" si="35"/>
        <v>0</v>
      </c>
      <c r="BE67" s="69">
        <f t="shared" ca="1" si="36"/>
        <v>0</v>
      </c>
      <c r="BF67" s="69">
        <f t="shared" ca="1" si="37"/>
        <v>0</v>
      </c>
      <c r="BG67" s="69">
        <f t="shared" ca="1" si="38"/>
        <v>0</v>
      </c>
      <c r="BI67" s="69">
        <f t="shared" ca="1" si="61"/>
        <v>0</v>
      </c>
      <c r="BJ67" s="69">
        <f t="shared" ca="1" si="61"/>
        <v>0</v>
      </c>
      <c r="BK67" s="69">
        <f t="shared" si="61"/>
        <v>0</v>
      </c>
      <c r="BL67" s="69">
        <f t="shared" ca="1" si="61"/>
        <v>0</v>
      </c>
      <c r="BM67" s="69">
        <f t="shared" ca="1" si="61"/>
        <v>0</v>
      </c>
      <c r="BN67" s="69">
        <f t="shared" ca="1" si="61"/>
        <v>0</v>
      </c>
      <c r="BO67" s="69">
        <f t="shared" si="61"/>
        <v>0</v>
      </c>
      <c r="BP67" s="69">
        <f t="shared" ca="1" si="74"/>
        <v>0</v>
      </c>
      <c r="BQ67" s="69">
        <f t="shared" ca="1" si="39"/>
        <v>0</v>
      </c>
      <c r="BR67" s="69">
        <f t="shared" ca="1" si="75"/>
        <v>0</v>
      </c>
      <c r="BS67" s="69">
        <f ca="1">$AO67*IF(Auswahllisten!$G$150,BS$25+BS$25*BS$13*$AN67,BS$25*(1+BS$13)^$AN67)</f>
        <v>0</v>
      </c>
      <c r="BT67" s="69">
        <f ca="1">$AO67*IF(Auswahllisten!$G$150,BT$25+BT$25*BT$13*$AN67,BT$25*(1+BT$13)^$AN67)</f>
        <v>0</v>
      </c>
      <c r="BU67" s="69">
        <f ca="1">$AO67*IF(Auswahllisten!$G$150,BU$25+BU$25*BU$13*$AN67,BU$25*(1+BU$13)^$AN67)</f>
        <v>0</v>
      </c>
      <c r="BV67" s="69">
        <f ca="1">$AO67*IF(Auswahllisten!$G$150,BV$25+BV$25*BV$13*$AN67,BV$25*(1+BV$13)^$AN67)</f>
        <v>0</v>
      </c>
      <c r="BW67" s="69">
        <f t="shared" ca="1" si="40"/>
        <v>0</v>
      </c>
      <c r="BX67" s="69">
        <f t="shared" ca="1" si="41"/>
        <v>0</v>
      </c>
      <c r="BY67" s="69">
        <f t="shared" ca="1" si="27"/>
        <v>0</v>
      </c>
      <c r="BZ67" s="69">
        <f t="shared" ca="1" si="28"/>
        <v>0</v>
      </c>
    </row>
    <row r="68" spans="1:78">
      <c r="A68" s="305" t="s">
        <v>1244</v>
      </c>
      <c r="B68" s="126" t="s">
        <v>1245</v>
      </c>
      <c r="C68" s="126" t="s">
        <v>967</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IF($C$5=0,0,INDEX(Faktoren!E54:GQ54,1,VLOOKUP($F$5,$L$2:$O$14,4,FALSE)+$C$9*5+VLOOKUP(D68,Auswahllisten!$E$25:$F$29,2,FALSE)))</f>
        <v>0</v>
      </c>
      <c r="G68" s="26">
        <f t="shared" ca="1" si="80"/>
        <v>0</v>
      </c>
      <c r="H68" s="26" cm="1">
        <f t="array" aca="1" ref="H68" ca="1">INDIRECT("Investition_gewählt!"&amp;$I$6&amp;AA68)</f>
        <v>0</v>
      </c>
      <c r="I68" s="25" cm="1">
        <f t="array" aca="1" ref="I68" ca="1">IF($C$5=0,0,INDEX(Faktoren!E54:GQ54,1,VLOOKUP($F$6,$L$2:$O$14,4,FALSE)+$C$9*5+VLOOKUP(D68,Auswahllisten!$E$25:$F$29,2,FALSE)))</f>
        <v>0</v>
      </c>
      <c r="J68" s="26">
        <f t="shared" ca="1" si="81"/>
        <v>0</v>
      </c>
      <c r="K68" s="26">
        <f t="shared" ca="1" si="76"/>
        <v>0</v>
      </c>
      <c r="L68" s="16" t="b">
        <f t="shared" ca="1" si="77"/>
        <v>0</v>
      </c>
      <c r="M68" s="26">
        <f t="shared" ca="1" si="11"/>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IF($U$5=0,0,INDEX(Faktoren!E54:GQ54,1,VLOOKUP($X$5,$L$2:$O$14,4,FALSE)+$U$9*5+VLOOKUP(O68,Auswahllisten!$E$25:$F$29,2,FALSE)))</f>
        <v>0</v>
      </c>
      <c r="R68" s="26">
        <f t="shared" ca="1" si="78"/>
        <v>0</v>
      </c>
      <c r="S68" s="26" cm="1">
        <f t="array" aca="1" ref="S68" ca="1">INDIRECT("Investition_gewählt!"&amp;$AA$6&amp;AA68)</f>
        <v>0</v>
      </c>
      <c r="T68" s="16" cm="1">
        <f t="array" aca="1" ref="T68" ca="1">IF($U$5=0,0,INDEX(Faktoren!E54:QG54,1,VLOOKUP($X$6,$L$3:$O$14,4,FALSE)+$U$9*5+VLOOKUP(O68,Auswahllisten!$E$25:$F$29,2,FALSE)))</f>
        <v>0</v>
      </c>
      <c r="U68" s="26">
        <f t="shared" ca="1" si="79"/>
        <v>0</v>
      </c>
      <c r="V68" s="26">
        <f t="shared" ca="1" si="14"/>
        <v>0</v>
      </c>
      <c r="W68" s="16" t="b">
        <f t="shared" ca="1" si="82"/>
        <v>0</v>
      </c>
      <c r="X68" s="26">
        <f t="shared" ca="1" si="16"/>
        <v>0</v>
      </c>
      <c r="Z68" s="1">
        <v>49</v>
      </c>
      <c r="AA68" s="1">
        <v>54</v>
      </c>
      <c r="AB68" s="1">
        <v>-2</v>
      </c>
      <c r="AN68" s="1">
        <v>43</v>
      </c>
      <c r="AO68" s="1">
        <f t="shared" si="22"/>
        <v>0</v>
      </c>
      <c r="AP68" s="69">
        <f t="shared" ca="1" si="83"/>
        <v>0</v>
      </c>
      <c r="AQ68" s="69">
        <f t="shared" ca="1" si="83"/>
        <v>0</v>
      </c>
      <c r="AR68" s="69">
        <f t="shared" si="83"/>
        <v>0</v>
      </c>
      <c r="AS68" s="69">
        <f t="shared" ca="1" si="83"/>
        <v>0</v>
      </c>
      <c r="AT68" s="69">
        <f t="shared" ca="1" si="83"/>
        <v>0</v>
      </c>
      <c r="AU68" s="69">
        <f t="shared" ca="1" si="83"/>
        <v>0</v>
      </c>
      <c r="AV68" s="69">
        <f t="shared" si="83"/>
        <v>0</v>
      </c>
      <c r="AW68" s="69">
        <f t="shared" ca="1" si="66"/>
        <v>0</v>
      </c>
      <c r="AX68" s="69">
        <f t="shared" ca="1" si="33"/>
        <v>0</v>
      </c>
      <c r="AY68" s="69">
        <f t="shared" ca="1" si="34"/>
        <v>0</v>
      </c>
      <c r="AZ68" s="69">
        <f ca="1">$AO68*IF(Auswahllisten!$G$150,AZ$25+AZ$25*AZ$13*$AN68,AZ$25*(1+AZ$13)^$AN68)</f>
        <v>0</v>
      </c>
      <c r="BA68" s="69">
        <f ca="1">$AO68*IF(Auswahllisten!$G$150,BA$25+BA$25*BA$13*$AN68,BA$25*(1+BA$13)^$AN68)</f>
        <v>0</v>
      </c>
      <c r="BB68" s="69">
        <f ca="1">$AO68*IF(Auswahllisten!$G$150,BB$25+BB$25*BB$13*$AN68,BB$25*(1+BB$13)^$AN68)</f>
        <v>0</v>
      </c>
      <c r="BC68" s="69">
        <f ca="1">$AO68*IF(Auswahllisten!$G$150,BC$25+BC$25*BC$13*$AN68,BC$25*(1+BC$13)^$AN68)</f>
        <v>0</v>
      </c>
      <c r="BD68" s="69">
        <f t="shared" ca="1" si="35"/>
        <v>0</v>
      </c>
      <c r="BE68" s="69">
        <f t="shared" ca="1" si="36"/>
        <v>0</v>
      </c>
      <c r="BF68" s="69">
        <f t="shared" ca="1" si="37"/>
        <v>0</v>
      </c>
      <c r="BG68" s="69">
        <f t="shared" ca="1" si="38"/>
        <v>0</v>
      </c>
      <c r="BI68" s="69">
        <f t="shared" ca="1" si="61"/>
        <v>0</v>
      </c>
      <c r="BJ68" s="69">
        <f t="shared" ca="1" si="61"/>
        <v>0</v>
      </c>
      <c r="BK68" s="69">
        <f t="shared" si="61"/>
        <v>0</v>
      </c>
      <c r="BL68" s="69">
        <f t="shared" ca="1" si="61"/>
        <v>0</v>
      </c>
      <c r="BM68" s="69">
        <f t="shared" ca="1" si="61"/>
        <v>0</v>
      </c>
      <c r="BN68" s="69">
        <f t="shared" ca="1" si="61"/>
        <v>0</v>
      </c>
      <c r="BO68" s="69">
        <f t="shared" si="61"/>
        <v>0</v>
      </c>
      <c r="BP68" s="69">
        <f t="shared" ca="1" si="74"/>
        <v>0</v>
      </c>
      <c r="BQ68" s="69">
        <f t="shared" ca="1" si="39"/>
        <v>0</v>
      </c>
      <c r="BR68" s="69">
        <f t="shared" ca="1" si="75"/>
        <v>0</v>
      </c>
      <c r="BS68" s="69">
        <f ca="1">$AO68*IF(Auswahllisten!$G$150,BS$25+BS$25*BS$13*$AN68,BS$25*(1+BS$13)^$AN68)</f>
        <v>0</v>
      </c>
      <c r="BT68" s="69">
        <f ca="1">$AO68*IF(Auswahllisten!$G$150,BT$25+BT$25*BT$13*$AN68,BT$25*(1+BT$13)^$AN68)</f>
        <v>0</v>
      </c>
      <c r="BU68" s="69">
        <f ca="1">$AO68*IF(Auswahllisten!$G$150,BU$25+BU$25*BU$13*$AN68,BU$25*(1+BU$13)^$AN68)</f>
        <v>0</v>
      </c>
      <c r="BV68" s="69">
        <f ca="1">$AO68*IF(Auswahllisten!$G$150,BV$25+BV$25*BV$13*$AN68,BV$25*(1+BV$13)^$AN68)</f>
        <v>0</v>
      </c>
      <c r="BW68" s="69">
        <f t="shared" ca="1" si="40"/>
        <v>0</v>
      </c>
      <c r="BX68" s="69">
        <f t="shared" ca="1" si="41"/>
        <v>0</v>
      </c>
      <c r="BY68" s="69">
        <f t="shared" ca="1" si="27"/>
        <v>0</v>
      </c>
      <c r="BZ68" s="69">
        <f t="shared" ca="1" si="28"/>
        <v>0</v>
      </c>
    </row>
    <row r="69" spans="1:78">
      <c r="A69" s="307" t="s">
        <v>1244</v>
      </c>
      <c r="B69" s="297" t="s">
        <v>1245</v>
      </c>
      <c r="C69" s="134" t="s">
        <v>359</v>
      </c>
      <c r="D69" s="163" t="str" cm="1">
        <f t="array" aca="1" ref="D69" ca="1">INDIRECT("Vergleich!"&amp;$G$2&amp;Z69)</f>
        <v>mittel</v>
      </c>
      <c r="E69" s="163" cm="1">
        <f t="array" aca="1" ref="E69" ca="1">INDIRECT("Investition_gewählt!"&amp;$I$5&amp;AA69)</f>
        <v>4500</v>
      </c>
      <c r="F69" s="61" cm="1">
        <f t="array" aca="1" ref="F69" ca="1">IF($C$5=0,0,INDEX(Faktoren!E55:GQ55,1,VLOOKUP($F$5,$L$2:$O$14,4,FALSE)+$C$9*5+VLOOKUP(D69,Auswahllisten!$E$25:$F$29,2,FALSE)))</f>
        <v>0</v>
      </c>
      <c r="G69" s="296">
        <f t="shared" ca="1" si="80"/>
        <v>0</v>
      </c>
      <c r="H69" s="296" cm="1">
        <f t="array" aca="1" ref="H69" ca="1">INDIRECT("Investition_gewählt!"&amp;$I$6&amp;AA69)</f>
        <v>4500</v>
      </c>
      <c r="I69" s="61" cm="1">
        <f t="array" aca="1" ref="I69" ca="1">IF($C$5=0,0,INDEX(Faktoren!E55:GQ55,1,VLOOKUP($F$6,$L$2:$O$14,4,FALSE)+$C$9*5+VLOOKUP(D69,Auswahllisten!$E$25:$F$29,2,FALSE)))</f>
        <v>0</v>
      </c>
      <c r="J69" s="163">
        <f t="shared" ca="1" si="81"/>
        <v>0</v>
      </c>
      <c r="K69" s="163">
        <f t="shared" ca="1" si="76"/>
        <v>0</v>
      </c>
      <c r="L69" s="93" t="b">
        <f t="shared" ca="1" si="77"/>
        <v>0</v>
      </c>
      <c r="M69" s="163">
        <f t="shared" ca="1" si="11"/>
        <v>0</v>
      </c>
      <c r="O69" s="93" t="str" cm="1">
        <f t="array" aca="1" ref="O69" ca="1">INDIRECT("Vergleich!"&amp;$Y$2&amp;Z69)</f>
        <v>gering</v>
      </c>
      <c r="P69" s="163" cm="1">
        <f t="array" aca="1" ref="P69" ca="1">INDIRECT("Investition_gewählt!"&amp;$AA$5&amp;AA69)</f>
        <v>4500</v>
      </c>
      <c r="Q69" s="93" cm="1">
        <f t="array" aca="1" ref="Q69" ca="1">IF($U$5=0,0,INDEX(Faktoren!E55:GQ55,1,VLOOKUP($X$5,$L$2:$O$14,4,FALSE)+$U$9*5+VLOOKUP(O69,Auswahllisten!$E$25:$F$29,2,FALSE)))</f>
        <v>0</v>
      </c>
      <c r="R69" s="163">
        <f t="shared" ca="1" si="78"/>
        <v>0</v>
      </c>
      <c r="S69" s="163" cm="1">
        <f t="array" aca="1" ref="S69" ca="1">INDIRECT("Investition_gewählt!"&amp;$AA$6&amp;AA69)</f>
        <v>4500</v>
      </c>
      <c r="T69" s="93" cm="1">
        <f t="array" aca="1" ref="T69" ca="1">IF($U$5=0,0,INDEX(Faktoren!E55:QG55,1,VLOOKUP($X$6,$L$3:$O$14,4,FALSE)+$U$9*5+VLOOKUP(O69,Auswahllisten!$E$25:$F$29,2,FALSE)))</f>
        <v>0</v>
      </c>
      <c r="U69" s="163">
        <f t="shared" ca="1" si="79"/>
        <v>0</v>
      </c>
      <c r="V69" s="163">
        <f t="shared" ca="1" si="14"/>
        <v>0</v>
      </c>
      <c r="W69" s="93" t="b">
        <f t="shared" ca="1" si="82"/>
        <v>0</v>
      </c>
      <c r="X69" s="163">
        <f t="shared" ca="1" si="16"/>
        <v>0</v>
      </c>
      <c r="Z69" s="1">
        <v>50</v>
      </c>
      <c r="AA69" s="1">
        <v>55</v>
      </c>
      <c r="AB69" s="1">
        <v>-2</v>
      </c>
      <c r="AN69" s="1">
        <v>44</v>
      </c>
      <c r="AO69" s="1">
        <f t="shared" si="22"/>
        <v>0</v>
      </c>
      <c r="AP69" s="69">
        <f t="shared" ca="1" si="83"/>
        <v>0</v>
      </c>
      <c r="AQ69" s="69">
        <f t="shared" ca="1" si="83"/>
        <v>0</v>
      </c>
      <c r="AR69" s="69">
        <f t="shared" si="83"/>
        <v>0</v>
      </c>
      <c r="AS69" s="69">
        <f t="shared" ca="1" si="83"/>
        <v>0</v>
      </c>
      <c r="AT69" s="69">
        <f t="shared" ca="1" si="83"/>
        <v>0</v>
      </c>
      <c r="AU69" s="69">
        <f t="shared" ca="1" si="83"/>
        <v>0</v>
      </c>
      <c r="AV69" s="69">
        <f t="shared" si="83"/>
        <v>0</v>
      </c>
      <c r="AW69" s="69">
        <f t="shared" ca="1" si="66"/>
        <v>0</v>
      </c>
      <c r="AX69" s="69">
        <f t="shared" ca="1" si="33"/>
        <v>0</v>
      </c>
      <c r="AY69" s="69">
        <f t="shared" ca="1" si="34"/>
        <v>0</v>
      </c>
      <c r="AZ69" s="69">
        <f ca="1">$AO69*IF(Auswahllisten!$G$150,AZ$25+AZ$25*AZ$13*$AN69,AZ$25*(1+AZ$13)^$AN69)</f>
        <v>0</v>
      </c>
      <c r="BA69" s="69">
        <f ca="1">$AO69*IF(Auswahllisten!$G$150,BA$25+BA$25*BA$13*$AN69,BA$25*(1+BA$13)^$AN69)</f>
        <v>0</v>
      </c>
      <c r="BB69" s="69">
        <f ca="1">$AO69*IF(Auswahllisten!$G$150,BB$25+BB$25*BB$13*$AN69,BB$25*(1+BB$13)^$AN69)</f>
        <v>0</v>
      </c>
      <c r="BC69" s="69">
        <f ca="1">$AO69*IF(Auswahllisten!$G$150,BC$25+BC$25*BC$13*$AN69,BC$25*(1+BC$13)^$AN69)</f>
        <v>0</v>
      </c>
      <c r="BD69" s="69">
        <f t="shared" ca="1" si="35"/>
        <v>0</v>
      </c>
      <c r="BE69" s="69">
        <f t="shared" ca="1" si="36"/>
        <v>0</v>
      </c>
      <c r="BF69" s="69">
        <f t="shared" ca="1" si="37"/>
        <v>0</v>
      </c>
      <c r="BG69" s="69">
        <f t="shared" ca="1" si="38"/>
        <v>0</v>
      </c>
      <c r="BI69" s="69">
        <f t="shared" ca="1" si="61"/>
        <v>0</v>
      </c>
      <c r="BJ69" s="69">
        <f t="shared" ca="1" si="61"/>
        <v>0</v>
      </c>
      <c r="BK69" s="69">
        <f t="shared" si="61"/>
        <v>0</v>
      </c>
      <c r="BL69" s="69">
        <f t="shared" ca="1" si="61"/>
        <v>0</v>
      </c>
      <c r="BM69" s="69">
        <f t="shared" ca="1" si="61"/>
        <v>0</v>
      </c>
      <c r="BN69" s="69">
        <f t="shared" ca="1" si="61"/>
        <v>0</v>
      </c>
      <c r="BO69" s="69">
        <f t="shared" si="61"/>
        <v>0</v>
      </c>
      <c r="BP69" s="69">
        <f t="shared" ca="1" si="74"/>
        <v>0</v>
      </c>
      <c r="BQ69" s="69">
        <f t="shared" ca="1" si="39"/>
        <v>0</v>
      </c>
      <c r="BR69" s="69">
        <f t="shared" ca="1" si="75"/>
        <v>0</v>
      </c>
      <c r="BS69" s="69">
        <f ca="1">$AO69*IF(Auswahllisten!$G$150,BS$25+BS$25*BS$13*$AN69,BS$25*(1+BS$13)^$AN69)</f>
        <v>0</v>
      </c>
      <c r="BT69" s="69">
        <f ca="1">$AO69*IF(Auswahllisten!$G$150,BT$25+BT$25*BT$13*$AN69,BT$25*(1+BT$13)^$AN69)</f>
        <v>0</v>
      </c>
      <c r="BU69" s="69">
        <f ca="1">$AO69*IF(Auswahllisten!$G$150,BU$25+BU$25*BU$13*$AN69,BU$25*(1+BU$13)^$AN69)</f>
        <v>0</v>
      </c>
      <c r="BV69" s="69">
        <f ca="1">$AO69*IF(Auswahllisten!$G$150,BV$25+BV$25*BV$13*$AN69,BV$25*(1+BV$13)^$AN69)</f>
        <v>0</v>
      </c>
      <c r="BW69" s="69">
        <f t="shared" ca="1" si="40"/>
        <v>0</v>
      </c>
      <c r="BX69" s="69">
        <f t="shared" ca="1" si="41"/>
        <v>0</v>
      </c>
      <c r="BY69" s="69">
        <f t="shared" ca="1" si="27"/>
        <v>0</v>
      </c>
      <c r="BZ69" s="69">
        <f t="shared" ca="1" si="28"/>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22"/>
        <v>0</v>
      </c>
      <c r="AP70" s="69">
        <f t="shared" ca="1" si="83"/>
        <v>0</v>
      </c>
      <c r="AQ70" s="69">
        <f t="shared" ca="1" si="83"/>
        <v>0</v>
      </c>
      <c r="AR70" s="69">
        <f t="shared" si="83"/>
        <v>0</v>
      </c>
      <c r="AS70" s="69">
        <f t="shared" ca="1" si="83"/>
        <v>0</v>
      </c>
      <c r="AT70" s="69">
        <f t="shared" ca="1" si="83"/>
        <v>0</v>
      </c>
      <c r="AU70" s="69">
        <f t="shared" ca="1" si="83"/>
        <v>0</v>
      </c>
      <c r="AV70" s="69">
        <f t="shared" si="83"/>
        <v>0</v>
      </c>
      <c r="AW70" s="69">
        <f t="shared" ca="1" si="66"/>
        <v>0</v>
      </c>
      <c r="AX70" s="69">
        <f t="shared" ca="1" si="33"/>
        <v>0</v>
      </c>
      <c r="AY70" s="69">
        <f t="shared" ca="1" si="34"/>
        <v>0</v>
      </c>
      <c r="AZ70" s="69">
        <f ca="1">$AO70*IF(Auswahllisten!$G$150,AZ$25+AZ$25*AZ$13*$AN70,AZ$25*(1+AZ$13)^$AN70)</f>
        <v>0</v>
      </c>
      <c r="BA70" s="69">
        <f ca="1">$AO70*IF(Auswahllisten!$G$150,BA$25+BA$25*BA$13*$AN70,BA$25*(1+BA$13)^$AN70)</f>
        <v>0</v>
      </c>
      <c r="BB70" s="69">
        <f ca="1">$AO70*IF(Auswahllisten!$G$150,BB$25+BB$25*BB$13*$AN70,BB$25*(1+BB$13)^$AN70)</f>
        <v>0</v>
      </c>
      <c r="BC70" s="69">
        <f ca="1">$AO70*IF(Auswahllisten!$G$150,BC$25+BC$25*BC$13*$AN70,BC$25*(1+BC$13)^$AN70)</f>
        <v>0</v>
      </c>
      <c r="BD70" s="69">
        <f t="shared" ca="1" si="35"/>
        <v>0</v>
      </c>
      <c r="BE70" s="69">
        <f t="shared" ca="1" si="36"/>
        <v>0</v>
      </c>
      <c r="BF70" s="69">
        <f t="shared" ca="1" si="37"/>
        <v>0</v>
      </c>
      <c r="BG70" s="69">
        <f t="shared" ca="1" si="38"/>
        <v>0</v>
      </c>
      <c r="BI70" s="69">
        <f t="shared" ca="1" si="61"/>
        <v>0</v>
      </c>
      <c r="BJ70" s="69">
        <f t="shared" ca="1" si="61"/>
        <v>0</v>
      </c>
      <c r="BK70" s="69">
        <f t="shared" si="61"/>
        <v>0</v>
      </c>
      <c r="BL70" s="69">
        <f t="shared" ca="1" si="61"/>
        <v>0</v>
      </c>
      <c r="BM70" s="69">
        <f t="shared" ca="1" si="61"/>
        <v>0</v>
      </c>
      <c r="BN70" s="69">
        <f t="shared" ca="1" si="61"/>
        <v>0</v>
      </c>
      <c r="BO70" s="69">
        <f t="shared" si="61"/>
        <v>0</v>
      </c>
      <c r="BP70" s="69">
        <f t="shared" ca="1" si="74"/>
        <v>0</v>
      </c>
      <c r="BQ70" s="69">
        <f t="shared" ca="1" si="39"/>
        <v>0</v>
      </c>
      <c r="BR70" s="69">
        <f t="shared" ca="1" si="75"/>
        <v>0</v>
      </c>
      <c r="BS70" s="69">
        <f ca="1">$AO70*IF(Auswahllisten!$G$150,BS$25+BS$25*BS$13*$AN70,BS$25*(1+BS$13)^$AN70)</f>
        <v>0</v>
      </c>
      <c r="BT70" s="69">
        <f ca="1">$AO70*IF(Auswahllisten!$G$150,BT$25+BT$25*BT$13*$AN70,BT$25*(1+BT$13)^$AN70)</f>
        <v>0</v>
      </c>
      <c r="BU70" s="69">
        <f ca="1">$AO70*IF(Auswahllisten!$G$150,BU$25+BU$25*BU$13*$AN70,BU$25*(1+BU$13)^$AN70)</f>
        <v>0</v>
      </c>
      <c r="BV70" s="69">
        <f ca="1">$AO70*IF(Auswahllisten!$G$150,BV$25+BV$25*BV$13*$AN70,BV$25*(1+BV$13)^$AN70)</f>
        <v>0</v>
      </c>
      <c r="BW70" s="69">
        <f t="shared" ca="1" si="40"/>
        <v>0</v>
      </c>
      <c r="BX70" s="69">
        <f t="shared" ca="1" si="41"/>
        <v>0</v>
      </c>
      <c r="BY70" s="69">
        <f t="shared" ca="1" si="27"/>
        <v>0</v>
      </c>
      <c r="BZ70" s="69">
        <f t="shared" ca="1" si="28"/>
        <v>0</v>
      </c>
    </row>
    <row r="71" spans="1:78">
      <c r="A71" s="125" t="s">
        <v>1001</v>
      </c>
      <c r="B71" s="125" t="s">
        <v>143</v>
      </c>
      <c r="C71" s="125"/>
      <c r="D71" s="69"/>
      <c r="E71" s="69"/>
      <c r="G71" s="69"/>
      <c r="H71" s="69"/>
      <c r="J71" s="69"/>
      <c r="K71" s="69"/>
      <c r="L71" s="155">
        <v>7</v>
      </c>
      <c r="M71" s="69"/>
      <c r="P71" s="69"/>
      <c r="R71" s="69"/>
      <c r="S71" s="69"/>
      <c r="U71" s="69"/>
      <c r="V71" s="69"/>
      <c r="X71" s="69"/>
      <c r="AA71" s="1">
        <v>57</v>
      </c>
      <c r="AB71" s="1">
        <v>-2</v>
      </c>
      <c r="AN71" s="1">
        <v>46</v>
      </c>
      <c r="AO71" s="1">
        <f t="shared" si="22"/>
        <v>0</v>
      </c>
      <c r="AP71" s="69">
        <f t="shared" ca="1" si="83"/>
        <v>0</v>
      </c>
      <c r="AQ71" s="69">
        <f t="shared" ca="1" si="83"/>
        <v>0</v>
      </c>
      <c r="AR71" s="69">
        <f t="shared" si="83"/>
        <v>0</v>
      </c>
      <c r="AS71" s="69">
        <f t="shared" ca="1" si="83"/>
        <v>0</v>
      </c>
      <c r="AT71" s="69">
        <f t="shared" ca="1" si="83"/>
        <v>0</v>
      </c>
      <c r="AU71" s="69">
        <f t="shared" ca="1" si="83"/>
        <v>0</v>
      </c>
      <c r="AV71" s="69">
        <f t="shared" si="83"/>
        <v>0</v>
      </c>
      <c r="AW71" s="69">
        <f t="shared" ca="1" si="66"/>
        <v>0</v>
      </c>
      <c r="AX71" s="69">
        <f t="shared" ca="1" si="33"/>
        <v>0</v>
      </c>
      <c r="AY71" s="69">
        <f t="shared" ca="1" si="34"/>
        <v>0</v>
      </c>
      <c r="AZ71" s="69">
        <f ca="1">$AO71*IF(Auswahllisten!$G$150,AZ$25+AZ$25*AZ$13*$AN71,AZ$25*(1+AZ$13)^$AN71)</f>
        <v>0</v>
      </c>
      <c r="BA71" s="69">
        <f ca="1">$AO71*IF(Auswahllisten!$G$150,BA$25+BA$25*BA$13*$AN71,BA$25*(1+BA$13)^$AN71)</f>
        <v>0</v>
      </c>
      <c r="BB71" s="69">
        <f ca="1">$AO71*IF(Auswahllisten!$G$150,BB$25+BB$25*BB$13*$AN71,BB$25*(1+BB$13)^$AN71)</f>
        <v>0</v>
      </c>
      <c r="BC71" s="69">
        <f ca="1">$AO71*IF(Auswahllisten!$G$150,BC$25+BC$25*BC$13*$AN71,BC$25*(1+BC$13)^$AN71)</f>
        <v>0</v>
      </c>
      <c r="BD71" s="69">
        <f t="shared" ca="1" si="35"/>
        <v>0</v>
      </c>
      <c r="BE71" s="69">
        <f t="shared" ca="1" si="36"/>
        <v>0</v>
      </c>
      <c r="BF71" s="69">
        <f t="shared" ca="1" si="37"/>
        <v>0</v>
      </c>
      <c r="BG71" s="69">
        <f t="shared" ca="1" si="38"/>
        <v>0</v>
      </c>
      <c r="BI71" s="69">
        <f t="shared" ca="1" si="61"/>
        <v>0</v>
      </c>
      <c r="BJ71" s="69">
        <f t="shared" ca="1" si="61"/>
        <v>0</v>
      </c>
      <c r="BK71" s="69">
        <f t="shared" si="61"/>
        <v>0</v>
      </c>
      <c r="BL71" s="69">
        <f t="shared" ca="1" si="61"/>
        <v>0</v>
      </c>
      <c r="BM71" s="69">
        <f t="shared" ca="1" si="61"/>
        <v>0</v>
      </c>
      <c r="BN71" s="69">
        <f t="shared" ca="1" si="61"/>
        <v>0</v>
      </c>
      <c r="BO71" s="69">
        <f t="shared" si="61"/>
        <v>0</v>
      </c>
      <c r="BP71" s="69">
        <f t="shared" ca="1" si="74"/>
        <v>0</v>
      </c>
      <c r="BQ71" s="69">
        <f t="shared" ca="1" si="39"/>
        <v>0</v>
      </c>
      <c r="BR71" s="69">
        <f t="shared" ca="1" si="75"/>
        <v>0</v>
      </c>
      <c r="BS71" s="69">
        <f ca="1">$AO71*IF(Auswahllisten!$G$150,BS$25+BS$25*BS$13*$AN71,BS$25*(1+BS$13)^$AN71)</f>
        <v>0</v>
      </c>
      <c r="BT71" s="69">
        <f ca="1">$AO71*IF(Auswahllisten!$G$150,BT$25+BT$25*BT$13*$AN71,BT$25*(1+BT$13)^$AN71)</f>
        <v>0</v>
      </c>
      <c r="BU71" s="69">
        <f ca="1">$AO71*IF(Auswahllisten!$G$150,BU$25+BU$25*BU$13*$AN71,BU$25*(1+BU$13)^$AN71)</f>
        <v>0</v>
      </c>
      <c r="BV71" s="69">
        <f ca="1">$AO71*IF(Auswahllisten!$G$150,BV$25+BV$25*BV$13*$AN71,BV$25*(1+BV$13)^$AN71)</f>
        <v>0</v>
      </c>
      <c r="BW71" s="69">
        <f t="shared" ca="1" si="40"/>
        <v>0</v>
      </c>
      <c r="BX71" s="69">
        <f t="shared" ca="1" si="41"/>
        <v>0</v>
      </c>
      <c r="BY71" s="69">
        <f t="shared" ca="1" si="27"/>
        <v>0</v>
      </c>
      <c r="BZ71" s="69">
        <f t="shared" ca="1" si="28"/>
        <v>0</v>
      </c>
    </row>
    <row r="72" spans="1:78">
      <c r="A72" s="304" t="s">
        <v>1217</v>
      </c>
      <c r="B72" s="131" t="s">
        <v>1242</v>
      </c>
      <c r="C72" s="131" t="s">
        <v>246</v>
      </c>
      <c r="D72" s="162" t="str" cm="1">
        <f t="array" aca="1" ref="D72" ca="1">INDIRECT("Vergleich!"&amp;$G$2&amp;Z72)</f>
        <v>mittel</v>
      </c>
      <c r="E72" s="162" cm="1">
        <f t="array" aca="1" ref="E72" ca="1">INDIRECT("Investition_gewählt!"&amp;$I$5&amp;AA72)</f>
        <v>12200</v>
      </c>
      <c r="F72" s="25" cm="1">
        <f t="array" aca="1" ref="F72" ca="1">IF($C$5=0,0,INDEX(Faktoren!E58:GQ58,1,VLOOKUP($F$5,$L$2:$O$14,4,FALSE)+$C$9*5+VLOOKUP(D72,Auswahllisten!$E$25:$F$29,2,FALSE)))</f>
        <v>0</v>
      </c>
      <c r="G72" s="162">
        <f ca="1">E72*F72</f>
        <v>0</v>
      </c>
      <c r="H72" s="162" cm="1">
        <f t="array" aca="1" ref="H72" ca="1">INDIRECT("Investition_gewählt!"&amp;$I$6&amp;AA72)</f>
        <v>12200</v>
      </c>
      <c r="I72" s="25" cm="1">
        <f t="array" aca="1" ref="I72" ca="1">IF($C$5=0,0,INDEX(Faktoren!E58:GQ58,1,VLOOKUP($F$6,$L$2:$O$14,4,FALSE)+$C$9*5+VLOOKUP(D72,Auswahllisten!$E$25:$F$29,2,FALSE)))</f>
        <v>0</v>
      </c>
      <c r="J72" s="162">
        <f ca="1">H72*I72</f>
        <v>0</v>
      </c>
      <c r="K72" s="162">
        <f t="shared" ref="K72:K79" ca="1" si="84">IF($C$5=0,0,G72+(J72-G72)*($C$6-$F$5)/($F$6-$F$5))</f>
        <v>0</v>
      </c>
      <c r="L72" s="25" t="b">
        <f t="shared" ref="L72:L79" ca="1" si="85">($C$5=$L$71)</f>
        <v>0</v>
      </c>
      <c r="M72" s="162">
        <f t="shared" ca="1" si="11"/>
        <v>0</v>
      </c>
      <c r="O72" s="25" t="str" cm="1">
        <f t="array" aca="1" ref="O72" ca="1">INDIRECT("Vergleich!"&amp;$Y$2&amp;Z72)</f>
        <v>gering</v>
      </c>
      <c r="P72" s="162" cm="1">
        <f t="array" aca="1" ref="P72" ca="1">INDIRECT("Investition_gewählt!"&amp;$AA$5&amp;AA72)</f>
        <v>12200</v>
      </c>
      <c r="Q72" s="25" cm="1">
        <f t="array" aca="1" ref="Q72" ca="1">IF($U$5=0,0,INDEX(Faktoren!E58:GQ58,1,VLOOKUP($X$5,$L$2:$O$14,4,FALSE)+$U$9*5+VLOOKUP(O72,Auswahllisten!$E$25:$F$29,2,FALSE)))</f>
        <v>0</v>
      </c>
      <c r="R72" s="162">
        <f t="shared" ref="R72:R79" ca="1" si="86">P72*Q72</f>
        <v>0</v>
      </c>
      <c r="S72" s="162" cm="1">
        <f t="array" aca="1" ref="S72" ca="1">INDIRECT("Investition_gewählt!"&amp;$AA$6&amp;AA72)</f>
        <v>12200</v>
      </c>
      <c r="T72" s="25" cm="1">
        <f t="array" aca="1" ref="T72" ca="1">IF($U$5=0,0,INDEX(Faktoren!E58:QG58,1,VLOOKUP($X$6,$L$3:$O$14,4,FALSE)+$U$9*5+VLOOKUP(O72,Auswahllisten!$E$25:$F$29,2,FALSE)))</f>
        <v>0</v>
      </c>
      <c r="U72" s="162">
        <f t="shared" ref="U72:U79" ca="1" si="87">S72*T72</f>
        <v>0</v>
      </c>
      <c r="V72" s="162">
        <f t="shared" ca="1" si="14"/>
        <v>0</v>
      </c>
      <c r="W72" s="25" t="b">
        <f ca="1">($U$5=$L$71)</f>
        <v>0</v>
      </c>
      <c r="X72" s="162">
        <f t="shared" ca="1" si="16"/>
        <v>0</v>
      </c>
      <c r="Z72" s="1">
        <v>31</v>
      </c>
      <c r="AA72" s="1">
        <v>58</v>
      </c>
      <c r="AB72" s="1">
        <v>-2</v>
      </c>
      <c r="AN72" s="1">
        <v>47</v>
      </c>
      <c r="AO72" s="1">
        <f t="shared" si="22"/>
        <v>0</v>
      </c>
      <c r="AP72" s="69">
        <f t="shared" ca="1" si="83"/>
        <v>0</v>
      </c>
      <c r="AQ72" s="69">
        <f t="shared" ca="1" si="83"/>
        <v>0</v>
      </c>
      <c r="AR72" s="69">
        <f t="shared" si="83"/>
        <v>0</v>
      </c>
      <c r="AS72" s="69">
        <f t="shared" ca="1" si="83"/>
        <v>0</v>
      </c>
      <c r="AT72" s="69">
        <f t="shared" ca="1" si="83"/>
        <v>0</v>
      </c>
      <c r="AU72" s="69">
        <f t="shared" ca="1" si="83"/>
        <v>0</v>
      </c>
      <c r="AV72" s="69">
        <f t="shared" si="83"/>
        <v>0</v>
      </c>
      <c r="AW72" s="69">
        <f t="shared" ca="1" si="66"/>
        <v>0</v>
      </c>
      <c r="AX72" s="69">
        <f t="shared" ca="1" si="33"/>
        <v>0</v>
      </c>
      <c r="AY72" s="69">
        <f t="shared" ca="1" si="34"/>
        <v>0</v>
      </c>
      <c r="AZ72" s="69">
        <f ca="1">$AO72*IF(Auswahllisten!$G$150,AZ$25+AZ$25*AZ$13*$AN72,AZ$25*(1+AZ$13)^$AN72)</f>
        <v>0</v>
      </c>
      <c r="BA72" s="69">
        <f ca="1">$AO72*IF(Auswahllisten!$G$150,BA$25+BA$25*BA$13*$AN72,BA$25*(1+BA$13)^$AN72)</f>
        <v>0</v>
      </c>
      <c r="BB72" s="69">
        <f ca="1">$AO72*IF(Auswahllisten!$G$150,BB$25+BB$25*BB$13*$AN72,BB$25*(1+BB$13)^$AN72)</f>
        <v>0</v>
      </c>
      <c r="BC72" s="69">
        <f ca="1">$AO72*IF(Auswahllisten!$G$150,BC$25+BC$25*BC$13*$AN72,BC$25*(1+BC$13)^$AN72)</f>
        <v>0</v>
      </c>
      <c r="BD72" s="69">
        <f t="shared" ca="1" si="35"/>
        <v>0</v>
      </c>
      <c r="BE72" s="69">
        <f t="shared" ca="1" si="36"/>
        <v>0</v>
      </c>
      <c r="BF72" s="69">
        <f t="shared" ca="1" si="37"/>
        <v>0</v>
      </c>
      <c r="BG72" s="69">
        <f t="shared" ca="1" si="38"/>
        <v>0</v>
      </c>
      <c r="BI72" s="69">
        <f t="shared" ca="1" si="61"/>
        <v>0</v>
      </c>
      <c r="BJ72" s="69">
        <f t="shared" ca="1" si="61"/>
        <v>0</v>
      </c>
      <c r="BK72" s="69">
        <f t="shared" si="61"/>
        <v>0</v>
      </c>
      <c r="BL72" s="69">
        <f t="shared" ca="1" si="61"/>
        <v>0</v>
      </c>
      <c r="BM72" s="69">
        <f t="shared" ca="1" si="61"/>
        <v>0</v>
      </c>
      <c r="BN72" s="69">
        <f t="shared" ca="1" si="61"/>
        <v>0</v>
      </c>
      <c r="BO72" s="69">
        <f t="shared" si="61"/>
        <v>0</v>
      </c>
      <c r="BP72" s="69">
        <f t="shared" ca="1" si="74"/>
        <v>0</v>
      </c>
      <c r="BQ72" s="69">
        <f t="shared" ca="1" si="39"/>
        <v>0</v>
      </c>
      <c r="BR72" s="69">
        <f t="shared" ca="1" si="75"/>
        <v>0</v>
      </c>
      <c r="BS72" s="69">
        <f ca="1">$AO72*IF(Auswahllisten!$G$150,BS$25+BS$25*BS$13*$AN72,BS$25*(1+BS$13)^$AN72)</f>
        <v>0</v>
      </c>
      <c r="BT72" s="69">
        <f ca="1">$AO72*IF(Auswahllisten!$G$150,BT$25+BT$25*BT$13*$AN72,BT$25*(1+BT$13)^$AN72)</f>
        <v>0</v>
      </c>
      <c r="BU72" s="69">
        <f ca="1">$AO72*IF(Auswahllisten!$G$150,BU$25+BU$25*BU$13*$AN72,BU$25*(1+BU$13)^$AN72)</f>
        <v>0</v>
      </c>
      <c r="BV72" s="69">
        <f ca="1">$AO72*IF(Auswahllisten!$G$150,BV$25+BV$25*BV$13*$AN72,BV$25*(1+BV$13)^$AN72)</f>
        <v>0</v>
      </c>
      <c r="BW72" s="69">
        <f t="shared" ca="1" si="40"/>
        <v>0</v>
      </c>
      <c r="BX72" s="69">
        <f t="shared" ca="1" si="41"/>
        <v>0</v>
      </c>
      <c r="BY72" s="69">
        <f t="shared" ca="1" si="27"/>
        <v>0</v>
      </c>
      <c r="BZ72" s="69">
        <f t="shared" ca="1" si="28"/>
        <v>0</v>
      </c>
    </row>
    <row r="73" spans="1:78">
      <c r="A73" s="305" t="s">
        <v>1215</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IF($C$5=0,0,INDEX(Faktoren!E59:GQ59,1,VLOOKUP($F$5,$L$2:$O$14,4,FALSE)+$C$9*5+VLOOKUP(D73,Auswahllisten!$E$25:$F$29,2,FALSE)))</f>
        <v>0</v>
      </c>
      <c r="G73" s="26">
        <f t="shared" ref="G73:G79" ca="1" si="88">E73*F73</f>
        <v>0</v>
      </c>
      <c r="H73" s="26" cm="1">
        <f t="array" aca="1" ref="H73" ca="1">INDIRECT("Investition_gewählt!"&amp;$I$6&amp;AA73)</f>
        <v>8800</v>
      </c>
      <c r="I73" s="25" cm="1">
        <f t="array" aca="1" ref="I73" ca="1">IF($C$5=0,0,INDEX(Faktoren!E59:GQ59,1,VLOOKUP($F$6,$L$2:$O$14,4,FALSE)+$C$9*5+VLOOKUP(D73,Auswahllisten!$E$25:$F$29,2,FALSE)))</f>
        <v>0</v>
      </c>
      <c r="J73" s="26">
        <f t="shared" ref="J73:J79" ca="1" si="89">H73*I73</f>
        <v>0</v>
      </c>
      <c r="K73" s="26">
        <f t="shared" ca="1" si="84"/>
        <v>0</v>
      </c>
      <c r="L73" s="16" t="b">
        <f t="shared" ca="1" si="85"/>
        <v>0</v>
      </c>
      <c r="M73" s="26">
        <f t="shared" ca="1" si="11"/>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IF($U$5=0,0,INDEX(Faktoren!E59:GQ59,1,VLOOKUP($X$5,$L$2:$O$14,4,FALSE)+$U$9*5+VLOOKUP(O73,Auswahllisten!$E$25:$F$29,2,FALSE)))</f>
        <v>0</v>
      </c>
      <c r="R73" s="26">
        <f t="shared" ca="1" si="86"/>
        <v>0</v>
      </c>
      <c r="S73" s="26" cm="1">
        <f t="array" aca="1" ref="S73" ca="1">INDIRECT("Investition_gewählt!"&amp;$AA$6&amp;AA73)</f>
        <v>8800</v>
      </c>
      <c r="T73" s="16" cm="1">
        <f t="array" aca="1" ref="T73" ca="1">IF($U$5=0,0,INDEX(Faktoren!E59:QG59,1,VLOOKUP($X$6,$L$3:$O$14,4,FALSE)+$U$9*5+VLOOKUP(O73,Auswahllisten!$E$25:$F$29,2,FALSE)))</f>
        <v>0</v>
      </c>
      <c r="U73" s="26">
        <f t="shared" ca="1" si="87"/>
        <v>0</v>
      </c>
      <c r="V73" s="26">
        <f t="shared" ca="1" si="14"/>
        <v>0</v>
      </c>
      <c r="W73" s="16" t="b">
        <f t="shared" ref="W73:W79" ca="1" si="90">($U$5=$L$71)</f>
        <v>0</v>
      </c>
      <c r="X73" s="26">
        <f t="shared" ca="1" si="16"/>
        <v>0</v>
      </c>
      <c r="Z73" s="1">
        <v>40</v>
      </c>
      <c r="AA73" s="1">
        <v>59</v>
      </c>
      <c r="AB73" s="1">
        <v>-2</v>
      </c>
      <c r="AN73" s="1">
        <v>48</v>
      </c>
      <c r="AO73" s="1">
        <f t="shared" si="22"/>
        <v>0</v>
      </c>
      <c r="AP73" s="69">
        <f t="shared" ca="1" si="83"/>
        <v>0</v>
      </c>
      <c r="AQ73" s="69">
        <f t="shared" ca="1" si="83"/>
        <v>0</v>
      </c>
      <c r="AR73" s="69">
        <f t="shared" si="83"/>
        <v>0</v>
      </c>
      <c r="AS73" s="69">
        <f t="shared" ca="1" si="83"/>
        <v>0</v>
      </c>
      <c r="AT73" s="69">
        <f t="shared" ca="1" si="83"/>
        <v>0</v>
      </c>
      <c r="AU73" s="69">
        <f t="shared" ca="1" si="83"/>
        <v>0</v>
      </c>
      <c r="AV73" s="69">
        <f t="shared" si="83"/>
        <v>0</v>
      </c>
      <c r="AW73" s="69">
        <f t="shared" ca="1" si="66"/>
        <v>0</v>
      </c>
      <c r="AX73" s="69">
        <f t="shared" ca="1" si="33"/>
        <v>0</v>
      </c>
      <c r="AY73" s="69">
        <f t="shared" ca="1" si="34"/>
        <v>0</v>
      </c>
      <c r="AZ73" s="69">
        <f ca="1">$AO73*IF(Auswahllisten!$G$150,AZ$25+AZ$25*AZ$13*$AN73,AZ$25*(1+AZ$13)^$AN73)</f>
        <v>0</v>
      </c>
      <c r="BA73" s="69">
        <f ca="1">$AO73*IF(Auswahllisten!$G$150,BA$25+BA$25*BA$13*$AN73,BA$25*(1+BA$13)^$AN73)</f>
        <v>0</v>
      </c>
      <c r="BB73" s="69">
        <f ca="1">$AO73*IF(Auswahllisten!$G$150,BB$25+BB$25*BB$13*$AN73,BB$25*(1+BB$13)^$AN73)</f>
        <v>0</v>
      </c>
      <c r="BC73" s="69">
        <f ca="1">$AO73*IF(Auswahllisten!$G$150,BC$25+BC$25*BC$13*$AN73,BC$25*(1+BC$13)^$AN73)</f>
        <v>0</v>
      </c>
      <c r="BD73" s="69">
        <f t="shared" ca="1" si="35"/>
        <v>0</v>
      </c>
      <c r="BE73" s="69">
        <f t="shared" ca="1" si="36"/>
        <v>0</v>
      </c>
      <c r="BF73" s="69">
        <f t="shared" ca="1" si="37"/>
        <v>0</v>
      </c>
      <c r="BG73" s="69">
        <f t="shared" ca="1" si="38"/>
        <v>0</v>
      </c>
      <c r="BI73" s="69">
        <f t="shared" ca="1" si="61"/>
        <v>0</v>
      </c>
      <c r="BJ73" s="69">
        <f t="shared" ca="1" si="61"/>
        <v>0</v>
      </c>
      <c r="BK73" s="69">
        <f t="shared" si="61"/>
        <v>0</v>
      </c>
      <c r="BL73" s="69">
        <f t="shared" ca="1" si="61"/>
        <v>0</v>
      </c>
      <c r="BM73" s="69">
        <f t="shared" ca="1" si="61"/>
        <v>0</v>
      </c>
      <c r="BN73" s="69">
        <f t="shared" ca="1" si="61"/>
        <v>0</v>
      </c>
      <c r="BO73" s="69">
        <f t="shared" si="61"/>
        <v>0</v>
      </c>
      <c r="BP73" s="69">
        <f t="shared" ca="1" si="74"/>
        <v>0</v>
      </c>
      <c r="BQ73" s="69">
        <f t="shared" ca="1" si="39"/>
        <v>0</v>
      </c>
      <c r="BR73" s="69">
        <f t="shared" ca="1" si="75"/>
        <v>0</v>
      </c>
      <c r="BS73" s="69">
        <f ca="1">$AO73*IF(Auswahllisten!$G$150,BS$25+BS$25*BS$13*$AN73,BS$25*(1+BS$13)^$AN73)</f>
        <v>0</v>
      </c>
      <c r="BT73" s="69">
        <f ca="1">$AO73*IF(Auswahllisten!$G$150,BT$25+BT$25*BT$13*$AN73,BT$25*(1+BT$13)^$AN73)</f>
        <v>0</v>
      </c>
      <c r="BU73" s="69">
        <f ca="1">$AO73*IF(Auswahllisten!$G$150,BU$25+BU$25*BU$13*$AN73,BU$25*(1+BU$13)^$AN73)</f>
        <v>0</v>
      </c>
      <c r="BV73" s="69">
        <f ca="1">$AO73*IF(Auswahllisten!$G$150,BV$25+BV$25*BV$13*$AN73,BV$25*(1+BV$13)^$AN73)</f>
        <v>0</v>
      </c>
      <c r="BW73" s="69">
        <f t="shared" ca="1" si="40"/>
        <v>0</v>
      </c>
      <c r="BX73" s="69">
        <f t="shared" ca="1" si="41"/>
        <v>0</v>
      </c>
      <c r="BY73" s="69">
        <f t="shared" ca="1" si="27"/>
        <v>0</v>
      </c>
      <c r="BZ73" s="69">
        <f t="shared" ca="1" si="28"/>
        <v>0</v>
      </c>
    </row>
    <row r="74" spans="1:78">
      <c r="A74" s="305" t="s">
        <v>1215</v>
      </c>
      <c r="B74" s="126" t="s">
        <v>303</v>
      </c>
      <c r="C74" s="126" t="s">
        <v>965</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IF($C$5=0,0,INDEX(Faktoren!E60:GQ60,1,VLOOKUP($F$5,$L$2:$O$14,4,FALSE)+$C$9*5+VLOOKUP(D74,Auswahllisten!$E$25:$F$29,2,FALSE)))</f>
        <v>0</v>
      </c>
      <c r="G74" s="26">
        <f t="shared" ca="1" si="88"/>
        <v>0</v>
      </c>
      <c r="H74" s="26" cm="1">
        <f t="array" aca="1" ref="H74" ca="1">INDIRECT("Investition_gewählt!"&amp;$I$6&amp;AA74)</f>
        <v>3600</v>
      </c>
      <c r="I74" s="25" cm="1">
        <f t="array" aca="1" ref="I74" ca="1">IF($C$5=0,0,INDEX(Faktoren!E60:GQ60,1,VLOOKUP($F$6,$L$2:$O$14,4,FALSE)+$C$9*5+VLOOKUP(D74,Auswahllisten!$E$25:$F$29,2,FALSE)))</f>
        <v>0</v>
      </c>
      <c r="J74" s="26">
        <f t="shared" ca="1" si="89"/>
        <v>0</v>
      </c>
      <c r="K74" s="26">
        <f t="shared" ca="1" si="84"/>
        <v>0</v>
      </c>
      <c r="L74" s="16" t="b">
        <f t="shared" ca="1" si="85"/>
        <v>0</v>
      </c>
      <c r="M74" s="26">
        <f t="shared" ca="1" si="11"/>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IF($U$5=0,0,INDEX(Faktoren!E60:GQ60,1,VLOOKUP($X$5,$L$2:$O$14,4,FALSE)+$U$9*5+VLOOKUP(O74,Auswahllisten!$E$25:$F$29,2,FALSE)))</f>
        <v>0</v>
      </c>
      <c r="R74" s="26">
        <f t="shared" ca="1" si="86"/>
        <v>0</v>
      </c>
      <c r="S74" s="26" cm="1">
        <f t="array" aca="1" ref="S74" ca="1">INDIRECT("Investition_gewählt!"&amp;$AA$6&amp;AA74)</f>
        <v>3600</v>
      </c>
      <c r="T74" s="16" cm="1">
        <f t="array" aca="1" ref="T74" ca="1">IF($U$5=0,0,INDEX(Faktoren!E60:QG60,1,VLOOKUP($X$6,$L$3:$O$14,4,FALSE)+$U$9*5+VLOOKUP(O74,Auswahllisten!$E$25:$F$29,2,FALSE)))</f>
        <v>0</v>
      </c>
      <c r="U74" s="26">
        <f t="shared" ca="1" si="87"/>
        <v>0</v>
      </c>
      <c r="V74" s="26">
        <f t="shared" ca="1" si="14"/>
        <v>0</v>
      </c>
      <c r="W74" s="16" t="b">
        <f t="shared" ca="1" si="90"/>
        <v>0</v>
      </c>
      <c r="X74" s="26">
        <f t="shared" ca="1" si="16"/>
        <v>0</v>
      </c>
      <c r="Z74" s="1">
        <v>42</v>
      </c>
      <c r="AA74" s="1">
        <v>60</v>
      </c>
      <c r="AB74" s="1">
        <v>-2</v>
      </c>
      <c r="AN74" s="1">
        <v>49</v>
      </c>
      <c r="AO74" s="1">
        <f t="shared" si="22"/>
        <v>0</v>
      </c>
      <c r="AP74" s="69">
        <f t="shared" ca="1" si="83"/>
        <v>0</v>
      </c>
      <c r="AQ74" s="69">
        <f t="shared" ca="1" si="83"/>
        <v>0</v>
      </c>
      <c r="AR74" s="69">
        <f t="shared" si="83"/>
        <v>0</v>
      </c>
      <c r="AS74" s="69">
        <f t="shared" ca="1" si="83"/>
        <v>0</v>
      </c>
      <c r="AT74" s="69">
        <f t="shared" ca="1" si="83"/>
        <v>0</v>
      </c>
      <c r="AU74" s="69">
        <f t="shared" ca="1" si="83"/>
        <v>0</v>
      </c>
      <c r="AV74" s="69">
        <f t="shared" si="83"/>
        <v>0</v>
      </c>
      <c r="AW74" s="69">
        <f t="shared" ca="1" si="66"/>
        <v>0</v>
      </c>
      <c r="AX74" s="69">
        <f t="shared" ca="1" si="33"/>
        <v>0</v>
      </c>
      <c r="AY74" s="69">
        <f t="shared" ca="1" si="34"/>
        <v>0</v>
      </c>
      <c r="AZ74" s="69">
        <f ca="1">$AO74*IF(Auswahllisten!$G$150,AZ$25+AZ$25*AZ$13*$AN74,AZ$25*(1+AZ$13)^$AN74)</f>
        <v>0</v>
      </c>
      <c r="BA74" s="69">
        <f ca="1">$AO74*IF(Auswahllisten!$G$150,BA$25+BA$25*BA$13*$AN74,BA$25*(1+BA$13)^$AN74)</f>
        <v>0</v>
      </c>
      <c r="BB74" s="69">
        <f ca="1">$AO74*IF(Auswahllisten!$G$150,BB$25+BB$25*BB$13*$AN74,BB$25*(1+BB$13)^$AN74)</f>
        <v>0</v>
      </c>
      <c r="BC74" s="69">
        <f ca="1">$AO74*IF(Auswahllisten!$G$150,BC$25+BC$25*BC$13*$AN74,BC$25*(1+BC$13)^$AN74)</f>
        <v>0</v>
      </c>
      <c r="BD74" s="69">
        <f t="shared" ca="1" si="35"/>
        <v>0</v>
      </c>
      <c r="BE74" s="69">
        <f t="shared" ca="1" si="36"/>
        <v>0</v>
      </c>
      <c r="BF74" s="69">
        <f t="shared" ca="1" si="37"/>
        <v>0</v>
      </c>
      <c r="BG74" s="69">
        <f t="shared" ca="1" si="38"/>
        <v>0</v>
      </c>
      <c r="BI74" s="69">
        <f t="shared" ca="1" si="61"/>
        <v>0</v>
      </c>
      <c r="BJ74" s="69">
        <f t="shared" ca="1" si="61"/>
        <v>0</v>
      </c>
      <c r="BK74" s="69">
        <f t="shared" si="61"/>
        <v>0</v>
      </c>
      <c r="BL74" s="69">
        <f t="shared" ca="1" si="61"/>
        <v>0</v>
      </c>
      <c r="BM74" s="69">
        <f t="shared" ca="1" si="61"/>
        <v>0</v>
      </c>
      <c r="BN74" s="69">
        <f t="shared" ca="1" si="61"/>
        <v>0</v>
      </c>
      <c r="BO74" s="69">
        <f t="shared" si="61"/>
        <v>0</v>
      </c>
      <c r="BP74" s="69">
        <f t="shared" ca="1" si="74"/>
        <v>0</v>
      </c>
      <c r="BQ74" s="69">
        <f t="shared" ca="1" si="39"/>
        <v>0</v>
      </c>
      <c r="BR74" s="69">
        <f t="shared" ca="1" si="75"/>
        <v>0</v>
      </c>
      <c r="BS74" s="69">
        <f ca="1">$AO74*IF(Auswahllisten!$G$150,BS$25+BS$25*BS$13*$AN74,BS$25*(1+BS$13)^$AN74)</f>
        <v>0</v>
      </c>
      <c r="BT74" s="69">
        <f ca="1">$AO74*IF(Auswahllisten!$G$150,BT$25+BT$25*BT$13*$AN74,BT$25*(1+BT$13)^$AN74)</f>
        <v>0</v>
      </c>
      <c r="BU74" s="69">
        <f ca="1">$AO74*IF(Auswahllisten!$G$150,BU$25+BU$25*BU$13*$AN74,BU$25*(1+BU$13)^$AN74)</f>
        <v>0</v>
      </c>
      <c r="BV74" s="69">
        <f ca="1">$AO74*IF(Auswahllisten!$G$150,BV$25+BV$25*BV$13*$AN74,BV$25*(1+BV$13)^$AN74)</f>
        <v>0</v>
      </c>
      <c r="BW74" s="69">
        <f t="shared" ca="1" si="40"/>
        <v>0</v>
      </c>
      <c r="BX74" s="69">
        <f t="shared" ca="1" si="41"/>
        <v>0</v>
      </c>
      <c r="BY74" s="69">
        <f t="shared" ca="1" si="27"/>
        <v>0</v>
      </c>
      <c r="BZ74" s="69">
        <f t="shared" ca="1" si="28"/>
        <v>0</v>
      </c>
    </row>
    <row r="75" spans="1:78">
      <c r="A75" s="305" t="s">
        <v>1218</v>
      </c>
      <c r="B75" s="126" t="s">
        <v>1243</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IF($C$5=0,0,INDEX(Faktoren!E61:GQ61,1,VLOOKUP($F$5,$L$2:$O$14,4,FALSE)+$C$9*5+VLOOKUP(D75,Auswahllisten!$E$25:$F$29,2,FALSE)))</f>
        <v>0</v>
      </c>
      <c r="G75" s="26">
        <f t="shared" ca="1" si="88"/>
        <v>0</v>
      </c>
      <c r="H75" s="26" cm="1">
        <f t="array" aca="1" ref="H75" ca="1">INDIRECT("Investition_gewählt!"&amp;$I$6&amp;AA75)</f>
        <v>1500</v>
      </c>
      <c r="I75" s="25" cm="1">
        <f t="array" aca="1" ref="I75" ca="1">IF($C$5=0,0,INDEX(Faktoren!E61:GQ61,1,VLOOKUP($F$6,$L$2:$O$14,4,FALSE)+$C$9*5+VLOOKUP(D75,Auswahllisten!$E$25:$F$29,2,FALSE)))</f>
        <v>0</v>
      </c>
      <c r="J75" s="26">
        <f t="shared" ca="1" si="89"/>
        <v>0</v>
      </c>
      <c r="K75" s="26">
        <f t="shared" ca="1" si="84"/>
        <v>0</v>
      </c>
      <c r="L75" s="16" t="b">
        <f t="shared" ca="1" si="85"/>
        <v>0</v>
      </c>
      <c r="M75" s="26">
        <f t="shared" ca="1" si="11"/>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IF($U$5=0,0,INDEX(Faktoren!E61:GQ61,1,VLOOKUP($X$5,$L$2:$O$14,4,FALSE)+$U$9*5+VLOOKUP(O75,Auswahllisten!$E$25:$F$29,2,FALSE)))</f>
        <v>0</v>
      </c>
      <c r="R75" s="26">
        <f t="shared" ca="1" si="86"/>
        <v>0</v>
      </c>
      <c r="S75" s="26" cm="1">
        <f t="array" aca="1" ref="S75" ca="1">INDIRECT("Investition_gewählt!"&amp;$AA$6&amp;AA75)</f>
        <v>1500</v>
      </c>
      <c r="T75" s="16" cm="1">
        <f t="array" aca="1" ref="T75" ca="1">IF($U$5=0,0,INDEX(Faktoren!E61:QG61,1,VLOOKUP($X$6,$L$3:$O$14,4,FALSE)+$U$9*5+VLOOKUP(O75,Auswahllisten!$E$25:$F$29,2,FALSE)))</f>
        <v>0</v>
      </c>
      <c r="U75" s="26">
        <f t="shared" ca="1" si="87"/>
        <v>0</v>
      </c>
      <c r="V75" s="26">
        <f t="shared" ca="1" si="14"/>
        <v>0</v>
      </c>
      <c r="W75" s="16" t="b">
        <f t="shared" ca="1" si="90"/>
        <v>0</v>
      </c>
      <c r="X75" s="26">
        <f t="shared" ca="1" si="16"/>
        <v>0</v>
      </c>
      <c r="Z75" s="1">
        <v>41</v>
      </c>
      <c r="AA75" s="1">
        <v>61</v>
      </c>
      <c r="AB75" s="1">
        <v>-2</v>
      </c>
      <c r="AN75" s="1">
        <v>50</v>
      </c>
      <c r="AO75" s="1">
        <f t="shared" si="22"/>
        <v>0</v>
      </c>
      <c r="AP75" s="69">
        <f t="shared" ca="1" si="83"/>
        <v>0</v>
      </c>
      <c r="AQ75" s="69">
        <f t="shared" ca="1" si="83"/>
        <v>0</v>
      </c>
      <c r="AR75" s="69">
        <f t="shared" si="83"/>
        <v>0</v>
      </c>
      <c r="AS75" s="69">
        <f t="shared" ca="1" si="83"/>
        <v>0</v>
      </c>
      <c r="AT75" s="69">
        <f t="shared" ca="1" si="83"/>
        <v>0</v>
      </c>
      <c r="AU75" s="69">
        <f t="shared" ca="1" si="83"/>
        <v>0</v>
      </c>
      <c r="AV75" s="69">
        <f t="shared" si="83"/>
        <v>0</v>
      </c>
      <c r="AW75" s="69">
        <f t="shared" ca="1" si="66"/>
        <v>0</v>
      </c>
      <c r="AX75" s="69">
        <f t="shared" ca="1" si="33"/>
        <v>0</v>
      </c>
      <c r="AY75" s="69">
        <f t="shared" ca="1" si="34"/>
        <v>0</v>
      </c>
      <c r="AZ75" s="69">
        <f ca="1">$AO75*IF(Auswahllisten!$G$150,AZ$25+AZ$25*AZ$13*$AN75,AZ$25*(1+AZ$13)^$AN75)</f>
        <v>0</v>
      </c>
      <c r="BA75" s="69">
        <f ca="1">$AO75*IF(Auswahllisten!$G$150,BA$25+BA$25*BA$13*$AN75,BA$25*(1+BA$13)^$AN75)</f>
        <v>0</v>
      </c>
      <c r="BB75" s="69">
        <f ca="1">$AO75*IF(Auswahllisten!$G$150,BB$25+BB$25*BB$13*$AN75,BB$25*(1+BB$13)^$AN75)</f>
        <v>0</v>
      </c>
      <c r="BC75" s="69">
        <f ca="1">$AO75*IF(Auswahllisten!$G$150,BC$25+BC$25*BC$13*$AN75,BC$25*(1+BC$13)^$AN75)</f>
        <v>0</v>
      </c>
      <c r="BD75" s="69">
        <f t="shared" ca="1" si="35"/>
        <v>0</v>
      </c>
      <c r="BE75" s="69">
        <f t="shared" ca="1" si="36"/>
        <v>0</v>
      </c>
      <c r="BF75" s="69">
        <f t="shared" ca="1" si="37"/>
        <v>0</v>
      </c>
      <c r="BG75" s="69">
        <f t="shared" ca="1" si="38"/>
        <v>0</v>
      </c>
      <c r="BI75" s="69">
        <f t="shared" ca="1" si="61"/>
        <v>0</v>
      </c>
      <c r="BJ75" s="69">
        <f t="shared" ca="1" si="61"/>
        <v>0</v>
      </c>
      <c r="BK75" s="69">
        <f t="shared" si="61"/>
        <v>0</v>
      </c>
      <c r="BL75" s="69">
        <f t="shared" ca="1" si="61"/>
        <v>0</v>
      </c>
      <c r="BM75" s="69">
        <f t="shared" ca="1" si="61"/>
        <v>0</v>
      </c>
      <c r="BN75" s="69">
        <f t="shared" ca="1" si="61"/>
        <v>0</v>
      </c>
      <c r="BO75" s="69">
        <f t="shared" si="61"/>
        <v>0</v>
      </c>
      <c r="BP75" s="69">
        <f t="shared" ca="1" si="74"/>
        <v>0</v>
      </c>
      <c r="BQ75" s="69">
        <f t="shared" ca="1" si="39"/>
        <v>0</v>
      </c>
      <c r="BR75" s="69">
        <f t="shared" ca="1" si="75"/>
        <v>0</v>
      </c>
      <c r="BS75" s="69">
        <f ca="1">$AO75*IF(Auswahllisten!$G$150,BS$25+BS$25*BS$13*$AN75,BS$25*(1+BS$13)^$AN75)</f>
        <v>0</v>
      </c>
      <c r="BT75" s="69">
        <f ca="1">$AO75*IF(Auswahllisten!$G$150,BT$25+BT$25*BT$13*$AN75,BT$25*(1+BT$13)^$AN75)</f>
        <v>0</v>
      </c>
      <c r="BU75" s="69">
        <f ca="1">$AO75*IF(Auswahllisten!$G$150,BU$25+BU$25*BU$13*$AN75,BU$25*(1+BU$13)^$AN75)</f>
        <v>0</v>
      </c>
      <c r="BV75" s="69">
        <f ca="1">$AO75*IF(Auswahllisten!$G$150,BV$25+BV$25*BV$13*$AN75,BV$25*(1+BV$13)^$AN75)</f>
        <v>0</v>
      </c>
      <c r="BW75" s="69">
        <f t="shared" ca="1" si="40"/>
        <v>0</v>
      </c>
      <c r="BX75" s="69">
        <f t="shared" ca="1" si="41"/>
        <v>0</v>
      </c>
      <c r="BY75" s="69">
        <f t="shared" ca="1" si="27"/>
        <v>0</v>
      </c>
      <c r="BZ75" s="69">
        <f t="shared" ca="1" si="28"/>
        <v>0</v>
      </c>
    </row>
    <row r="76" spans="1:78">
      <c r="A76" s="305" t="s">
        <v>1215</v>
      </c>
      <c r="B76" s="126" t="s">
        <v>303</v>
      </c>
      <c r="C76" s="126" t="s">
        <v>966</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IF($C$5=0,0,INDEX(Faktoren!E62:GQ62,1,VLOOKUP($F$5,$L$2:$O$14,4,FALSE)+$C$9*5+VLOOKUP(D76,Auswahllisten!$E$25:$F$29,2,FALSE)))</f>
        <v>0</v>
      </c>
      <c r="G76" s="26">
        <f t="shared" ca="1" si="88"/>
        <v>0</v>
      </c>
      <c r="H76" s="26" cm="1">
        <f t="array" aca="1" ref="H76" ca="1">INDIRECT("Investition_gewählt!"&amp;$I$6&amp;AA76)</f>
        <v>8700</v>
      </c>
      <c r="I76" s="25" cm="1">
        <f t="array" aca="1" ref="I76" ca="1">IF($C$5=0,0,INDEX(Faktoren!E62:GQ62,1,VLOOKUP($F$6,$L$2:$O$14,4,FALSE)+$C$9*5+VLOOKUP(D76,Auswahllisten!$E$25:$F$29,2,FALSE)))</f>
        <v>0</v>
      </c>
      <c r="J76" s="26">
        <f t="shared" ca="1" si="89"/>
        <v>0</v>
      </c>
      <c r="K76" s="26">
        <f t="shared" ca="1" si="84"/>
        <v>0</v>
      </c>
      <c r="L76" s="16" t="b">
        <f t="shared" ca="1" si="85"/>
        <v>0</v>
      </c>
      <c r="M76" s="26">
        <f t="shared" ca="1" si="11"/>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IF($U$5=0,0,INDEX(Faktoren!E62:GQ62,1,VLOOKUP($X$5,$L$2:$O$14,4,FALSE)+$U$9*5+VLOOKUP(O76,Auswahllisten!$E$25:$F$29,2,FALSE)))</f>
        <v>0</v>
      </c>
      <c r="R76" s="26">
        <f t="shared" ca="1" si="86"/>
        <v>0</v>
      </c>
      <c r="S76" s="26" cm="1">
        <f t="array" aca="1" ref="S76" ca="1">INDIRECT("Investition_gewählt!"&amp;$AA$6&amp;AA76)</f>
        <v>8700</v>
      </c>
      <c r="T76" s="16" cm="1">
        <f t="array" aca="1" ref="T76" ca="1">IF($U$5=0,0,INDEX(Faktoren!E62:QG62,1,VLOOKUP($X$6,$L$3:$O$14,4,FALSE)+$U$9*5+VLOOKUP(O76,Auswahllisten!$E$25:$F$29,2,FALSE)))</f>
        <v>0</v>
      </c>
      <c r="U76" s="26">
        <f t="shared" ca="1" si="87"/>
        <v>0</v>
      </c>
      <c r="V76" s="26">
        <f t="shared" ca="1" si="14"/>
        <v>0</v>
      </c>
      <c r="W76" s="16" t="b">
        <f t="shared" ca="1" si="90"/>
        <v>0</v>
      </c>
      <c r="X76" s="26">
        <f t="shared" ca="1" si="16"/>
        <v>0</v>
      </c>
      <c r="Z76" s="1">
        <v>47</v>
      </c>
      <c r="AA76" s="1">
        <v>62</v>
      </c>
      <c r="AB76" s="1">
        <v>-2</v>
      </c>
      <c r="AN76" s="1">
        <v>51</v>
      </c>
      <c r="AO76" s="1">
        <f t="shared" si="22"/>
        <v>0</v>
      </c>
      <c r="AP76" s="69">
        <f t="shared" ca="1" si="83"/>
        <v>0</v>
      </c>
      <c r="AQ76" s="69">
        <f t="shared" ca="1" si="83"/>
        <v>0</v>
      </c>
      <c r="AR76" s="69">
        <f t="shared" si="83"/>
        <v>0</v>
      </c>
      <c r="AS76" s="69">
        <f t="shared" ca="1" si="83"/>
        <v>0</v>
      </c>
      <c r="AT76" s="69">
        <f t="shared" ca="1" si="83"/>
        <v>0</v>
      </c>
      <c r="AU76" s="69">
        <f t="shared" ca="1" si="83"/>
        <v>0</v>
      </c>
      <c r="AV76" s="69">
        <f t="shared" si="83"/>
        <v>0</v>
      </c>
      <c r="AW76" s="69">
        <f t="shared" ca="1" si="66"/>
        <v>0</v>
      </c>
      <c r="AX76" s="69">
        <f t="shared" ca="1" si="33"/>
        <v>0</v>
      </c>
      <c r="AY76" s="69">
        <f t="shared" ca="1" si="34"/>
        <v>0</v>
      </c>
      <c r="AZ76" s="69">
        <f ca="1">$AO76*IF(Auswahllisten!$G$150,AZ$25+AZ$25*AZ$13*$AN76,AZ$25*(1+AZ$13)^$AN76)</f>
        <v>0</v>
      </c>
      <c r="BA76" s="69">
        <f ca="1">$AO76*IF(Auswahllisten!$G$150,BA$25+BA$25*BA$13*$AN76,BA$25*(1+BA$13)^$AN76)</f>
        <v>0</v>
      </c>
      <c r="BB76" s="69">
        <f ca="1">$AO76*IF(Auswahllisten!$G$150,BB$25+BB$25*BB$13*$AN76,BB$25*(1+BB$13)^$AN76)</f>
        <v>0</v>
      </c>
      <c r="BC76" s="69">
        <f ca="1">$AO76*IF(Auswahllisten!$G$150,BC$25+BC$25*BC$13*$AN76,BC$25*(1+BC$13)^$AN76)</f>
        <v>0</v>
      </c>
      <c r="BD76" s="69">
        <f t="shared" ca="1" si="35"/>
        <v>0</v>
      </c>
      <c r="BE76" s="69">
        <f t="shared" ca="1" si="36"/>
        <v>0</v>
      </c>
      <c r="BF76" s="69">
        <f t="shared" ca="1" si="37"/>
        <v>0</v>
      </c>
      <c r="BG76" s="69">
        <f t="shared" ca="1" si="38"/>
        <v>0</v>
      </c>
      <c r="BI76" s="69">
        <f t="shared" ca="1" si="61"/>
        <v>0</v>
      </c>
      <c r="BJ76" s="69">
        <f t="shared" ca="1" si="61"/>
        <v>0</v>
      </c>
      <c r="BK76" s="69">
        <f t="shared" si="61"/>
        <v>0</v>
      </c>
      <c r="BL76" s="69">
        <f t="shared" ca="1" si="61"/>
        <v>0</v>
      </c>
      <c r="BM76" s="69">
        <f t="shared" ca="1" si="61"/>
        <v>0</v>
      </c>
      <c r="BN76" s="69">
        <f t="shared" ca="1" si="61"/>
        <v>0</v>
      </c>
      <c r="BO76" s="69">
        <f t="shared" si="61"/>
        <v>0</v>
      </c>
      <c r="BP76" s="69">
        <f t="shared" ca="1" si="74"/>
        <v>0</v>
      </c>
      <c r="BQ76" s="69">
        <f t="shared" ca="1" si="39"/>
        <v>0</v>
      </c>
      <c r="BR76" s="69">
        <f t="shared" ca="1" si="75"/>
        <v>0</v>
      </c>
      <c r="BS76" s="69">
        <f ca="1">$AO76*IF(Auswahllisten!$G$150,BS$25+BS$25*BS$13*$AN76,BS$25*(1+BS$13)^$AN76)</f>
        <v>0</v>
      </c>
      <c r="BT76" s="69">
        <f ca="1">$AO76*IF(Auswahllisten!$G$150,BT$25+BT$25*BT$13*$AN76,BT$25*(1+BT$13)^$AN76)</f>
        <v>0</v>
      </c>
      <c r="BU76" s="69">
        <f ca="1">$AO76*IF(Auswahllisten!$G$150,BU$25+BU$25*BU$13*$AN76,BU$25*(1+BU$13)^$AN76)</f>
        <v>0</v>
      </c>
      <c r="BV76" s="69">
        <f ca="1">$AO76*IF(Auswahllisten!$G$150,BV$25+BV$25*BV$13*$AN76,BV$25*(1+BV$13)^$AN76)</f>
        <v>0</v>
      </c>
      <c r="BW76" s="69">
        <f t="shared" ca="1" si="40"/>
        <v>0</v>
      </c>
      <c r="BX76" s="69">
        <f t="shared" ca="1" si="41"/>
        <v>0</v>
      </c>
      <c r="BY76" s="69">
        <f t="shared" ca="1" si="27"/>
        <v>0</v>
      </c>
      <c r="BZ76" s="69">
        <f t="shared" ca="1" si="28"/>
        <v>0</v>
      </c>
    </row>
    <row r="77" spans="1:78">
      <c r="A77" s="305" t="s">
        <v>1244</v>
      </c>
      <c r="B77" s="126" t="s">
        <v>1245</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IF($C$5=0,0,INDEX(Faktoren!E63:GQ63,1,VLOOKUP($F$5,$L$2:$O$14,4,FALSE)+$C$9*5+VLOOKUP(D77,Auswahllisten!$E$25:$F$29,2,FALSE)))</f>
        <v>0</v>
      </c>
      <c r="G77" s="26">
        <f t="shared" ca="1" si="88"/>
        <v>0</v>
      </c>
      <c r="H77" s="26" cm="1">
        <f t="array" aca="1" ref="H77" ca="1">INDIRECT("Investition_gewählt!"&amp;$I$6&amp;AA77)</f>
        <v>0</v>
      </c>
      <c r="I77" s="25" cm="1">
        <f t="array" aca="1" ref="I77" ca="1">IF($C$5=0,0,INDEX(Faktoren!E63:GQ63,1,VLOOKUP($F$6,$L$2:$O$14,4,FALSE)+$C$9*5+VLOOKUP(D77,Auswahllisten!$E$25:$F$29,2,FALSE)))</f>
        <v>0</v>
      </c>
      <c r="J77" s="26">
        <f t="shared" ca="1" si="89"/>
        <v>0</v>
      </c>
      <c r="K77" s="26">
        <f t="shared" ca="1" si="84"/>
        <v>0</v>
      </c>
      <c r="L77" s="16" t="b">
        <f t="shared" ca="1" si="85"/>
        <v>0</v>
      </c>
      <c r="M77" s="26">
        <f t="shared" ca="1" si="11"/>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IF($U$5=0,0,INDEX(Faktoren!E63:GQ63,1,VLOOKUP($X$5,$L$2:$O$14,4,FALSE)+$U$9*5+VLOOKUP(O77,Auswahllisten!$E$25:$F$29,2,FALSE)))</f>
        <v>0</v>
      </c>
      <c r="R77" s="26">
        <f t="shared" ca="1" si="86"/>
        <v>0</v>
      </c>
      <c r="S77" s="26" cm="1">
        <f t="array" aca="1" ref="S77" ca="1">INDIRECT("Investition_gewählt!"&amp;$AA$6&amp;AA77)</f>
        <v>0</v>
      </c>
      <c r="T77" s="16" cm="1">
        <f t="array" aca="1" ref="T77" ca="1">IF($U$5=0,0,INDEX(Faktoren!E63:QG63,1,VLOOKUP($X$6,$L$3:$O$14,4,FALSE)+$U$9*5+VLOOKUP(O77,Auswahllisten!$E$25:$F$29,2,FALSE)))</f>
        <v>0</v>
      </c>
      <c r="U77" s="26">
        <f t="shared" ca="1" si="87"/>
        <v>0</v>
      </c>
      <c r="V77" s="26">
        <f t="shared" ca="1" si="14"/>
        <v>0</v>
      </c>
      <c r="W77" s="16" t="b">
        <f t="shared" ca="1" si="90"/>
        <v>0</v>
      </c>
      <c r="X77" s="26">
        <f t="shared" ca="1" si="16"/>
        <v>0</v>
      </c>
      <c r="Z77" s="1">
        <v>51</v>
      </c>
      <c r="AA77" s="1">
        <v>63</v>
      </c>
      <c r="AB77" s="1">
        <v>-2</v>
      </c>
      <c r="AN77" s="1">
        <v>52</v>
      </c>
      <c r="AO77" s="1">
        <f t="shared" si="22"/>
        <v>0</v>
      </c>
      <c r="AP77" s="69">
        <f t="shared" ca="1" si="83"/>
        <v>0</v>
      </c>
      <c r="AQ77" s="69">
        <f t="shared" ca="1" si="83"/>
        <v>0</v>
      </c>
      <c r="AR77" s="69">
        <f t="shared" si="83"/>
        <v>0</v>
      </c>
      <c r="AS77" s="69">
        <f t="shared" ca="1" si="83"/>
        <v>0</v>
      </c>
      <c r="AT77" s="69">
        <f t="shared" ca="1" si="83"/>
        <v>0</v>
      </c>
      <c r="AU77" s="69">
        <f t="shared" ca="1" si="83"/>
        <v>0</v>
      </c>
      <c r="AV77" s="69">
        <f t="shared" si="83"/>
        <v>0</v>
      </c>
      <c r="AW77" s="69">
        <f t="shared" ca="1" si="66"/>
        <v>0</v>
      </c>
      <c r="AX77" s="69">
        <f t="shared" ca="1" si="33"/>
        <v>0</v>
      </c>
      <c r="AY77" s="69">
        <f t="shared" ca="1" si="34"/>
        <v>0</v>
      </c>
      <c r="AZ77" s="69">
        <f ca="1">$AO77*IF(Auswahllisten!$G$150,AZ$25+AZ$25*AZ$13*$AN77,AZ$25*(1+AZ$13)^$AN77)</f>
        <v>0</v>
      </c>
      <c r="BA77" s="69">
        <f ca="1">$AO77*IF(Auswahllisten!$G$150,BA$25+BA$25*BA$13*$AN77,BA$25*(1+BA$13)^$AN77)</f>
        <v>0</v>
      </c>
      <c r="BB77" s="69">
        <f ca="1">$AO77*IF(Auswahllisten!$G$150,BB$25+BB$25*BB$13*$AN77,BB$25*(1+BB$13)^$AN77)</f>
        <v>0</v>
      </c>
      <c r="BC77" s="69">
        <f ca="1">$AO77*IF(Auswahllisten!$G$150,BC$25+BC$25*BC$13*$AN77,BC$25*(1+BC$13)^$AN77)</f>
        <v>0</v>
      </c>
      <c r="BD77" s="69">
        <f t="shared" ca="1" si="35"/>
        <v>0</v>
      </c>
      <c r="BE77" s="69">
        <f t="shared" ca="1" si="36"/>
        <v>0</v>
      </c>
      <c r="BF77" s="69">
        <f t="shared" ca="1" si="37"/>
        <v>0</v>
      </c>
      <c r="BG77" s="69">
        <f t="shared" ca="1" si="38"/>
        <v>0</v>
      </c>
      <c r="BI77" s="69">
        <f t="shared" ca="1" si="61"/>
        <v>0</v>
      </c>
      <c r="BJ77" s="69">
        <f t="shared" ca="1" si="61"/>
        <v>0</v>
      </c>
      <c r="BK77" s="69">
        <f t="shared" si="61"/>
        <v>0</v>
      </c>
      <c r="BL77" s="69">
        <f t="shared" ca="1" si="61"/>
        <v>0</v>
      </c>
      <c r="BM77" s="69">
        <f t="shared" ca="1" si="61"/>
        <v>0</v>
      </c>
      <c r="BN77" s="69">
        <f t="shared" ca="1" si="61"/>
        <v>0</v>
      </c>
      <c r="BO77" s="69">
        <f t="shared" si="61"/>
        <v>0</v>
      </c>
      <c r="BP77" s="69">
        <f t="shared" ca="1" si="74"/>
        <v>0</v>
      </c>
      <c r="BQ77" s="69">
        <f t="shared" ca="1" si="39"/>
        <v>0</v>
      </c>
      <c r="BR77" s="69">
        <f t="shared" ca="1" si="75"/>
        <v>0</v>
      </c>
      <c r="BS77" s="69">
        <f ca="1">$AO77*IF(Auswahllisten!$G$150,BS$25+BS$25*BS$13*$AN77,BS$25*(1+BS$13)^$AN77)</f>
        <v>0</v>
      </c>
      <c r="BT77" s="69">
        <f ca="1">$AO77*IF(Auswahllisten!$G$150,BT$25+BT$25*BT$13*$AN77,BT$25*(1+BT$13)^$AN77)</f>
        <v>0</v>
      </c>
      <c r="BU77" s="69">
        <f ca="1">$AO77*IF(Auswahllisten!$G$150,BU$25+BU$25*BU$13*$AN77,BU$25*(1+BU$13)^$AN77)</f>
        <v>0</v>
      </c>
      <c r="BV77" s="69">
        <f ca="1">$AO77*IF(Auswahllisten!$G$150,BV$25+BV$25*BV$13*$AN77,BV$25*(1+BV$13)^$AN77)</f>
        <v>0</v>
      </c>
      <c r="BW77" s="69">
        <f t="shared" ca="1" si="40"/>
        <v>0</v>
      </c>
      <c r="BX77" s="69">
        <f t="shared" ca="1" si="41"/>
        <v>0</v>
      </c>
      <c r="BY77" s="69">
        <f t="shared" ca="1" si="27"/>
        <v>0</v>
      </c>
      <c r="BZ77" s="69">
        <f t="shared" ca="1" si="28"/>
        <v>0</v>
      </c>
    </row>
    <row r="78" spans="1:78">
      <c r="A78" s="305" t="s">
        <v>1244</v>
      </c>
      <c r="B78" s="126" t="s">
        <v>1245</v>
      </c>
      <c r="C78" s="126" t="s">
        <v>967</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IF($C$5=0,0,INDEX(Faktoren!E64:GQ64,1,VLOOKUP($F$5,$L$2:$O$14,4,FALSE)+$C$9*5+VLOOKUP(D78,Auswahllisten!$E$25:$F$29,2,FALSE)))</f>
        <v>0</v>
      </c>
      <c r="G78" s="26">
        <f t="shared" ca="1" si="88"/>
        <v>0</v>
      </c>
      <c r="H78" s="26" cm="1">
        <f t="array" aca="1" ref="H78" ca="1">INDIRECT("Investition_gewählt!"&amp;$I$6&amp;AA78)</f>
        <v>0</v>
      </c>
      <c r="I78" s="25" cm="1">
        <f t="array" aca="1" ref="I78" ca="1">IF($C$5=0,0,INDEX(Faktoren!E64:GQ64,1,VLOOKUP($F$6,$L$2:$O$14,4,FALSE)+$C$9*5+VLOOKUP(D78,Auswahllisten!$E$25:$F$29,2,FALSE)))</f>
        <v>0</v>
      </c>
      <c r="J78" s="26">
        <f t="shared" ca="1" si="89"/>
        <v>0</v>
      </c>
      <c r="K78" s="26">
        <f t="shared" ca="1" si="84"/>
        <v>0</v>
      </c>
      <c r="L78" s="16" t="b">
        <f t="shared" ca="1" si="85"/>
        <v>0</v>
      </c>
      <c r="M78" s="26">
        <f t="shared" ca="1" si="11"/>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IF($U$5=0,0,INDEX(Faktoren!E64:GQ64,1,VLOOKUP($X$5,$L$2:$O$14,4,FALSE)+$U$9*5+VLOOKUP(O78,Auswahllisten!$E$25:$F$29,2,FALSE)))</f>
        <v>0</v>
      </c>
      <c r="R78" s="26">
        <f t="shared" ca="1" si="86"/>
        <v>0</v>
      </c>
      <c r="S78" s="26" cm="1">
        <f t="array" aca="1" ref="S78" ca="1">INDIRECT("Investition_gewählt!"&amp;$AA$6&amp;AA78)</f>
        <v>0</v>
      </c>
      <c r="T78" s="16" cm="1">
        <f t="array" aca="1" ref="T78" ca="1">IF($U$5=0,0,INDEX(Faktoren!E64:QG64,1,VLOOKUP($X$6,$L$3:$O$14,4,FALSE)+$U$9*5+VLOOKUP(O78,Auswahllisten!$E$25:$F$29,2,FALSE)))</f>
        <v>0</v>
      </c>
      <c r="U78" s="26">
        <f t="shared" ca="1" si="87"/>
        <v>0</v>
      </c>
      <c r="V78" s="26">
        <f t="shared" ca="1" si="14"/>
        <v>0</v>
      </c>
      <c r="W78" s="16" t="b">
        <f t="shared" ca="1" si="90"/>
        <v>0</v>
      </c>
      <c r="X78" s="26">
        <f t="shared" ca="1" si="16"/>
        <v>0</v>
      </c>
      <c r="Z78" s="1">
        <v>49</v>
      </c>
      <c r="AA78" s="1">
        <v>64</v>
      </c>
      <c r="AB78" s="1">
        <v>-2</v>
      </c>
      <c r="AN78" s="1">
        <v>53</v>
      </c>
      <c r="AO78" s="1">
        <f t="shared" si="22"/>
        <v>0</v>
      </c>
      <c r="AP78" s="69">
        <f t="shared" ref="AP78:AV93" ca="1" si="91">IFERROR($AO78*IF(MOD($AN78,AP$20)=0,AP$25,0)*(1+$AS$10)^$AN78*IF($AS$3=$AN78,0,1),0)</f>
        <v>0</v>
      </c>
      <c r="AQ78" s="69">
        <f t="shared" ca="1" si="91"/>
        <v>0</v>
      </c>
      <c r="AR78" s="69">
        <f t="shared" si="91"/>
        <v>0</v>
      </c>
      <c r="AS78" s="69">
        <f t="shared" ca="1" si="91"/>
        <v>0</v>
      </c>
      <c r="AT78" s="69">
        <f t="shared" ca="1" si="91"/>
        <v>0</v>
      </c>
      <c r="AU78" s="69">
        <f t="shared" ca="1" si="91"/>
        <v>0</v>
      </c>
      <c r="AV78" s="69">
        <f t="shared" si="91"/>
        <v>0</v>
      </c>
      <c r="AW78" s="69">
        <f t="shared" ca="1" si="66"/>
        <v>0</v>
      </c>
      <c r="AX78" s="69">
        <f t="shared" ca="1" si="33"/>
        <v>0</v>
      </c>
      <c r="AY78" s="69">
        <f t="shared" ca="1" si="34"/>
        <v>0</v>
      </c>
      <c r="AZ78" s="69">
        <f ca="1">$AO78*IF(Auswahllisten!$G$150,AZ$25+AZ$25*AZ$13*$AN78,AZ$25*(1+AZ$13)^$AN78)</f>
        <v>0</v>
      </c>
      <c r="BA78" s="69">
        <f ca="1">$AO78*IF(Auswahllisten!$G$150,BA$25+BA$25*BA$13*$AN78,BA$25*(1+BA$13)^$AN78)</f>
        <v>0</v>
      </c>
      <c r="BB78" s="69">
        <f ca="1">$AO78*IF(Auswahllisten!$G$150,BB$25+BB$25*BB$13*$AN78,BB$25*(1+BB$13)^$AN78)</f>
        <v>0</v>
      </c>
      <c r="BC78" s="69">
        <f ca="1">$AO78*IF(Auswahllisten!$G$150,BC$25+BC$25*BC$13*$AN78,BC$25*(1+BC$13)^$AN78)</f>
        <v>0</v>
      </c>
      <c r="BD78" s="69">
        <f t="shared" ca="1" si="35"/>
        <v>0</v>
      </c>
      <c r="BE78" s="69">
        <f t="shared" ca="1" si="36"/>
        <v>0</v>
      </c>
      <c r="BF78" s="69">
        <f t="shared" ca="1" si="37"/>
        <v>0</v>
      </c>
      <c r="BG78" s="69">
        <f t="shared" ca="1" si="38"/>
        <v>0</v>
      </c>
      <c r="BI78" s="69">
        <f t="shared" ca="1" si="61"/>
        <v>0</v>
      </c>
      <c r="BJ78" s="69">
        <f t="shared" ca="1" si="61"/>
        <v>0</v>
      </c>
      <c r="BK78" s="69">
        <f t="shared" si="61"/>
        <v>0</v>
      </c>
      <c r="BL78" s="69">
        <f t="shared" ref="BL78:BO86" ca="1" si="92">IFERROR($AO78*IF(MOD($AN78,BL$20)=0,BL$25,0)*(1+$AS$10)^$AN78*IF($AS$3=$AN78,0,1),0)</f>
        <v>0</v>
      </c>
      <c r="BM78" s="69">
        <f t="shared" ca="1" si="92"/>
        <v>0</v>
      </c>
      <c r="BN78" s="69">
        <f t="shared" ca="1" si="92"/>
        <v>0</v>
      </c>
      <c r="BO78" s="69">
        <f t="shared" si="92"/>
        <v>0</v>
      </c>
      <c r="BP78" s="69">
        <f t="shared" ca="1" si="74"/>
        <v>0</v>
      </c>
      <c r="BQ78" s="69">
        <f t="shared" ca="1" si="39"/>
        <v>0</v>
      </c>
      <c r="BR78" s="69">
        <f t="shared" ca="1" si="75"/>
        <v>0</v>
      </c>
      <c r="BS78" s="69">
        <f ca="1">$AO78*IF(Auswahllisten!$G$150,BS$25+BS$25*BS$13*$AN78,BS$25*(1+BS$13)^$AN78)</f>
        <v>0</v>
      </c>
      <c r="BT78" s="69">
        <f ca="1">$AO78*IF(Auswahllisten!$G$150,BT$25+BT$25*BT$13*$AN78,BT$25*(1+BT$13)^$AN78)</f>
        <v>0</v>
      </c>
      <c r="BU78" s="69">
        <f ca="1">$AO78*IF(Auswahllisten!$G$150,BU$25+BU$25*BU$13*$AN78,BU$25*(1+BU$13)^$AN78)</f>
        <v>0</v>
      </c>
      <c r="BV78" s="69">
        <f ca="1">$AO78*IF(Auswahllisten!$G$150,BV$25+BV$25*BV$13*$AN78,BV$25*(1+BV$13)^$AN78)</f>
        <v>0</v>
      </c>
      <c r="BW78" s="69">
        <f t="shared" ca="1" si="40"/>
        <v>0</v>
      </c>
      <c r="BX78" s="69">
        <f t="shared" ca="1" si="41"/>
        <v>0</v>
      </c>
      <c r="BY78" s="69">
        <f t="shared" ca="1" si="27"/>
        <v>0</v>
      </c>
      <c r="BZ78" s="69">
        <f t="shared" ca="1" si="28"/>
        <v>0</v>
      </c>
    </row>
    <row r="79" spans="1:78">
      <c r="A79" s="307" t="s">
        <v>1244</v>
      </c>
      <c r="B79" s="297" t="s">
        <v>1245</v>
      </c>
      <c r="C79" s="134" t="s">
        <v>359</v>
      </c>
      <c r="D79" s="163" t="str" cm="1">
        <f t="array" aca="1" ref="D79" ca="1">INDIRECT("Vergleich!"&amp;$G$2&amp;Z79)</f>
        <v>mittel</v>
      </c>
      <c r="E79" s="163" cm="1">
        <f t="array" aca="1" ref="E79" ca="1">INDIRECT("Investition_gewählt!"&amp;$I$5&amp;AA79)</f>
        <v>4500</v>
      </c>
      <c r="F79" s="61" cm="1">
        <f t="array" aca="1" ref="F79" ca="1">IF($C$5=0,0,INDEX(Faktoren!E65:GQ65,1,VLOOKUP($F$5,$L$2:$O$14,4,FALSE)+$C$9*5+VLOOKUP(D79,Auswahllisten!$E$25:$F$29,2,FALSE)))</f>
        <v>0</v>
      </c>
      <c r="G79" s="296">
        <f t="shared" ca="1" si="88"/>
        <v>0</v>
      </c>
      <c r="H79" s="296" cm="1">
        <f t="array" aca="1" ref="H79" ca="1">INDIRECT("Investition_gewählt!"&amp;$I$6&amp;AA79)</f>
        <v>4500</v>
      </c>
      <c r="I79" s="61" cm="1">
        <f t="array" aca="1" ref="I79" ca="1">IF($C$5=0,0,INDEX(Faktoren!E65:GQ65,1,VLOOKUP($F$6,$L$2:$O$14,4,FALSE)+$C$9*5+VLOOKUP(D79,Auswahllisten!$E$25:$F$29,2,FALSE)))</f>
        <v>0</v>
      </c>
      <c r="J79" s="163">
        <f t="shared" ca="1" si="89"/>
        <v>0</v>
      </c>
      <c r="K79" s="163">
        <f t="shared" ca="1" si="84"/>
        <v>0</v>
      </c>
      <c r="L79" s="93" t="b">
        <f t="shared" ca="1" si="85"/>
        <v>0</v>
      </c>
      <c r="M79" s="163">
        <f t="shared" ca="1" si="11"/>
        <v>0</v>
      </c>
      <c r="O79" s="93" t="str" cm="1">
        <f t="array" aca="1" ref="O79" ca="1">INDIRECT("Vergleich!"&amp;$Y$2&amp;Z79)</f>
        <v>gering</v>
      </c>
      <c r="P79" s="163" cm="1">
        <f t="array" aca="1" ref="P79" ca="1">INDIRECT("Investition_gewählt!"&amp;$AA$5&amp;AA79)</f>
        <v>4500</v>
      </c>
      <c r="Q79" s="93" cm="1">
        <f t="array" aca="1" ref="Q79" ca="1">IF($U$5=0,0,INDEX(Faktoren!E65:GQ65,1,VLOOKUP($X$5,$L$2:$O$14,4,FALSE)+$U$9*5+VLOOKUP(O79,Auswahllisten!$E$25:$F$29,2,FALSE)))</f>
        <v>0</v>
      </c>
      <c r="R79" s="163">
        <f t="shared" ca="1" si="86"/>
        <v>0</v>
      </c>
      <c r="S79" s="163" cm="1">
        <f t="array" aca="1" ref="S79" ca="1">INDIRECT("Investition_gewählt!"&amp;$AA$6&amp;AA79)</f>
        <v>4500</v>
      </c>
      <c r="T79" s="93" cm="1">
        <f t="array" aca="1" ref="T79" ca="1">IF($U$5=0,0,INDEX(Faktoren!E65:QG65,1,VLOOKUP($X$6,$L$3:$O$14,4,FALSE)+$U$9*5+VLOOKUP(O79,Auswahllisten!$E$25:$F$29,2,FALSE)))</f>
        <v>0</v>
      </c>
      <c r="U79" s="163">
        <f t="shared" ca="1" si="87"/>
        <v>0</v>
      </c>
      <c r="V79" s="163">
        <f t="shared" ca="1" si="14"/>
        <v>0</v>
      </c>
      <c r="W79" s="93" t="b">
        <f t="shared" ca="1" si="90"/>
        <v>0</v>
      </c>
      <c r="X79" s="163">
        <f t="shared" ca="1" si="16"/>
        <v>0</v>
      </c>
      <c r="Z79" s="1">
        <v>50</v>
      </c>
      <c r="AA79" s="1">
        <v>65</v>
      </c>
      <c r="AB79" s="1">
        <v>-2</v>
      </c>
      <c r="AN79" s="1">
        <v>54</v>
      </c>
      <c r="AO79" s="1">
        <f t="shared" si="22"/>
        <v>0</v>
      </c>
      <c r="AP79" s="69">
        <f t="shared" ca="1" si="91"/>
        <v>0</v>
      </c>
      <c r="AQ79" s="69">
        <f t="shared" ca="1" si="91"/>
        <v>0</v>
      </c>
      <c r="AR79" s="69">
        <f t="shared" si="91"/>
        <v>0</v>
      </c>
      <c r="AS79" s="69">
        <f t="shared" ca="1" si="91"/>
        <v>0</v>
      </c>
      <c r="AT79" s="69">
        <f t="shared" ca="1" si="91"/>
        <v>0</v>
      </c>
      <c r="AU79" s="69">
        <f t="shared" ca="1" si="91"/>
        <v>0</v>
      </c>
      <c r="AV79" s="69">
        <f t="shared" si="91"/>
        <v>0</v>
      </c>
      <c r="AW79" s="69">
        <f t="shared" ca="1" si="66"/>
        <v>0</v>
      </c>
      <c r="AX79" s="69">
        <f t="shared" ca="1" si="33"/>
        <v>0</v>
      </c>
      <c r="AY79" s="69">
        <f t="shared" ca="1" si="34"/>
        <v>0</v>
      </c>
      <c r="AZ79" s="69">
        <f ca="1">$AO79*IF(Auswahllisten!$G$150,AZ$25+AZ$25*AZ$13*$AN79,AZ$25*(1+AZ$13)^$AN79)</f>
        <v>0</v>
      </c>
      <c r="BA79" s="69">
        <f ca="1">$AO79*IF(Auswahllisten!$G$150,BA$25+BA$25*BA$13*$AN79,BA$25*(1+BA$13)^$AN79)</f>
        <v>0</v>
      </c>
      <c r="BB79" s="69">
        <f ca="1">$AO79*IF(Auswahllisten!$G$150,BB$25+BB$25*BB$13*$AN79,BB$25*(1+BB$13)^$AN79)</f>
        <v>0</v>
      </c>
      <c r="BC79" s="69">
        <f ca="1">$AO79*IF(Auswahllisten!$G$150,BC$25+BC$25*BC$13*$AN79,BC$25*(1+BC$13)^$AN79)</f>
        <v>0</v>
      </c>
      <c r="BD79" s="69">
        <f t="shared" ca="1" si="35"/>
        <v>0</v>
      </c>
      <c r="BE79" s="69">
        <f t="shared" ca="1" si="36"/>
        <v>0</v>
      </c>
      <c r="BF79" s="69">
        <f t="shared" ca="1" si="37"/>
        <v>0</v>
      </c>
      <c r="BG79" s="69">
        <f t="shared" ca="1" si="38"/>
        <v>0</v>
      </c>
      <c r="BI79" s="69">
        <f t="shared" ref="BI79:BO96" ca="1" si="93">IFERROR($AO79*IF(MOD($AN79,BI$20)=0,BI$25,0)*(1+$AS$10)^$AN79*IF($AS$3=$AN79,0,1),0)</f>
        <v>0</v>
      </c>
      <c r="BJ79" s="69">
        <f t="shared" ca="1" si="93"/>
        <v>0</v>
      </c>
      <c r="BK79" s="69">
        <f t="shared" si="93"/>
        <v>0</v>
      </c>
      <c r="BL79" s="69">
        <f t="shared" ca="1" si="93"/>
        <v>0</v>
      </c>
      <c r="BM79" s="69">
        <f t="shared" ca="1" si="92"/>
        <v>0</v>
      </c>
      <c r="BN79" s="69">
        <f t="shared" ca="1" si="92"/>
        <v>0</v>
      </c>
      <c r="BO79" s="69">
        <f t="shared" si="92"/>
        <v>0</v>
      </c>
      <c r="BP79" s="69">
        <f t="shared" ca="1" si="74"/>
        <v>0</v>
      </c>
      <c r="BQ79" s="69">
        <f t="shared" ca="1" si="39"/>
        <v>0</v>
      </c>
      <c r="BR79" s="69">
        <f t="shared" ca="1" si="75"/>
        <v>0</v>
      </c>
      <c r="BS79" s="69">
        <f ca="1">$AO79*IF(Auswahllisten!$G$150,BS$25+BS$25*BS$13*$AN79,BS$25*(1+BS$13)^$AN79)</f>
        <v>0</v>
      </c>
      <c r="BT79" s="69">
        <f ca="1">$AO79*IF(Auswahllisten!$G$150,BT$25+BT$25*BT$13*$AN79,BT$25*(1+BT$13)^$AN79)</f>
        <v>0</v>
      </c>
      <c r="BU79" s="69">
        <f ca="1">$AO79*IF(Auswahllisten!$G$150,BU$25+BU$25*BU$13*$AN79,BU$25*(1+BU$13)^$AN79)</f>
        <v>0</v>
      </c>
      <c r="BV79" s="69">
        <f ca="1">$AO79*IF(Auswahllisten!$G$150,BV$25+BV$25*BV$13*$AN79,BV$25*(1+BV$13)^$AN79)</f>
        <v>0</v>
      </c>
      <c r="BW79" s="69">
        <f t="shared" ca="1" si="40"/>
        <v>0</v>
      </c>
      <c r="BX79" s="69">
        <f t="shared" ca="1" si="41"/>
        <v>0</v>
      </c>
      <c r="BY79" s="69">
        <f t="shared" ca="1" si="27"/>
        <v>0</v>
      </c>
      <c r="BZ79" s="69">
        <f t="shared" ca="1" si="28"/>
        <v>0</v>
      </c>
    </row>
    <row r="80" spans="1:78">
      <c r="A80" s="125"/>
      <c r="B80" s="64"/>
      <c r="C80" s="64"/>
      <c r="D80" s="69"/>
      <c r="E80" s="69"/>
      <c r="G80" s="69"/>
      <c r="H80" s="69"/>
      <c r="J80" s="69"/>
      <c r="K80" s="69"/>
      <c r="M80" s="69"/>
      <c r="P80" s="69"/>
      <c r="R80" s="69"/>
      <c r="S80" s="69"/>
      <c r="U80" s="69"/>
      <c r="V80" s="69"/>
      <c r="X80" s="69"/>
      <c r="AA80" s="1">
        <v>66</v>
      </c>
      <c r="AB80" s="1">
        <v>-2</v>
      </c>
      <c r="AN80" s="1">
        <v>55</v>
      </c>
      <c r="AO80" s="1">
        <f t="shared" si="22"/>
        <v>0</v>
      </c>
      <c r="AP80" s="69">
        <f t="shared" ca="1" si="91"/>
        <v>0</v>
      </c>
      <c r="AQ80" s="69">
        <f t="shared" ca="1" si="91"/>
        <v>0</v>
      </c>
      <c r="AR80" s="69">
        <f t="shared" si="91"/>
        <v>0</v>
      </c>
      <c r="AS80" s="69">
        <f t="shared" ca="1" si="91"/>
        <v>0</v>
      </c>
      <c r="AT80" s="69">
        <f t="shared" ca="1" si="91"/>
        <v>0</v>
      </c>
      <c r="AU80" s="69">
        <f t="shared" ca="1" si="91"/>
        <v>0</v>
      </c>
      <c r="AV80" s="69">
        <f t="shared" si="91"/>
        <v>0</v>
      </c>
      <c r="AW80" s="69">
        <f t="shared" ca="1" si="66"/>
        <v>0</v>
      </c>
      <c r="AX80" s="69">
        <f t="shared" ca="1" si="33"/>
        <v>0</v>
      </c>
      <c r="AY80" s="69">
        <f t="shared" ca="1" si="34"/>
        <v>0</v>
      </c>
      <c r="AZ80" s="69">
        <f ca="1">$AO80*IF(Auswahllisten!$G$150,AZ$25+AZ$25*AZ$13*$AN80,AZ$25*(1+AZ$13)^$AN80)</f>
        <v>0</v>
      </c>
      <c r="BA80" s="69">
        <f ca="1">$AO80*IF(Auswahllisten!$G$150,BA$25+BA$25*BA$13*$AN80,BA$25*(1+BA$13)^$AN80)</f>
        <v>0</v>
      </c>
      <c r="BB80" s="69">
        <f ca="1">$AO80*IF(Auswahllisten!$G$150,BB$25+BB$25*BB$13*$AN80,BB$25*(1+BB$13)^$AN80)</f>
        <v>0</v>
      </c>
      <c r="BC80" s="69">
        <f ca="1">$AO80*IF(Auswahllisten!$G$150,BC$25+BC$25*BC$13*$AN80,BC$25*(1+BC$13)^$AN80)</f>
        <v>0</v>
      </c>
      <c r="BD80" s="69">
        <f t="shared" ca="1" si="35"/>
        <v>0</v>
      </c>
      <c r="BE80" s="69">
        <f t="shared" ca="1" si="36"/>
        <v>0</v>
      </c>
      <c r="BF80" s="69">
        <f t="shared" ca="1" si="37"/>
        <v>0</v>
      </c>
      <c r="BG80" s="69">
        <f t="shared" ca="1" si="38"/>
        <v>0</v>
      </c>
      <c r="BI80" s="69">
        <f t="shared" ca="1" si="93"/>
        <v>0</v>
      </c>
      <c r="BJ80" s="69">
        <f t="shared" ca="1" si="93"/>
        <v>0</v>
      </c>
      <c r="BK80" s="69">
        <f t="shared" si="93"/>
        <v>0</v>
      </c>
      <c r="BL80" s="69">
        <f t="shared" ca="1" si="93"/>
        <v>0</v>
      </c>
      <c r="BM80" s="69">
        <f t="shared" ca="1" si="92"/>
        <v>0</v>
      </c>
      <c r="BN80" s="69">
        <f t="shared" ca="1" si="92"/>
        <v>0</v>
      </c>
      <c r="BO80" s="69">
        <f t="shared" si="92"/>
        <v>0</v>
      </c>
      <c r="BP80" s="69">
        <f t="shared" ca="1" si="74"/>
        <v>0</v>
      </c>
      <c r="BQ80" s="69">
        <f t="shared" ca="1" si="39"/>
        <v>0</v>
      </c>
      <c r="BR80" s="69">
        <f t="shared" ca="1" si="75"/>
        <v>0</v>
      </c>
      <c r="BS80" s="69">
        <f ca="1">$AO80*IF(Auswahllisten!$G$150,BS$25+BS$25*BS$13*$AN80,BS$25*(1+BS$13)^$AN80)</f>
        <v>0</v>
      </c>
      <c r="BT80" s="69">
        <f ca="1">$AO80*IF(Auswahllisten!$G$150,BT$25+BT$25*BT$13*$AN80,BT$25*(1+BT$13)^$AN80)</f>
        <v>0</v>
      </c>
      <c r="BU80" s="69">
        <f ca="1">$AO80*IF(Auswahllisten!$G$150,BU$25+BU$25*BU$13*$AN80,BU$25*(1+BU$13)^$AN80)</f>
        <v>0</v>
      </c>
      <c r="BV80" s="69">
        <f ca="1">$AO80*IF(Auswahllisten!$G$150,BV$25+BV$25*BV$13*$AN80,BV$25*(1+BV$13)^$AN80)</f>
        <v>0</v>
      </c>
      <c r="BW80" s="69">
        <f t="shared" ca="1" si="40"/>
        <v>0</v>
      </c>
      <c r="BX80" s="69">
        <f t="shared" ca="1" si="41"/>
        <v>0</v>
      </c>
      <c r="BY80" s="69">
        <f t="shared" ca="1" si="27"/>
        <v>0</v>
      </c>
      <c r="BZ80" s="69">
        <f t="shared" ca="1" si="28"/>
        <v>0</v>
      </c>
    </row>
    <row r="81" spans="1:78">
      <c r="A81" s="125" t="s">
        <v>1002</v>
      </c>
      <c r="B81" s="125" t="s">
        <v>1810</v>
      </c>
      <c r="C81" s="125"/>
      <c r="D81" s="69"/>
      <c r="E81" s="69"/>
      <c r="G81" s="69"/>
      <c r="H81" s="69"/>
      <c r="J81" s="69"/>
      <c r="K81" s="69"/>
      <c r="L81" s="155">
        <v>14</v>
      </c>
      <c r="M81" s="69"/>
      <c r="P81" s="69"/>
      <c r="R81" s="69"/>
      <c r="S81" s="69"/>
      <c r="U81" s="69"/>
      <c r="V81" s="69"/>
      <c r="X81" s="69"/>
      <c r="AA81" s="1">
        <v>67</v>
      </c>
      <c r="AB81" s="1">
        <v>-2</v>
      </c>
      <c r="AN81" s="1">
        <v>56</v>
      </c>
      <c r="AO81" s="1">
        <f t="shared" si="22"/>
        <v>0</v>
      </c>
      <c r="AP81" s="69">
        <f t="shared" ca="1" si="91"/>
        <v>0</v>
      </c>
      <c r="AQ81" s="69">
        <f t="shared" ca="1" si="91"/>
        <v>0</v>
      </c>
      <c r="AR81" s="69">
        <f t="shared" si="91"/>
        <v>0</v>
      </c>
      <c r="AS81" s="69">
        <f t="shared" ca="1" si="91"/>
        <v>0</v>
      </c>
      <c r="AT81" s="69">
        <f t="shared" ca="1" si="91"/>
        <v>0</v>
      </c>
      <c r="AU81" s="69">
        <f t="shared" ca="1" si="91"/>
        <v>0</v>
      </c>
      <c r="AV81" s="69">
        <f t="shared" si="91"/>
        <v>0</v>
      </c>
      <c r="AW81" s="69">
        <f t="shared" ca="1" si="66"/>
        <v>0</v>
      </c>
      <c r="AX81" s="69">
        <f t="shared" ca="1" si="33"/>
        <v>0</v>
      </c>
      <c r="AY81" s="69">
        <f t="shared" ca="1" si="34"/>
        <v>0</v>
      </c>
      <c r="AZ81" s="69">
        <f ca="1">$AO81*IF(Auswahllisten!$G$150,AZ$25+AZ$25*AZ$13*$AN81,AZ$25*(1+AZ$13)^$AN81)</f>
        <v>0</v>
      </c>
      <c r="BA81" s="69">
        <f ca="1">$AO81*IF(Auswahllisten!$G$150,BA$25+BA$25*BA$13*$AN81,BA$25*(1+BA$13)^$AN81)</f>
        <v>0</v>
      </c>
      <c r="BB81" s="69">
        <f ca="1">$AO81*IF(Auswahllisten!$G$150,BB$25+BB$25*BB$13*$AN81,BB$25*(1+BB$13)^$AN81)</f>
        <v>0</v>
      </c>
      <c r="BC81" s="69">
        <f ca="1">$AO81*IF(Auswahllisten!$G$150,BC$25+BC$25*BC$13*$AN81,BC$25*(1+BC$13)^$AN81)</f>
        <v>0</v>
      </c>
      <c r="BD81" s="69">
        <f t="shared" ca="1" si="35"/>
        <v>0</v>
      </c>
      <c r="BE81" s="69">
        <f t="shared" ca="1" si="36"/>
        <v>0</v>
      </c>
      <c r="BF81" s="69">
        <f t="shared" ca="1" si="37"/>
        <v>0</v>
      </c>
      <c r="BG81" s="69">
        <f t="shared" ca="1" si="38"/>
        <v>0</v>
      </c>
      <c r="BI81" s="69">
        <f t="shared" ca="1" si="93"/>
        <v>0</v>
      </c>
      <c r="BJ81" s="69">
        <f t="shared" ca="1" si="93"/>
        <v>0</v>
      </c>
      <c r="BK81" s="69">
        <f t="shared" si="93"/>
        <v>0</v>
      </c>
      <c r="BL81" s="69">
        <f t="shared" ca="1" si="93"/>
        <v>0</v>
      </c>
      <c r="BM81" s="69">
        <f t="shared" ca="1" si="92"/>
        <v>0</v>
      </c>
      <c r="BN81" s="69">
        <f t="shared" ca="1" si="92"/>
        <v>0</v>
      </c>
      <c r="BO81" s="69">
        <f t="shared" si="92"/>
        <v>0</v>
      </c>
      <c r="BP81" s="69">
        <f t="shared" ca="1" si="74"/>
        <v>0</v>
      </c>
      <c r="BQ81" s="69">
        <f t="shared" ca="1" si="39"/>
        <v>0</v>
      </c>
      <c r="BR81" s="69">
        <f t="shared" ca="1" si="75"/>
        <v>0</v>
      </c>
      <c r="BS81" s="69">
        <f ca="1">$AO81*IF(Auswahllisten!$G$150,BS$25+BS$25*BS$13*$AN81,BS$25*(1+BS$13)^$AN81)</f>
        <v>0</v>
      </c>
      <c r="BT81" s="69">
        <f ca="1">$AO81*IF(Auswahllisten!$G$150,BT$25+BT$25*BT$13*$AN81,BT$25*(1+BT$13)^$AN81)</f>
        <v>0</v>
      </c>
      <c r="BU81" s="69">
        <f ca="1">$AO81*IF(Auswahllisten!$G$150,BU$25+BU$25*BU$13*$AN81,BU$25*(1+BU$13)^$AN81)</f>
        <v>0</v>
      </c>
      <c r="BV81" s="69">
        <f ca="1">$AO81*IF(Auswahllisten!$G$150,BV$25+BV$25*BV$13*$AN81,BV$25*(1+BV$13)^$AN81)</f>
        <v>0</v>
      </c>
      <c r="BW81" s="69">
        <f t="shared" ca="1" si="40"/>
        <v>0</v>
      </c>
      <c r="BX81" s="69">
        <f t="shared" ca="1" si="41"/>
        <v>0</v>
      </c>
      <c r="BY81" s="69">
        <f t="shared" ca="1" si="27"/>
        <v>0</v>
      </c>
      <c r="BZ81" s="69">
        <f t="shared" ca="1" si="28"/>
        <v>0</v>
      </c>
    </row>
    <row r="82" spans="1:78">
      <c r="A82" s="304" t="s">
        <v>1217</v>
      </c>
      <c r="B82" s="131" t="s">
        <v>1242</v>
      </c>
      <c r="C82" s="131" t="s">
        <v>246</v>
      </c>
      <c r="D82" s="162" t="str" cm="1">
        <f t="array" aca="1" ref="D82" ca="1">INDIRECT("Vergleich!"&amp;$G$2&amp;Z82)</f>
        <v>mittel</v>
      </c>
      <c r="E82" s="162" cm="1">
        <f t="array" aca="1" ref="E82" ca="1">INDIRECT("Investition_gewählt!"&amp;$I$5&amp;AA82)</f>
        <v>20800</v>
      </c>
      <c r="F82" s="25" cm="1">
        <f t="array" aca="1" ref="F82" ca="1">IF($C$5=0,0,INDEX(Faktoren!E68:GQ68,1,VLOOKUP($F$5,$L$2:$O$14,4,FALSE)+$C$9*5+VLOOKUP(D82,Auswahllisten!$E$25:$F$29,2,FALSE)))</f>
        <v>0</v>
      </c>
      <c r="G82" s="162">
        <f ca="1">E82*F82</f>
        <v>0</v>
      </c>
      <c r="H82" s="162" cm="1">
        <f t="array" aca="1" ref="H82" ca="1">INDIRECT("Investition_gewählt!"&amp;$I$6&amp;AA82)</f>
        <v>20800</v>
      </c>
      <c r="I82" s="25" cm="1">
        <f t="array" aca="1" ref="I82" ca="1">IF($C$5=0,0,INDEX(Faktoren!E68:GQ68,1,VLOOKUP($F$6,$L$2:$O$14,4,FALSE)+$C$9*5+VLOOKUP(D82,Auswahllisten!$E$25:$F$29,2,FALSE)))</f>
        <v>0</v>
      </c>
      <c r="J82" s="162">
        <f ca="1">H82*I82</f>
        <v>0</v>
      </c>
      <c r="K82" s="162">
        <f t="shared" ref="K82:K89" ca="1" si="94">IF($C$5=0,0,G82+(J82-G82)*($C$6-$F$5)/($F$6-$F$5))</f>
        <v>0</v>
      </c>
      <c r="L82" s="25" t="b">
        <f ca="1">($C$5=$L$81)</f>
        <v>0</v>
      </c>
      <c r="M82" s="162">
        <f t="shared" ref="M82:M89" ca="1" si="95">IFERROR(ROUND(K82*L82,AB82),0)</f>
        <v>0</v>
      </c>
      <c r="O82" s="25" t="str" cm="1">
        <f t="array" aca="1" ref="O82" ca="1">INDIRECT("Vergleich!"&amp;$Y$2&amp;Z82)</f>
        <v>gering</v>
      </c>
      <c r="P82" s="162" cm="1">
        <f t="array" aca="1" ref="P82" ca="1">INDIRECT("Investition_gewählt!"&amp;$AA$5&amp;AA82)</f>
        <v>20800</v>
      </c>
      <c r="Q82" s="25" cm="1">
        <f t="array" aca="1" ref="Q82" ca="1">IF($U$5=0,0,INDEX(Faktoren!E68:GQ68,1,VLOOKUP($X$5,$L$2:$O$14,4,FALSE)+$U$9*5+VLOOKUP(O82,Auswahllisten!$E$25:$F$29,2,FALSE)))</f>
        <v>0</v>
      </c>
      <c r="R82" s="162">
        <f t="shared" ref="R82:R89" ca="1" si="96">P82*Q82</f>
        <v>0</v>
      </c>
      <c r="S82" s="162" cm="1">
        <f t="array" aca="1" ref="S82" ca="1">INDIRECT("Investition_gewählt!"&amp;$AA$6&amp;AA82)</f>
        <v>20800</v>
      </c>
      <c r="T82" s="25" cm="1">
        <f t="array" aca="1" ref="T82" ca="1">IF($U$5=0,0,INDEX(Faktoren!E68:QG68,1,VLOOKUP($X$6,$L$3:$O$14,4,FALSE)+$U$9*5+VLOOKUP(O82,Auswahllisten!$E$25:$F$29,2,FALSE)))</f>
        <v>0</v>
      </c>
      <c r="U82" s="162">
        <f t="shared" ref="U82:U89" ca="1" si="97">S82*T82</f>
        <v>0</v>
      </c>
      <c r="V82" s="162">
        <f t="shared" ca="1" si="14"/>
        <v>0</v>
      </c>
      <c r="W82" s="25" t="b">
        <f ca="1">($U$5=$L$81)</f>
        <v>0</v>
      </c>
      <c r="X82" s="162">
        <f t="shared" ref="X82:X89" ca="1" si="98">IFERROR(ROUND(V82*W82,AB82),0)</f>
        <v>0</v>
      </c>
      <c r="Z82" s="1">
        <v>31</v>
      </c>
      <c r="AA82" s="1">
        <v>68</v>
      </c>
      <c r="AB82" s="1">
        <v>-2</v>
      </c>
      <c r="AN82" s="1">
        <v>57</v>
      </c>
      <c r="AO82" s="1">
        <f t="shared" si="22"/>
        <v>0</v>
      </c>
      <c r="AP82" s="69">
        <f t="shared" ca="1" si="91"/>
        <v>0</v>
      </c>
      <c r="AQ82" s="69">
        <f t="shared" ca="1" si="91"/>
        <v>0</v>
      </c>
      <c r="AR82" s="69">
        <f t="shared" si="91"/>
        <v>0</v>
      </c>
      <c r="AS82" s="69">
        <f t="shared" ca="1" si="91"/>
        <v>0</v>
      </c>
      <c r="AT82" s="69">
        <f t="shared" ca="1" si="91"/>
        <v>0</v>
      </c>
      <c r="AU82" s="69">
        <f t="shared" ca="1" si="91"/>
        <v>0</v>
      </c>
      <c r="AV82" s="69">
        <f t="shared" si="91"/>
        <v>0</v>
      </c>
      <c r="AW82" s="69">
        <f t="shared" ca="1" si="66"/>
        <v>0</v>
      </c>
      <c r="AX82" s="69">
        <f t="shared" ca="1" si="33"/>
        <v>0</v>
      </c>
      <c r="AY82" s="69">
        <f t="shared" ca="1" si="34"/>
        <v>0</v>
      </c>
      <c r="AZ82" s="69">
        <f ca="1">$AO82*IF(Auswahllisten!$G$150,AZ$25+AZ$25*AZ$13*$AN82,AZ$25*(1+AZ$13)^$AN82)</f>
        <v>0</v>
      </c>
      <c r="BA82" s="69">
        <f ca="1">$AO82*IF(Auswahllisten!$G$150,BA$25+BA$25*BA$13*$AN82,BA$25*(1+BA$13)^$AN82)</f>
        <v>0</v>
      </c>
      <c r="BB82" s="69">
        <f ca="1">$AO82*IF(Auswahllisten!$G$150,BB$25+BB$25*BB$13*$AN82,BB$25*(1+BB$13)^$AN82)</f>
        <v>0</v>
      </c>
      <c r="BC82" s="69">
        <f ca="1">$AO82*IF(Auswahllisten!$G$150,BC$25+BC$25*BC$13*$AN82,BC$25*(1+BC$13)^$AN82)</f>
        <v>0</v>
      </c>
      <c r="BD82" s="69">
        <f t="shared" ca="1" si="35"/>
        <v>0</v>
      </c>
      <c r="BE82" s="69">
        <f t="shared" ca="1" si="36"/>
        <v>0</v>
      </c>
      <c r="BF82" s="69">
        <f t="shared" ca="1" si="37"/>
        <v>0</v>
      </c>
      <c r="BG82" s="69">
        <f t="shared" ca="1" si="38"/>
        <v>0</v>
      </c>
      <c r="BI82" s="69">
        <f t="shared" ca="1" si="93"/>
        <v>0</v>
      </c>
      <c r="BJ82" s="69">
        <f t="shared" ca="1" si="93"/>
        <v>0</v>
      </c>
      <c r="BK82" s="69">
        <f t="shared" si="93"/>
        <v>0</v>
      </c>
      <c r="BL82" s="69">
        <f t="shared" ca="1" si="93"/>
        <v>0</v>
      </c>
      <c r="BM82" s="69">
        <f t="shared" ca="1" si="92"/>
        <v>0</v>
      </c>
      <c r="BN82" s="69">
        <f t="shared" ca="1" si="92"/>
        <v>0</v>
      </c>
      <c r="BO82" s="69">
        <f t="shared" si="92"/>
        <v>0</v>
      </c>
      <c r="BP82" s="69">
        <f t="shared" ca="1" si="74"/>
        <v>0</v>
      </c>
      <c r="BQ82" s="69">
        <f t="shared" ca="1" si="39"/>
        <v>0</v>
      </c>
      <c r="BR82" s="69">
        <f t="shared" ca="1" si="75"/>
        <v>0</v>
      </c>
      <c r="BS82" s="69">
        <f ca="1">$AO82*IF(Auswahllisten!$G$150,BS$25+BS$25*BS$13*$AN82,BS$25*(1+BS$13)^$AN82)</f>
        <v>0</v>
      </c>
      <c r="BT82" s="69">
        <f ca="1">$AO82*IF(Auswahllisten!$G$150,BT$25+BT$25*BT$13*$AN82,BT$25*(1+BT$13)^$AN82)</f>
        <v>0</v>
      </c>
      <c r="BU82" s="69">
        <f ca="1">$AO82*IF(Auswahllisten!$G$150,BU$25+BU$25*BU$13*$AN82,BU$25*(1+BU$13)^$AN82)</f>
        <v>0</v>
      </c>
      <c r="BV82" s="69">
        <f ca="1">$AO82*IF(Auswahllisten!$G$150,BV$25+BV$25*BV$13*$AN82,BV$25*(1+BV$13)^$AN82)</f>
        <v>0</v>
      </c>
      <c r="BW82" s="69">
        <f t="shared" ca="1" si="40"/>
        <v>0</v>
      </c>
      <c r="BX82" s="69">
        <f t="shared" ca="1" si="41"/>
        <v>0</v>
      </c>
      <c r="BY82" s="69">
        <f t="shared" ca="1" si="27"/>
        <v>0</v>
      </c>
      <c r="BZ82" s="69">
        <f t="shared" ca="1" si="28"/>
        <v>0</v>
      </c>
    </row>
    <row r="83" spans="1:78">
      <c r="A83" s="305" t="s">
        <v>1215</v>
      </c>
      <c r="B83" s="126" t="s">
        <v>303</v>
      </c>
      <c r="C83" s="126" t="s">
        <v>235</v>
      </c>
      <c r="D83" s="26" t="str" cm="1">
        <f t="array" aca="1" ref="D83" ca="1">INDIRECT("Vergleich!"&amp;$G$2&amp;Z83)</f>
        <v>mittel</v>
      </c>
      <c r="E83" s="26" cm="1">
        <f t="array" aca="1" ref="E83" ca="1">INDIRECT("Investition_gewählt!"&amp;$I$5&amp;AA83)</f>
        <v>15200</v>
      </c>
      <c r="F83" s="25" cm="1">
        <f t="array" aca="1" ref="F83" ca="1">IF($C$5=0,0,INDEX(Faktoren!E69:GQ69,1,VLOOKUP($F$5,$L$2:$O$14,4,FALSE)+$C$9*5+VLOOKUP(D83,Auswahllisten!$E$25:$F$29,2,FALSE)))</f>
        <v>0</v>
      </c>
      <c r="G83" s="26">
        <f t="shared" ref="G83:G89" ca="1" si="99">E83*F83</f>
        <v>0</v>
      </c>
      <c r="H83" s="26" cm="1">
        <f t="array" aca="1" ref="H83" ca="1">INDIRECT("Investition_gewählt!"&amp;$I$6&amp;AA83)</f>
        <v>15200</v>
      </c>
      <c r="I83" s="25" cm="1">
        <f t="array" aca="1" ref="I83" ca="1">IF($C$5=0,0,INDEX(Faktoren!E69:GQ69,1,VLOOKUP($F$6,$L$2:$O$14,4,FALSE)+$C$9*5+VLOOKUP(D83,Auswahllisten!$E$25:$F$29,2,FALSE)))</f>
        <v>0</v>
      </c>
      <c r="J83" s="26">
        <f t="shared" ref="J83:J89" ca="1" si="100">H83*I83</f>
        <v>0</v>
      </c>
      <c r="K83" s="26">
        <f t="shared" ca="1" si="94"/>
        <v>0</v>
      </c>
      <c r="L83" s="16" t="b">
        <f ca="1">($C$5=$L$81)</f>
        <v>0</v>
      </c>
      <c r="M83" s="26">
        <f t="shared" ca="1" si="95"/>
        <v>0</v>
      </c>
      <c r="O83" s="16" t="str" cm="1">
        <f t="array" aca="1" ref="O83" ca="1">INDIRECT("Vergleich!"&amp;$Y$2&amp;Z83)</f>
        <v>gering</v>
      </c>
      <c r="P83" s="26" cm="1">
        <f t="array" aca="1" ref="P83" ca="1">INDIRECT("Investition_gewählt!"&amp;$AA$5&amp;AA83)</f>
        <v>15200</v>
      </c>
      <c r="Q83" s="16" cm="1">
        <f t="array" aca="1" ref="Q83" ca="1">IF($U$5=0,0,INDEX(Faktoren!E69:GQ69,1,VLOOKUP($X$5,$L$2:$O$14,4,FALSE)+$U$9*5+VLOOKUP(O83,Auswahllisten!$E$25:$F$29,2,FALSE)))</f>
        <v>0</v>
      </c>
      <c r="R83" s="26">
        <f t="shared" ca="1" si="96"/>
        <v>0</v>
      </c>
      <c r="S83" s="26" cm="1">
        <f t="array" aca="1" ref="S83" ca="1">INDIRECT("Investition_gewählt!"&amp;$AA$6&amp;AA83)</f>
        <v>15200</v>
      </c>
      <c r="T83" s="16" cm="1">
        <f t="array" aca="1" ref="T83" ca="1">IF($U$5=0,0,INDEX(Faktoren!E69:QG69,1,VLOOKUP($X$6,$L$3:$O$14,4,FALSE)+$U$9*5+VLOOKUP(O83,Auswahllisten!$E$25:$F$29,2,FALSE)))</f>
        <v>0</v>
      </c>
      <c r="U83" s="26">
        <f t="shared" ca="1" si="97"/>
        <v>0</v>
      </c>
      <c r="V83" s="26">
        <f t="shared" ca="1" si="14"/>
        <v>0</v>
      </c>
      <c r="W83" s="16" t="b">
        <f t="shared" ref="W83:W89" ca="1" si="101">($U$5=$L$81)</f>
        <v>0</v>
      </c>
      <c r="X83" s="26">
        <f t="shared" ca="1" si="98"/>
        <v>0</v>
      </c>
      <c r="Z83" s="1">
        <v>40</v>
      </c>
      <c r="AA83" s="1">
        <v>69</v>
      </c>
      <c r="AB83" s="1">
        <v>-2</v>
      </c>
      <c r="AN83" s="1">
        <v>58</v>
      </c>
      <c r="AO83" s="1">
        <f t="shared" si="22"/>
        <v>0</v>
      </c>
      <c r="AP83" s="69">
        <f t="shared" ca="1" si="91"/>
        <v>0</v>
      </c>
      <c r="AQ83" s="69">
        <f t="shared" ca="1" si="91"/>
        <v>0</v>
      </c>
      <c r="AR83" s="69">
        <f t="shared" si="91"/>
        <v>0</v>
      </c>
      <c r="AS83" s="69">
        <f t="shared" ca="1" si="91"/>
        <v>0</v>
      </c>
      <c r="AT83" s="69">
        <f t="shared" ca="1" si="91"/>
        <v>0</v>
      </c>
      <c r="AU83" s="69">
        <f t="shared" ca="1" si="91"/>
        <v>0</v>
      </c>
      <c r="AV83" s="69">
        <f t="shared" si="91"/>
        <v>0</v>
      </c>
      <c r="AW83" s="69">
        <f t="shared" ca="1" si="66"/>
        <v>0</v>
      </c>
      <c r="AX83" s="69">
        <f t="shared" ca="1" si="33"/>
        <v>0</v>
      </c>
      <c r="AY83" s="69">
        <f t="shared" ca="1" si="34"/>
        <v>0</v>
      </c>
      <c r="AZ83" s="69">
        <f ca="1">$AO83*IF(Auswahllisten!$G$150,AZ$25+AZ$25*AZ$13*$AN83,AZ$25*(1+AZ$13)^$AN83)</f>
        <v>0</v>
      </c>
      <c r="BA83" s="69">
        <f ca="1">$AO83*IF(Auswahllisten!$G$150,BA$25+BA$25*BA$13*$AN83,BA$25*(1+BA$13)^$AN83)</f>
        <v>0</v>
      </c>
      <c r="BB83" s="69">
        <f ca="1">$AO83*IF(Auswahllisten!$G$150,BB$25+BB$25*BB$13*$AN83,BB$25*(1+BB$13)^$AN83)</f>
        <v>0</v>
      </c>
      <c r="BC83" s="69">
        <f ca="1">$AO83*IF(Auswahllisten!$G$150,BC$25+BC$25*BC$13*$AN83,BC$25*(1+BC$13)^$AN83)</f>
        <v>0</v>
      </c>
      <c r="BD83" s="69">
        <f t="shared" ca="1" si="35"/>
        <v>0</v>
      </c>
      <c r="BE83" s="69">
        <f t="shared" ca="1" si="36"/>
        <v>0</v>
      </c>
      <c r="BF83" s="69">
        <f t="shared" ca="1" si="37"/>
        <v>0</v>
      </c>
      <c r="BG83" s="69">
        <f t="shared" ca="1" si="38"/>
        <v>0</v>
      </c>
      <c r="BI83" s="69">
        <f t="shared" ca="1" si="93"/>
        <v>0</v>
      </c>
      <c r="BJ83" s="69">
        <f t="shared" ca="1" si="93"/>
        <v>0</v>
      </c>
      <c r="BK83" s="69">
        <f t="shared" si="93"/>
        <v>0</v>
      </c>
      <c r="BL83" s="69">
        <f t="shared" ca="1" si="93"/>
        <v>0</v>
      </c>
      <c r="BM83" s="69">
        <f t="shared" ca="1" si="92"/>
        <v>0</v>
      </c>
      <c r="BN83" s="69">
        <f t="shared" ca="1" si="92"/>
        <v>0</v>
      </c>
      <c r="BO83" s="69">
        <f t="shared" si="92"/>
        <v>0</v>
      </c>
      <c r="BP83" s="69">
        <f t="shared" ca="1" si="74"/>
        <v>0</v>
      </c>
      <c r="BQ83" s="69">
        <f t="shared" ca="1" si="39"/>
        <v>0</v>
      </c>
      <c r="BR83" s="69">
        <f t="shared" ca="1" si="75"/>
        <v>0</v>
      </c>
      <c r="BS83" s="69">
        <f ca="1">$AO83*IF(Auswahllisten!$G$150,BS$25+BS$25*BS$13*$AN83,BS$25*(1+BS$13)^$AN83)</f>
        <v>0</v>
      </c>
      <c r="BT83" s="69">
        <f ca="1">$AO83*IF(Auswahllisten!$G$150,BT$25+BT$25*BT$13*$AN83,BT$25*(1+BT$13)^$AN83)</f>
        <v>0</v>
      </c>
      <c r="BU83" s="69">
        <f ca="1">$AO83*IF(Auswahllisten!$G$150,BU$25+BU$25*BU$13*$AN83,BU$25*(1+BU$13)^$AN83)</f>
        <v>0</v>
      </c>
      <c r="BV83" s="69">
        <f ca="1">$AO83*IF(Auswahllisten!$G$150,BV$25+BV$25*BV$13*$AN83,BV$25*(1+BV$13)^$AN83)</f>
        <v>0</v>
      </c>
      <c r="BW83" s="69">
        <f t="shared" ca="1" si="40"/>
        <v>0</v>
      </c>
      <c r="BX83" s="69">
        <f t="shared" ca="1" si="41"/>
        <v>0</v>
      </c>
      <c r="BY83" s="69">
        <f t="shared" ca="1" si="27"/>
        <v>0</v>
      </c>
      <c r="BZ83" s="69">
        <f t="shared" ca="1" si="28"/>
        <v>0</v>
      </c>
    </row>
    <row r="84" spans="1:78">
      <c r="A84" s="305" t="s">
        <v>1215</v>
      </c>
      <c r="B84" s="126" t="s">
        <v>303</v>
      </c>
      <c r="C84" s="126" t="s">
        <v>965</v>
      </c>
      <c r="D84" s="26" t="str" cm="1">
        <f t="array" aca="1" ref="D84" ca="1">INDIRECT("Vergleich!"&amp;$G$2&amp;Z84)</f>
        <v>mittel</v>
      </c>
      <c r="E84" s="26" cm="1">
        <f t="array" aca="1" ref="E84" ca="1">INDIRECT("Investition_gewählt!"&amp;$I$5&amp;AA84)</f>
        <v>3600</v>
      </c>
      <c r="F84" s="25" cm="1">
        <f t="array" aca="1" ref="F84" ca="1">IF($C$5=0,0,INDEX(Faktoren!E70:GQ70,1,VLOOKUP($F$5,$L$2:$O$14,4,FALSE)+$C$9*5+VLOOKUP(D84,Auswahllisten!$E$25:$F$29,2,FALSE)))</f>
        <v>0</v>
      </c>
      <c r="G84" s="26">
        <f t="shared" ca="1" si="99"/>
        <v>0</v>
      </c>
      <c r="H84" s="26" cm="1">
        <f t="array" aca="1" ref="H84" ca="1">INDIRECT("Investition_gewählt!"&amp;$I$6&amp;AA84)</f>
        <v>3600</v>
      </c>
      <c r="I84" s="25" cm="1">
        <f t="array" aca="1" ref="I84" ca="1">IF($C$5=0,0,INDEX(Faktoren!E70:GQ70,1,VLOOKUP($F$6,$L$2:$O$14,4,FALSE)+$C$9*5+VLOOKUP(D84,Auswahllisten!$E$25:$F$29,2,FALSE)))</f>
        <v>0</v>
      </c>
      <c r="J84" s="26">
        <f t="shared" ca="1" si="100"/>
        <v>0</v>
      </c>
      <c r="K84" s="26">
        <f t="shared" ca="1" si="94"/>
        <v>0</v>
      </c>
      <c r="L84" s="16" t="b">
        <f ca="1">($C$5=$L$81)</f>
        <v>0</v>
      </c>
      <c r="M84" s="26">
        <f t="shared" ca="1" si="95"/>
        <v>0</v>
      </c>
      <c r="O84" s="16" t="str" cm="1">
        <f t="array" aca="1" ref="O84" ca="1">INDIRECT("Vergleich!"&amp;$Y$2&amp;Z84)</f>
        <v>gering</v>
      </c>
      <c r="P84" s="26" cm="1">
        <f t="array" aca="1" ref="P84" ca="1">INDIRECT("Investition_gewählt!"&amp;$AA$5&amp;AA84)</f>
        <v>3600</v>
      </c>
      <c r="Q84" s="16" cm="1">
        <f t="array" aca="1" ref="Q84" ca="1">IF($U$5=0,0,INDEX(Faktoren!E70:GQ70,1,VLOOKUP($X$5,$L$2:$O$14,4,FALSE)+$U$9*5+VLOOKUP(O84,Auswahllisten!$E$25:$F$29,2,FALSE)))</f>
        <v>0</v>
      </c>
      <c r="R84" s="26">
        <f t="shared" ca="1" si="96"/>
        <v>0</v>
      </c>
      <c r="S84" s="26" cm="1">
        <f t="array" aca="1" ref="S84" ca="1">INDIRECT("Investition_gewählt!"&amp;$AA$6&amp;AA84)</f>
        <v>3600</v>
      </c>
      <c r="T84" s="16" cm="1">
        <f t="array" aca="1" ref="T84" ca="1">IF($U$5=0,0,INDEX(Faktoren!E70:QG70,1,VLOOKUP($X$6,$L$3:$O$14,4,FALSE)+$U$9*5+VLOOKUP(O84,Auswahllisten!$E$25:$F$29,2,FALSE)))</f>
        <v>0</v>
      </c>
      <c r="U84" s="26">
        <f t="shared" ca="1" si="97"/>
        <v>0</v>
      </c>
      <c r="V84" s="26">
        <f t="shared" ref="V84:V106" ca="1" si="102">IF($U$5=0,0,R84+(U84-R84)*($U$6-$X$5)/($X$6-$X$5))</f>
        <v>0</v>
      </c>
      <c r="W84" s="16" t="b">
        <f t="shared" ca="1" si="101"/>
        <v>0</v>
      </c>
      <c r="X84" s="26">
        <f t="shared" ca="1" si="98"/>
        <v>0</v>
      </c>
      <c r="Z84" s="1">
        <v>42</v>
      </c>
      <c r="AA84" s="1">
        <v>70</v>
      </c>
      <c r="AB84" s="1">
        <v>-2</v>
      </c>
      <c r="AN84" s="1">
        <v>59</v>
      </c>
      <c r="AO84" s="1">
        <f t="shared" si="22"/>
        <v>0</v>
      </c>
      <c r="AP84" s="69">
        <f t="shared" ca="1" si="91"/>
        <v>0</v>
      </c>
      <c r="AQ84" s="69">
        <f t="shared" ca="1" si="91"/>
        <v>0</v>
      </c>
      <c r="AR84" s="69">
        <f t="shared" si="91"/>
        <v>0</v>
      </c>
      <c r="AS84" s="69">
        <f t="shared" ca="1" si="91"/>
        <v>0</v>
      </c>
      <c r="AT84" s="69">
        <f t="shared" ca="1" si="91"/>
        <v>0</v>
      </c>
      <c r="AU84" s="69">
        <f t="shared" ca="1" si="91"/>
        <v>0</v>
      </c>
      <c r="AV84" s="69">
        <f t="shared" si="91"/>
        <v>0</v>
      </c>
      <c r="AW84" s="69">
        <f t="shared" ca="1" si="66"/>
        <v>0</v>
      </c>
      <c r="AX84" s="69">
        <f t="shared" ca="1" si="33"/>
        <v>0</v>
      </c>
      <c r="AY84" s="69">
        <f t="shared" ca="1" si="34"/>
        <v>0</v>
      </c>
      <c r="AZ84" s="69">
        <f ca="1">$AO84*IF(Auswahllisten!$G$150,AZ$25+AZ$25*AZ$13*$AN84,AZ$25*(1+AZ$13)^$AN84)</f>
        <v>0</v>
      </c>
      <c r="BA84" s="69">
        <f ca="1">$AO84*IF(Auswahllisten!$G$150,BA$25+BA$25*BA$13*$AN84,BA$25*(1+BA$13)^$AN84)</f>
        <v>0</v>
      </c>
      <c r="BB84" s="69">
        <f ca="1">$AO84*IF(Auswahllisten!$G$150,BB$25+BB$25*BB$13*$AN84,BB$25*(1+BB$13)^$AN84)</f>
        <v>0</v>
      </c>
      <c r="BC84" s="69">
        <f ca="1">$AO84*IF(Auswahllisten!$G$150,BC$25+BC$25*BC$13*$AN84,BC$25*(1+BC$13)^$AN84)</f>
        <v>0</v>
      </c>
      <c r="BD84" s="69">
        <f t="shared" ca="1" si="35"/>
        <v>0</v>
      </c>
      <c r="BE84" s="69">
        <f t="shared" ca="1" si="36"/>
        <v>0</v>
      </c>
      <c r="BF84" s="69">
        <f t="shared" ca="1" si="37"/>
        <v>0</v>
      </c>
      <c r="BG84" s="69">
        <f t="shared" ca="1" si="38"/>
        <v>0</v>
      </c>
      <c r="BI84" s="69">
        <f t="shared" ca="1" si="93"/>
        <v>0</v>
      </c>
      <c r="BJ84" s="69">
        <f t="shared" ca="1" si="93"/>
        <v>0</v>
      </c>
      <c r="BK84" s="69">
        <f t="shared" si="93"/>
        <v>0</v>
      </c>
      <c r="BL84" s="69">
        <f t="shared" ca="1" si="93"/>
        <v>0</v>
      </c>
      <c r="BM84" s="69">
        <f t="shared" ca="1" si="92"/>
        <v>0</v>
      </c>
      <c r="BN84" s="69">
        <f t="shared" ca="1" si="92"/>
        <v>0</v>
      </c>
      <c r="BO84" s="69">
        <f t="shared" si="92"/>
        <v>0</v>
      </c>
      <c r="BP84" s="69">
        <f t="shared" ca="1" si="74"/>
        <v>0</v>
      </c>
      <c r="BQ84" s="69">
        <f t="shared" ca="1" si="39"/>
        <v>0</v>
      </c>
      <c r="BR84" s="69">
        <f t="shared" ca="1" si="75"/>
        <v>0</v>
      </c>
      <c r="BS84" s="69">
        <f ca="1">$AO84*IF(Auswahllisten!$G$150,BS$25+BS$25*BS$13*$AN84,BS$25*(1+BS$13)^$AN84)</f>
        <v>0</v>
      </c>
      <c r="BT84" s="69">
        <f ca="1">$AO84*IF(Auswahllisten!$G$150,BT$25+BT$25*BT$13*$AN84,BT$25*(1+BT$13)^$AN84)</f>
        <v>0</v>
      </c>
      <c r="BU84" s="69">
        <f ca="1">$AO84*IF(Auswahllisten!$G$150,BU$25+BU$25*BU$13*$AN84,BU$25*(1+BU$13)^$AN84)</f>
        <v>0</v>
      </c>
      <c r="BV84" s="69">
        <f ca="1">$AO84*IF(Auswahllisten!$G$150,BV$25+BV$25*BV$13*$AN84,BV$25*(1+BV$13)^$AN84)</f>
        <v>0</v>
      </c>
      <c r="BW84" s="69">
        <f t="shared" ca="1" si="40"/>
        <v>0</v>
      </c>
      <c r="BX84" s="69">
        <f t="shared" ca="1" si="41"/>
        <v>0</v>
      </c>
      <c r="BY84" s="69">
        <f t="shared" ca="1" si="27"/>
        <v>0</v>
      </c>
      <c r="BZ84" s="69">
        <f t="shared" ca="1" si="28"/>
        <v>0</v>
      </c>
    </row>
    <row r="85" spans="1:78">
      <c r="A85" s="305" t="s">
        <v>1218</v>
      </c>
      <c r="B85" s="126" t="s">
        <v>1243</v>
      </c>
      <c r="C85" s="126" t="s">
        <v>231</v>
      </c>
      <c r="D85" s="26" t="str" cm="1">
        <f t="array" aca="1" ref="D85" ca="1">INDIRECT("Vergleich!"&amp;$G$2&amp;Z85)</f>
        <v>mittel</v>
      </c>
      <c r="E85" s="26" cm="1">
        <f t="array" aca="1" ref="E85" ca="1">INDIRECT("Investition_gewählt!"&amp;$I$5&amp;AA85)</f>
        <v>1500</v>
      </c>
      <c r="F85" s="25" cm="1">
        <f t="array" aca="1" ref="F85" ca="1">IF($C$5=0,0,INDEX(Faktoren!E71:GQ71,1,VLOOKUP($F$5,$L$2:$O$14,4,FALSE)+$C$9*5+VLOOKUP(D85,Auswahllisten!$E$25:$F$29,2,FALSE)))</f>
        <v>0</v>
      </c>
      <c r="G85" s="26">
        <f t="shared" ca="1" si="99"/>
        <v>0</v>
      </c>
      <c r="H85" s="26" cm="1">
        <f t="array" aca="1" ref="H85" ca="1">INDIRECT("Investition_gewählt!"&amp;$I$6&amp;AA85)</f>
        <v>1500</v>
      </c>
      <c r="I85" s="25" cm="1">
        <f t="array" aca="1" ref="I85" ca="1">IF($C$5=0,0,INDEX(Faktoren!E71:GQ71,1,VLOOKUP($F$6,$L$2:$O$14,4,FALSE)+$C$9*5+VLOOKUP(D85,Auswahllisten!$E$25:$F$29,2,FALSE)))</f>
        <v>0</v>
      </c>
      <c r="J85" s="26">
        <f t="shared" ca="1" si="100"/>
        <v>0</v>
      </c>
      <c r="K85" s="26">
        <f t="shared" ca="1" si="94"/>
        <v>0</v>
      </c>
      <c r="L85" s="16" t="b">
        <f ca="1">($C$5=$L$81)</f>
        <v>0</v>
      </c>
      <c r="M85" s="26">
        <f t="shared" ca="1" si="95"/>
        <v>0</v>
      </c>
      <c r="O85" s="16" t="str" cm="1">
        <f t="array" aca="1" ref="O85" ca="1">INDIRECT("Vergleich!"&amp;$Y$2&amp;Z85)</f>
        <v>gering</v>
      </c>
      <c r="P85" s="26" cm="1">
        <f t="array" aca="1" ref="P85" ca="1">INDIRECT("Investition_gewählt!"&amp;$AA$5&amp;AA85)</f>
        <v>1500</v>
      </c>
      <c r="Q85" s="16" cm="1">
        <f t="array" aca="1" ref="Q85" ca="1">IF($U$5=0,0,INDEX(Faktoren!E71:GQ71,1,VLOOKUP($X$5,$L$2:$O$14,4,FALSE)+$U$9*5+VLOOKUP(O85,Auswahllisten!$E$25:$F$29,2,FALSE)))</f>
        <v>0</v>
      </c>
      <c r="R85" s="26">
        <f t="shared" ca="1" si="96"/>
        <v>0</v>
      </c>
      <c r="S85" s="26" cm="1">
        <f t="array" aca="1" ref="S85" ca="1">INDIRECT("Investition_gewählt!"&amp;$AA$6&amp;AA85)</f>
        <v>1500</v>
      </c>
      <c r="T85" s="16" cm="1">
        <f t="array" aca="1" ref="T85" ca="1">IF($U$5=0,0,INDEX(Faktoren!E71:QG71,1,VLOOKUP($X$6,$L$3:$O$14,4,FALSE)+$U$9*5+VLOOKUP(O85,Auswahllisten!$E$25:$F$29,2,FALSE)))</f>
        <v>0</v>
      </c>
      <c r="U85" s="26">
        <f t="shared" ca="1" si="97"/>
        <v>0</v>
      </c>
      <c r="V85" s="26">
        <f t="shared" ca="1" si="102"/>
        <v>0</v>
      </c>
      <c r="W85" s="16" t="b">
        <f t="shared" ca="1" si="101"/>
        <v>0</v>
      </c>
      <c r="X85" s="26">
        <f t="shared" ca="1" si="98"/>
        <v>0</v>
      </c>
      <c r="Z85" s="1">
        <v>41</v>
      </c>
      <c r="AA85" s="1">
        <v>71</v>
      </c>
      <c r="AB85" s="1">
        <v>-2</v>
      </c>
      <c r="AN85" s="1">
        <v>60</v>
      </c>
      <c r="AO85" s="1">
        <f t="shared" si="22"/>
        <v>0</v>
      </c>
      <c r="AP85" s="69">
        <f t="shared" ca="1" si="91"/>
        <v>0</v>
      </c>
      <c r="AQ85" s="69">
        <f t="shared" ca="1" si="91"/>
        <v>0</v>
      </c>
      <c r="AR85" s="69">
        <f t="shared" ca="1" si="91"/>
        <v>0</v>
      </c>
      <c r="AS85" s="69">
        <f t="shared" ca="1" si="91"/>
        <v>0</v>
      </c>
      <c r="AT85" s="69">
        <f t="shared" ca="1" si="91"/>
        <v>0</v>
      </c>
      <c r="AU85" s="69">
        <f t="shared" ca="1" si="91"/>
        <v>0</v>
      </c>
      <c r="AV85" s="69">
        <f t="shared" ca="1" si="91"/>
        <v>0</v>
      </c>
      <c r="AW85" s="69">
        <f t="shared" ca="1" si="66"/>
        <v>0</v>
      </c>
      <c r="AX85" s="69">
        <f t="shared" ca="1" si="33"/>
        <v>0</v>
      </c>
      <c r="AY85" s="69">
        <f t="shared" ca="1" si="34"/>
        <v>0</v>
      </c>
      <c r="AZ85" s="69">
        <f ca="1">$AO85*IF(Auswahllisten!$G$150,AZ$25+AZ$25*AZ$13*$AN85,AZ$25*(1+AZ$13)^$AN85)</f>
        <v>0</v>
      </c>
      <c r="BA85" s="69">
        <f ca="1">$AO85*IF(Auswahllisten!$G$150,BA$25+BA$25*BA$13*$AN85,BA$25*(1+BA$13)^$AN85)</f>
        <v>0</v>
      </c>
      <c r="BB85" s="69">
        <f ca="1">$AO85*IF(Auswahllisten!$G$150,BB$25+BB$25*BB$13*$AN85,BB$25*(1+BB$13)^$AN85)</f>
        <v>0</v>
      </c>
      <c r="BC85" s="69">
        <f ca="1">$AO85*IF(Auswahllisten!$G$150,BC$25+BC$25*BC$13*$AN85,BC$25*(1+BC$13)^$AN85)</f>
        <v>0</v>
      </c>
      <c r="BD85" s="69">
        <f t="shared" ca="1" si="35"/>
        <v>0</v>
      </c>
      <c r="BE85" s="69">
        <f t="shared" ca="1" si="36"/>
        <v>0</v>
      </c>
      <c r="BF85" s="69">
        <f t="shared" ca="1" si="37"/>
        <v>0</v>
      </c>
      <c r="BG85" s="69">
        <f t="shared" ca="1" si="38"/>
        <v>0</v>
      </c>
      <c r="BI85" s="69">
        <f t="shared" ca="1" si="93"/>
        <v>0</v>
      </c>
      <c r="BJ85" s="69">
        <f t="shared" ca="1" si="93"/>
        <v>0</v>
      </c>
      <c r="BK85" s="69">
        <f t="shared" si="93"/>
        <v>0</v>
      </c>
      <c r="BL85" s="69">
        <f t="shared" ca="1" si="93"/>
        <v>0</v>
      </c>
      <c r="BM85" s="69">
        <f t="shared" ca="1" si="92"/>
        <v>0</v>
      </c>
      <c r="BN85" s="69">
        <f t="shared" ca="1" si="92"/>
        <v>0</v>
      </c>
      <c r="BO85" s="69">
        <f t="shared" si="92"/>
        <v>0</v>
      </c>
      <c r="BP85" s="69">
        <f t="shared" ca="1" si="74"/>
        <v>0</v>
      </c>
      <c r="BQ85" s="69">
        <f t="shared" ca="1" si="39"/>
        <v>0</v>
      </c>
      <c r="BR85" s="69">
        <f t="shared" ca="1" si="75"/>
        <v>0</v>
      </c>
      <c r="BS85" s="69">
        <f ca="1">$AO85*IF(Auswahllisten!$G$150,BS$25+BS$25*BS$13*$AN85,BS$25*(1+BS$13)^$AN85)</f>
        <v>0</v>
      </c>
      <c r="BT85" s="69">
        <f ca="1">$AO85*IF(Auswahllisten!$G$150,BT$25+BT$25*BT$13*$AN85,BT$25*(1+BT$13)^$AN85)</f>
        <v>0</v>
      </c>
      <c r="BU85" s="69">
        <f ca="1">$AO85*IF(Auswahllisten!$G$150,BU$25+BU$25*BU$13*$AN85,BU$25*(1+BU$13)^$AN85)</f>
        <v>0</v>
      </c>
      <c r="BV85" s="69">
        <f ca="1">$AO85*IF(Auswahllisten!$G$150,BV$25+BV$25*BV$13*$AN85,BV$25*(1+BV$13)^$AN85)</f>
        <v>0</v>
      </c>
      <c r="BW85" s="69">
        <f t="shared" ca="1" si="40"/>
        <v>0</v>
      </c>
      <c r="BX85" s="69">
        <f t="shared" ca="1" si="41"/>
        <v>0</v>
      </c>
      <c r="BY85" s="69">
        <f t="shared" ca="1" si="27"/>
        <v>0</v>
      </c>
      <c r="BZ85" s="69">
        <f t="shared" ca="1" si="28"/>
        <v>0</v>
      </c>
    </row>
    <row r="86" spans="1:78">
      <c r="A86" s="305" t="s">
        <v>1215</v>
      </c>
      <c r="B86" s="126" t="s">
        <v>303</v>
      </c>
      <c r="C86" s="126" t="s">
        <v>966</v>
      </c>
      <c r="D86" s="26" t="str" cm="1">
        <f t="array" aca="1" ref="D86" ca="1">INDIRECT("Vergleich!"&amp;$G$2&amp;Z86)</f>
        <v>mittel</v>
      </c>
      <c r="E86" s="26" cm="1">
        <f t="array" aca="1" ref="E86" ca="1">INDIRECT("Investition_gewählt!"&amp;$I$5&amp;AA86)</f>
        <v>16500</v>
      </c>
      <c r="F86" s="25" cm="1">
        <f t="array" aca="1" ref="F86" ca="1">IF($C$5=0,0,INDEX(Faktoren!E72:GQ72,1,VLOOKUP($F$5,$L$2:$O$14,4,FALSE)+$C$9*5+VLOOKUP(D86,Auswahllisten!$E$25:$F$29,2,FALSE)))</f>
        <v>0</v>
      </c>
      <c r="G86" s="26">
        <f t="shared" ca="1" si="99"/>
        <v>0</v>
      </c>
      <c r="H86" s="26" cm="1">
        <f t="array" aca="1" ref="H86" ca="1">INDIRECT("Investition_gewählt!"&amp;$I$6&amp;AA86)</f>
        <v>16500</v>
      </c>
      <c r="I86" s="25" cm="1">
        <f t="array" aca="1" ref="I86" ca="1">IF($C$5=0,0,INDEX(Faktoren!E72:GQ72,1,VLOOKUP($F$6,$L$2:$O$14,4,FALSE)+$C$9*5+VLOOKUP(D86,Auswahllisten!$E$25:$F$29,2,FALSE)))</f>
        <v>0</v>
      </c>
      <c r="J86" s="26">
        <f t="shared" ca="1" si="100"/>
        <v>0</v>
      </c>
      <c r="K86" s="26">
        <f t="shared" ca="1" si="94"/>
        <v>0</v>
      </c>
      <c r="L86" s="16" t="b">
        <f t="shared" ref="L86:L89" ca="1" si="103">($C$5=$L$81)</f>
        <v>0</v>
      </c>
      <c r="M86" s="26">
        <f t="shared" ca="1" si="95"/>
        <v>0</v>
      </c>
      <c r="O86" s="16" t="str" cm="1">
        <f t="array" aca="1" ref="O86" ca="1">INDIRECT("Vergleich!"&amp;$Y$2&amp;Z86)</f>
        <v>gering</v>
      </c>
      <c r="P86" s="26" cm="1">
        <f t="array" aca="1" ref="P86" ca="1">INDIRECT("Investition_gewählt!"&amp;$AA$5&amp;AA86)</f>
        <v>16500</v>
      </c>
      <c r="Q86" s="16" cm="1">
        <f t="array" aca="1" ref="Q86" ca="1">IF($U$5=0,0,INDEX(Faktoren!E72:GQ72,1,VLOOKUP($X$5,$L$2:$O$14,4,FALSE)+$U$9*5+VLOOKUP(O86,Auswahllisten!$E$25:$F$29,2,FALSE)))</f>
        <v>0</v>
      </c>
      <c r="R86" s="26">
        <f t="shared" ca="1" si="96"/>
        <v>0</v>
      </c>
      <c r="S86" s="26" cm="1">
        <f t="array" aca="1" ref="S86" ca="1">INDIRECT("Investition_gewählt!"&amp;$AA$6&amp;AA86)</f>
        <v>16500</v>
      </c>
      <c r="T86" s="16" cm="1">
        <f t="array" aca="1" ref="T86" ca="1">IF($U$5=0,0,INDEX(Faktoren!E72:QG72,1,VLOOKUP($X$6,$L$3:$O$14,4,FALSE)+$U$9*5+VLOOKUP(O86,Auswahllisten!$E$25:$F$29,2,FALSE)))</f>
        <v>0</v>
      </c>
      <c r="U86" s="26">
        <f t="shared" ca="1" si="97"/>
        <v>0</v>
      </c>
      <c r="V86" s="26">
        <f t="shared" ca="1" si="102"/>
        <v>0</v>
      </c>
      <c r="W86" s="16" t="b">
        <f t="shared" ca="1" si="101"/>
        <v>0</v>
      </c>
      <c r="X86" s="26">
        <f t="shared" ca="1" si="98"/>
        <v>0</v>
      </c>
      <c r="Z86" s="1">
        <v>47</v>
      </c>
      <c r="AA86" s="1">
        <v>72</v>
      </c>
      <c r="AB86" s="1">
        <v>-2</v>
      </c>
      <c r="AN86" s="1">
        <v>61</v>
      </c>
      <c r="AO86" s="1">
        <f t="shared" si="22"/>
        <v>0</v>
      </c>
      <c r="AP86" s="69">
        <f t="shared" ca="1" si="91"/>
        <v>0</v>
      </c>
      <c r="AQ86" s="69">
        <f t="shared" ca="1" si="91"/>
        <v>0</v>
      </c>
      <c r="AR86" s="69">
        <f t="shared" si="91"/>
        <v>0</v>
      </c>
      <c r="AS86" s="69">
        <f t="shared" ca="1" si="91"/>
        <v>0</v>
      </c>
      <c r="AT86" s="69">
        <f t="shared" ca="1" si="91"/>
        <v>0</v>
      </c>
      <c r="AU86" s="69">
        <f t="shared" ca="1" si="91"/>
        <v>0</v>
      </c>
      <c r="AV86" s="69">
        <f t="shared" si="91"/>
        <v>0</v>
      </c>
      <c r="AW86" s="69">
        <f t="shared" ca="1" si="66"/>
        <v>0</v>
      </c>
      <c r="AX86" s="69">
        <f t="shared" ca="1" si="33"/>
        <v>0</v>
      </c>
      <c r="AY86" s="69">
        <f t="shared" ca="1" si="34"/>
        <v>0</v>
      </c>
      <c r="AZ86" s="69">
        <f ca="1">$AO86*IF(Auswahllisten!$G$150,AZ$25+AZ$25*AZ$13*$AN86,AZ$25*(1+AZ$13)^$AN86)</f>
        <v>0</v>
      </c>
      <c r="BA86" s="69">
        <f ca="1">$AO86*IF(Auswahllisten!$G$150,BA$25+BA$25*BA$13*$AN86,BA$25*(1+BA$13)^$AN86)</f>
        <v>0</v>
      </c>
      <c r="BB86" s="69">
        <f ca="1">$AO86*IF(Auswahllisten!$G$150,BB$25+BB$25*BB$13*$AN86,BB$25*(1+BB$13)^$AN86)</f>
        <v>0</v>
      </c>
      <c r="BC86" s="69">
        <f ca="1">$AO86*IF(Auswahllisten!$G$150,BC$25+BC$25*BC$13*$AN86,BC$25*(1+BC$13)^$AN86)</f>
        <v>0</v>
      </c>
      <c r="BD86" s="69">
        <f t="shared" ca="1" si="35"/>
        <v>0</v>
      </c>
      <c r="BE86" s="69">
        <f t="shared" ca="1" si="36"/>
        <v>0</v>
      </c>
      <c r="BF86" s="69">
        <f t="shared" ca="1" si="37"/>
        <v>0</v>
      </c>
      <c r="BG86" s="69">
        <f t="shared" ca="1" si="38"/>
        <v>0</v>
      </c>
      <c r="BI86" s="69">
        <f t="shared" ca="1" si="93"/>
        <v>0</v>
      </c>
      <c r="BJ86" s="69">
        <f t="shared" ca="1" si="93"/>
        <v>0</v>
      </c>
      <c r="BK86" s="69">
        <f t="shared" si="93"/>
        <v>0</v>
      </c>
      <c r="BL86" s="69">
        <f t="shared" ca="1" si="93"/>
        <v>0</v>
      </c>
      <c r="BM86" s="69">
        <f t="shared" ca="1" si="92"/>
        <v>0</v>
      </c>
      <c r="BN86" s="69">
        <f t="shared" ca="1" si="92"/>
        <v>0</v>
      </c>
      <c r="BO86" s="69">
        <f t="shared" si="92"/>
        <v>0</v>
      </c>
      <c r="BP86" s="69">
        <f t="shared" ca="1" si="74"/>
        <v>0</v>
      </c>
      <c r="BQ86" s="69">
        <f t="shared" ca="1" si="39"/>
        <v>0</v>
      </c>
      <c r="BR86" s="69">
        <f t="shared" ca="1" si="75"/>
        <v>0</v>
      </c>
      <c r="BS86" s="69">
        <f ca="1">$AO86*IF(Auswahllisten!$G$150,BS$25+BS$25*BS$13*$AN86,BS$25*(1+BS$13)^$AN86)</f>
        <v>0</v>
      </c>
      <c r="BT86" s="69">
        <f ca="1">$AO86*IF(Auswahllisten!$G$150,BT$25+BT$25*BT$13*$AN86,BT$25*(1+BT$13)^$AN86)</f>
        <v>0</v>
      </c>
      <c r="BU86" s="69">
        <f ca="1">$AO86*IF(Auswahllisten!$G$150,BU$25+BU$25*BU$13*$AN86,BU$25*(1+BU$13)^$AN86)</f>
        <v>0</v>
      </c>
      <c r="BV86" s="69">
        <f ca="1">$AO86*IF(Auswahllisten!$G$150,BV$25+BV$25*BV$13*$AN86,BV$25*(1+BV$13)^$AN86)</f>
        <v>0</v>
      </c>
      <c r="BW86" s="69">
        <f t="shared" ca="1" si="40"/>
        <v>0</v>
      </c>
      <c r="BX86" s="69">
        <f t="shared" ca="1" si="41"/>
        <v>0</v>
      </c>
      <c r="BY86" s="69">
        <f t="shared" ca="1" si="27"/>
        <v>0</v>
      </c>
      <c r="BZ86" s="69">
        <f t="shared" ca="1" si="28"/>
        <v>0</v>
      </c>
    </row>
    <row r="87" spans="1:78">
      <c r="A87" s="305" t="s">
        <v>1244</v>
      </c>
      <c r="B87" s="126" t="s">
        <v>1245</v>
      </c>
      <c r="C87" s="126" t="s">
        <v>206</v>
      </c>
      <c r="D87" s="26" t="str" cm="1">
        <f t="array" aca="1" ref="D87" ca="1">INDIRECT("Vergleich!"&amp;$G$2&amp;Z87)</f>
        <v>mittel</v>
      </c>
      <c r="E87" s="26" cm="1">
        <f t="array" aca="1" ref="E87" ca="1">INDIRECT("Investition_gewählt!"&amp;$I$5&amp;AA87)</f>
        <v>0</v>
      </c>
      <c r="F87" s="25" cm="1">
        <f t="array" aca="1" ref="F87" ca="1">IF($C$5=0,0,INDEX(Faktoren!E73:GQ73,1,VLOOKUP($F$5,$L$2:$O$14,4,FALSE)+$C$9*5+VLOOKUP(D87,Auswahllisten!$E$25:$F$29,2,FALSE)))</f>
        <v>0</v>
      </c>
      <c r="G87" s="26">
        <f t="shared" ca="1" si="99"/>
        <v>0</v>
      </c>
      <c r="H87" s="26" cm="1">
        <f t="array" aca="1" ref="H87" ca="1">INDIRECT("Investition_gewählt!"&amp;$I$6&amp;AA87)</f>
        <v>0</v>
      </c>
      <c r="I87" s="25" cm="1">
        <f t="array" aca="1" ref="I87" ca="1">IF($C$5=0,0,INDEX(Faktoren!E73:GQ73,1,VLOOKUP($F$6,$L$2:$O$14,4,FALSE)+$C$9*5+VLOOKUP(D87,Auswahllisten!$E$25:$F$29,2,FALSE)))</f>
        <v>0</v>
      </c>
      <c r="J87" s="26">
        <f t="shared" ca="1" si="100"/>
        <v>0</v>
      </c>
      <c r="K87" s="26">
        <f t="shared" ca="1" si="94"/>
        <v>0</v>
      </c>
      <c r="L87" s="16" t="b">
        <f t="shared" ca="1" si="103"/>
        <v>0</v>
      </c>
      <c r="M87" s="26">
        <f t="shared" ca="1" si="95"/>
        <v>0</v>
      </c>
      <c r="O87" s="16" t="str" cm="1">
        <f t="array" aca="1" ref="O87" ca="1">INDIRECT("Vergleich!"&amp;$Y$2&amp;Z87)</f>
        <v>gering</v>
      </c>
      <c r="P87" s="26" cm="1">
        <f t="array" aca="1" ref="P87" ca="1">INDIRECT("Investition_gewählt!"&amp;$AA$5&amp;AA87)</f>
        <v>0</v>
      </c>
      <c r="Q87" s="16" cm="1">
        <f t="array" aca="1" ref="Q87" ca="1">IF($U$5=0,0,INDEX(Faktoren!E73:GQ73,1,VLOOKUP($X$5,$L$2:$O$14,4,FALSE)+$U$9*5+VLOOKUP(O87,Auswahllisten!$E$25:$F$29,2,FALSE)))</f>
        <v>0</v>
      </c>
      <c r="R87" s="26">
        <f t="shared" ca="1" si="96"/>
        <v>0</v>
      </c>
      <c r="S87" s="26" cm="1">
        <f t="array" aca="1" ref="S87" ca="1">INDIRECT("Investition_gewählt!"&amp;$AA$6&amp;AA87)</f>
        <v>0</v>
      </c>
      <c r="T87" s="16" cm="1">
        <f t="array" aca="1" ref="T87" ca="1">IF($U$5=0,0,INDEX(Faktoren!E73:QG73,1,VLOOKUP($X$6,$L$3:$O$14,4,FALSE)+$U$9*5+VLOOKUP(O87,Auswahllisten!$E$25:$F$29,2,FALSE)))</f>
        <v>0</v>
      </c>
      <c r="U87" s="26">
        <f t="shared" ca="1" si="97"/>
        <v>0</v>
      </c>
      <c r="V87" s="26">
        <f t="shared" ca="1" si="102"/>
        <v>0</v>
      </c>
      <c r="W87" s="16" t="b">
        <f t="shared" ca="1" si="101"/>
        <v>0</v>
      </c>
      <c r="X87" s="26">
        <f t="shared" ca="1" si="98"/>
        <v>0</v>
      </c>
      <c r="Z87" s="1">
        <v>51</v>
      </c>
      <c r="AA87" s="1">
        <v>73</v>
      </c>
      <c r="AB87" s="1">
        <v>-2</v>
      </c>
      <c r="AD87" s="64"/>
      <c r="AE87" s="64"/>
      <c r="AN87" s="1">
        <v>62</v>
      </c>
      <c r="AO87" s="1">
        <f t="shared" si="22"/>
        <v>0</v>
      </c>
      <c r="AP87" s="69">
        <f t="shared" ca="1" si="91"/>
        <v>0</v>
      </c>
      <c r="AQ87" s="69">
        <f t="shared" ca="1" si="91"/>
        <v>0</v>
      </c>
      <c r="AR87" s="69">
        <f t="shared" si="91"/>
        <v>0</v>
      </c>
      <c r="AS87" s="69">
        <f t="shared" ca="1" si="91"/>
        <v>0</v>
      </c>
      <c r="AT87" s="69">
        <f t="shared" ca="1" si="91"/>
        <v>0</v>
      </c>
      <c r="AU87" s="69">
        <f t="shared" ca="1" si="91"/>
        <v>0</v>
      </c>
      <c r="AV87" s="69">
        <f t="shared" si="91"/>
        <v>0</v>
      </c>
      <c r="AW87" s="69">
        <f t="shared" ca="1" si="66"/>
        <v>0</v>
      </c>
      <c r="AX87" s="69">
        <f t="shared" ca="1" si="33"/>
        <v>0</v>
      </c>
      <c r="AY87" s="69">
        <f t="shared" ca="1" si="34"/>
        <v>0</v>
      </c>
      <c r="AZ87" s="69">
        <f ca="1">$AO87*IF(Auswahllisten!$G$150,AZ$25+AZ$25*AZ$13*$AN87,AZ$25*(1+AZ$13)^$AN87)</f>
        <v>0</v>
      </c>
      <c r="BA87" s="69">
        <f ca="1">$AO87*IF(Auswahllisten!$G$150,BA$25+BA$25*BA$13*$AN87,BA$25*(1+BA$13)^$AN87)</f>
        <v>0</v>
      </c>
      <c r="BB87" s="69">
        <f ca="1">$AO87*IF(Auswahllisten!$G$150,BB$25+BB$25*BB$13*$AN87,BB$25*(1+BB$13)^$AN87)</f>
        <v>0</v>
      </c>
      <c r="BC87" s="69">
        <f ca="1">$AO87*IF(Auswahllisten!$G$150,BC$25+BC$25*BC$13*$AN87,BC$25*(1+BC$13)^$AN87)</f>
        <v>0</v>
      </c>
      <c r="BD87" s="69">
        <f t="shared" ca="1" si="35"/>
        <v>0</v>
      </c>
      <c r="BE87" s="69">
        <f t="shared" ca="1" si="36"/>
        <v>0</v>
      </c>
      <c r="BF87" s="69">
        <f t="shared" ca="1" si="37"/>
        <v>0</v>
      </c>
      <c r="BG87" s="69">
        <f t="shared" ca="1" si="38"/>
        <v>0</v>
      </c>
      <c r="BI87" s="69">
        <f t="shared" ca="1" si="93"/>
        <v>0</v>
      </c>
      <c r="BJ87" s="69">
        <f t="shared" ca="1" si="93"/>
        <v>0</v>
      </c>
      <c r="BK87" s="69">
        <f t="shared" si="93"/>
        <v>0</v>
      </c>
      <c r="BL87" s="69">
        <f t="shared" ca="1" si="93"/>
        <v>0</v>
      </c>
      <c r="BM87" s="69">
        <f t="shared" ca="1" si="93"/>
        <v>0</v>
      </c>
      <c r="BN87" s="69">
        <f t="shared" ca="1" si="93"/>
        <v>0</v>
      </c>
      <c r="BO87" s="69">
        <f t="shared" si="93"/>
        <v>0</v>
      </c>
      <c r="BP87" s="69">
        <f t="shared" ca="1" si="74"/>
        <v>0</v>
      </c>
      <c r="BQ87" s="69">
        <f t="shared" ca="1" si="39"/>
        <v>0</v>
      </c>
      <c r="BR87" s="69">
        <f t="shared" ca="1" si="75"/>
        <v>0</v>
      </c>
      <c r="BS87" s="69">
        <f ca="1">$AO87*IF(Auswahllisten!$G$150,BS$25+BS$25*BS$13*$AN87,BS$25*(1+BS$13)^$AN87)</f>
        <v>0</v>
      </c>
      <c r="BT87" s="69">
        <f ca="1">$AO87*IF(Auswahllisten!$G$150,BT$25+BT$25*BT$13*$AN87,BT$25*(1+BT$13)^$AN87)</f>
        <v>0</v>
      </c>
      <c r="BU87" s="69">
        <f ca="1">$AO87*IF(Auswahllisten!$G$150,BU$25+BU$25*BU$13*$AN87,BU$25*(1+BU$13)^$AN87)</f>
        <v>0</v>
      </c>
      <c r="BV87" s="69">
        <f ca="1">$AO87*IF(Auswahllisten!$G$150,BV$25+BV$25*BV$13*$AN87,BV$25*(1+BV$13)^$AN87)</f>
        <v>0</v>
      </c>
      <c r="BW87" s="69">
        <f t="shared" ca="1" si="40"/>
        <v>0</v>
      </c>
      <c r="BX87" s="69">
        <f t="shared" ca="1" si="41"/>
        <v>0</v>
      </c>
      <c r="BY87" s="69">
        <f t="shared" ca="1" si="27"/>
        <v>0</v>
      </c>
      <c r="BZ87" s="69">
        <f t="shared" ca="1" si="28"/>
        <v>0</v>
      </c>
    </row>
    <row r="88" spans="1:78">
      <c r="A88" s="305" t="s">
        <v>1244</v>
      </c>
      <c r="B88" s="126" t="s">
        <v>1245</v>
      </c>
      <c r="C88" s="126" t="s">
        <v>967</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IF($C$5=0,0,INDEX(Faktoren!E74:GQ74,1,VLOOKUP($F$5,$L$2:$O$14,4,FALSE)+$C$9*5+VLOOKUP(D88,Auswahllisten!$E$25:$F$29,2,FALSE)))</f>
        <v>0</v>
      </c>
      <c r="G88" s="26">
        <f t="shared" ca="1" si="99"/>
        <v>0</v>
      </c>
      <c r="H88" s="26" cm="1">
        <f t="array" aca="1" ref="H88" ca="1">INDIRECT("Investition_gewählt!"&amp;$I$6&amp;AA88)</f>
        <v>0</v>
      </c>
      <c r="I88" s="25" cm="1">
        <f t="array" aca="1" ref="I88" ca="1">IF($C$5=0,0,INDEX(Faktoren!E74:GQ74,1,VLOOKUP($F$6,$L$2:$O$14,4,FALSE)+$C$9*5+VLOOKUP(D88,Auswahllisten!$E$25:$F$29,2,FALSE)))</f>
        <v>0</v>
      </c>
      <c r="J88" s="26">
        <f t="shared" ca="1" si="100"/>
        <v>0</v>
      </c>
      <c r="K88" s="26">
        <f t="shared" ca="1" si="94"/>
        <v>0</v>
      </c>
      <c r="L88" s="16" t="b">
        <f ca="1">($C$5=$L$81)</f>
        <v>0</v>
      </c>
      <c r="M88" s="26">
        <f t="shared" ca="1" si="95"/>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IF($U$5=0,0,INDEX(Faktoren!E74:GQ74,1,VLOOKUP($X$5,$L$2:$O$14,4,FALSE)+$U$9*5+VLOOKUP(O88,Auswahllisten!$E$25:$F$29,2,FALSE)))</f>
        <v>0</v>
      </c>
      <c r="R88" s="26">
        <f t="shared" ca="1" si="96"/>
        <v>0</v>
      </c>
      <c r="S88" s="26" cm="1">
        <f t="array" aca="1" ref="S88" ca="1">INDIRECT("Investition_gewählt!"&amp;$AA$6&amp;AA88)</f>
        <v>0</v>
      </c>
      <c r="T88" s="16" cm="1">
        <f t="array" aca="1" ref="T88" ca="1">IF($U$5=0,0,INDEX(Faktoren!E74:QG74,1,VLOOKUP($X$6,$L$3:$O$14,4,FALSE)+$U$9*5+VLOOKUP(O88,Auswahllisten!$E$25:$F$29,2,FALSE)))</f>
        <v>0</v>
      </c>
      <c r="U88" s="26">
        <f t="shared" ca="1" si="97"/>
        <v>0</v>
      </c>
      <c r="V88" s="26">
        <f t="shared" ca="1" si="102"/>
        <v>0</v>
      </c>
      <c r="W88" s="16" t="b">
        <f t="shared" ca="1" si="101"/>
        <v>0</v>
      </c>
      <c r="X88" s="26">
        <f t="shared" ca="1" si="98"/>
        <v>0</v>
      </c>
      <c r="Z88" s="1">
        <v>49</v>
      </c>
      <c r="AA88" s="1">
        <v>74</v>
      </c>
      <c r="AB88" s="1">
        <v>-2</v>
      </c>
      <c r="AD88" s="64"/>
      <c r="AE88" s="64"/>
      <c r="AN88" s="1">
        <v>63</v>
      </c>
      <c r="AO88" s="1">
        <f t="shared" si="22"/>
        <v>0</v>
      </c>
      <c r="AP88" s="69">
        <f t="shared" ca="1" si="91"/>
        <v>0</v>
      </c>
      <c r="AQ88" s="69">
        <f t="shared" ca="1" si="91"/>
        <v>0</v>
      </c>
      <c r="AR88" s="69">
        <f t="shared" si="91"/>
        <v>0</v>
      </c>
      <c r="AS88" s="69">
        <f t="shared" ca="1" si="91"/>
        <v>0</v>
      </c>
      <c r="AT88" s="69">
        <f t="shared" ca="1" si="91"/>
        <v>0</v>
      </c>
      <c r="AU88" s="69">
        <f t="shared" ca="1" si="91"/>
        <v>0</v>
      </c>
      <c r="AV88" s="69">
        <f t="shared" si="91"/>
        <v>0</v>
      </c>
      <c r="AW88" s="69">
        <f t="shared" ca="1" si="66"/>
        <v>0</v>
      </c>
      <c r="AX88" s="69">
        <f t="shared" ca="1" si="33"/>
        <v>0</v>
      </c>
      <c r="AY88" s="69">
        <f t="shared" ca="1" si="34"/>
        <v>0</v>
      </c>
      <c r="AZ88" s="69">
        <f ca="1">$AO88*IF(Auswahllisten!$G$150,AZ$25+AZ$25*AZ$13*$AN88,AZ$25*(1+AZ$13)^$AN88)</f>
        <v>0</v>
      </c>
      <c r="BA88" s="69">
        <f ca="1">$AO88*IF(Auswahllisten!$G$150,BA$25+BA$25*BA$13*$AN88,BA$25*(1+BA$13)^$AN88)</f>
        <v>0</v>
      </c>
      <c r="BB88" s="69">
        <f ca="1">$AO88*IF(Auswahllisten!$G$150,BB$25+BB$25*BB$13*$AN88,BB$25*(1+BB$13)^$AN88)</f>
        <v>0</v>
      </c>
      <c r="BC88" s="69">
        <f ca="1">$AO88*IF(Auswahllisten!$G$150,BC$25+BC$25*BC$13*$AN88,BC$25*(1+BC$13)^$AN88)</f>
        <v>0</v>
      </c>
      <c r="BD88" s="69">
        <f t="shared" ca="1" si="35"/>
        <v>0</v>
      </c>
      <c r="BE88" s="69">
        <f t="shared" ca="1" si="36"/>
        <v>0</v>
      </c>
      <c r="BF88" s="69">
        <f t="shared" ca="1" si="37"/>
        <v>0</v>
      </c>
      <c r="BG88" s="69">
        <f t="shared" ca="1" si="38"/>
        <v>0</v>
      </c>
      <c r="BI88" s="69">
        <f t="shared" ca="1" si="93"/>
        <v>0</v>
      </c>
      <c r="BJ88" s="69">
        <f t="shared" ca="1" si="93"/>
        <v>0</v>
      </c>
      <c r="BK88" s="69">
        <f t="shared" si="93"/>
        <v>0</v>
      </c>
      <c r="BL88" s="69">
        <f t="shared" ca="1" si="93"/>
        <v>0</v>
      </c>
      <c r="BM88" s="69">
        <f t="shared" ca="1" si="93"/>
        <v>0</v>
      </c>
      <c r="BN88" s="69">
        <f t="shared" ca="1" si="93"/>
        <v>0</v>
      </c>
      <c r="BO88" s="69">
        <f t="shared" si="93"/>
        <v>0</v>
      </c>
      <c r="BP88" s="69">
        <f t="shared" ca="1" si="74"/>
        <v>0</v>
      </c>
      <c r="BQ88" s="69">
        <f t="shared" ca="1" si="39"/>
        <v>0</v>
      </c>
      <c r="BR88" s="69">
        <f t="shared" ca="1" si="75"/>
        <v>0</v>
      </c>
      <c r="BS88" s="69">
        <f ca="1">$AO88*IF(Auswahllisten!$G$150,BS$25+BS$25*BS$13*$AN88,BS$25*(1+BS$13)^$AN88)</f>
        <v>0</v>
      </c>
      <c r="BT88" s="69">
        <f ca="1">$AO88*IF(Auswahllisten!$G$150,BT$25+BT$25*BT$13*$AN88,BT$25*(1+BT$13)^$AN88)</f>
        <v>0</v>
      </c>
      <c r="BU88" s="69">
        <f ca="1">$AO88*IF(Auswahllisten!$G$150,BU$25+BU$25*BU$13*$AN88,BU$25*(1+BU$13)^$AN88)</f>
        <v>0</v>
      </c>
      <c r="BV88" s="69">
        <f ca="1">$AO88*IF(Auswahllisten!$G$150,BV$25+BV$25*BV$13*$AN88,BV$25*(1+BV$13)^$AN88)</f>
        <v>0</v>
      </c>
      <c r="BW88" s="69">
        <f t="shared" ca="1" si="40"/>
        <v>0</v>
      </c>
      <c r="BX88" s="69">
        <f t="shared" ca="1" si="41"/>
        <v>0</v>
      </c>
      <c r="BY88" s="69">
        <f t="shared" ca="1" si="27"/>
        <v>0</v>
      </c>
      <c r="BZ88" s="69">
        <f t="shared" ca="1" si="28"/>
        <v>0</v>
      </c>
    </row>
    <row r="89" spans="1:78">
      <c r="A89" s="307" t="s">
        <v>1244</v>
      </c>
      <c r="B89" s="297" t="s">
        <v>1245</v>
      </c>
      <c r="C89" s="134" t="s">
        <v>359</v>
      </c>
      <c r="D89" s="163" t="str" cm="1">
        <f t="array" aca="1" ref="D89" ca="1">INDIRECT("Vergleich!"&amp;$G$2&amp;Z89)</f>
        <v>mittel</v>
      </c>
      <c r="E89" s="163" cm="1">
        <f t="array" aca="1" ref="E89" ca="1">INDIRECT("Investition_gewählt!"&amp;$I$5&amp;AA89)</f>
        <v>4500</v>
      </c>
      <c r="F89" s="61" cm="1">
        <f t="array" aca="1" ref="F89" ca="1">IF($C$5=0,0,INDEX(Faktoren!E75:GQ75,1,VLOOKUP($F$5,$L$2:$O$14,4,FALSE)+$C$9*5+VLOOKUP(D89,Auswahllisten!$E$25:$F$29,2,FALSE)))</f>
        <v>0</v>
      </c>
      <c r="G89" s="296">
        <f t="shared" ca="1" si="99"/>
        <v>0</v>
      </c>
      <c r="H89" s="296" cm="1">
        <f t="array" aca="1" ref="H89" ca="1">INDIRECT("Investition_gewählt!"&amp;$I$6&amp;AA89)</f>
        <v>4500</v>
      </c>
      <c r="I89" s="61" cm="1">
        <f t="array" aca="1" ref="I89" ca="1">IF($C$5=0,0,INDEX(Faktoren!E75:GQ75,1,VLOOKUP($F$6,$L$2:$O$14,4,FALSE)+$C$9*5+VLOOKUP(D89,Auswahllisten!$E$25:$F$29,2,FALSE)))</f>
        <v>0</v>
      </c>
      <c r="J89" s="163">
        <f t="shared" ca="1" si="100"/>
        <v>0</v>
      </c>
      <c r="K89" s="163">
        <f t="shared" ca="1" si="94"/>
        <v>0</v>
      </c>
      <c r="L89" s="93" t="b">
        <f t="shared" ca="1" si="103"/>
        <v>0</v>
      </c>
      <c r="M89" s="163">
        <f t="shared" ca="1" si="95"/>
        <v>0</v>
      </c>
      <c r="O89" s="93" t="str" cm="1">
        <f t="array" aca="1" ref="O89" ca="1">INDIRECT("Vergleich!"&amp;$Y$2&amp;Z89)</f>
        <v>gering</v>
      </c>
      <c r="P89" s="163" cm="1">
        <f t="array" aca="1" ref="P89" ca="1">INDIRECT("Investition_gewählt!"&amp;$AA$5&amp;AA89)</f>
        <v>4500</v>
      </c>
      <c r="Q89" s="93" cm="1">
        <f t="array" aca="1" ref="Q89" ca="1">IF($U$5=0,0,INDEX(Faktoren!E75:GQ75,1,VLOOKUP($X$5,$L$2:$O$14,4,FALSE)+$U$9*5+VLOOKUP(O89,Auswahllisten!$E$25:$F$29,2,FALSE)))</f>
        <v>0</v>
      </c>
      <c r="R89" s="163">
        <f t="shared" ca="1" si="96"/>
        <v>0</v>
      </c>
      <c r="S89" s="163" cm="1">
        <f t="array" aca="1" ref="S89" ca="1">INDIRECT("Investition_gewählt!"&amp;$AA$6&amp;AA89)</f>
        <v>4500</v>
      </c>
      <c r="T89" s="93" cm="1">
        <f t="array" aca="1" ref="T89" ca="1">IF($U$5=0,0,INDEX(Faktoren!E75:QG75,1,VLOOKUP($X$6,$L$3:$O$14,4,FALSE)+$U$9*5+VLOOKUP(O89,Auswahllisten!$E$25:$F$29,2,FALSE)))</f>
        <v>0</v>
      </c>
      <c r="U89" s="163">
        <f t="shared" ca="1" si="97"/>
        <v>0</v>
      </c>
      <c r="V89" s="163">
        <f t="shared" ca="1" si="102"/>
        <v>0</v>
      </c>
      <c r="W89" s="93" t="b">
        <f t="shared" ca="1" si="101"/>
        <v>0</v>
      </c>
      <c r="X89" s="163">
        <f t="shared" ca="1" si="98"/>
        <v>0</v>
      </c>
      <c r="Z89" s="1">
        <v>50</v>
      </c>
      <c r="AA89" s="1">
        <v>75</v>
      </c>
      <c r="AB89" s="1">
        <v>-2</v>
      </c>
      <c r="AD89" s="64"/>
      <c r="AE89" s="64"/>
      <c r="AN89" s="1">
        <v>64</v>
      </c>
      <c r="AO89" s="1">
        <f t="shared" si="22"/>
        <v>0</v>
      </c>
      <c r="AP89" s="69">
        <f t="shared" ca="1" si="91"/>
        <v>0</v>
      </c>
      <c r="AQ89" s="69">
        <f t="shared" ca="1" si="91"/>
        <v>0</v>
      </c>
      <c r="AR89" s="69">
        <f t="shared" si="91"/>
        <v>0</v>
      </c>
      <c r="AS89" s="69">
        <f t="shared" ca="1" si="91"/>
        <v>0</v>
      </c>
      <c r="AT89" s="69">
        <f t="shared" ca="1" si="91"/>
        <v>0</v>
      </c>
      <c r="AU89" s="69">
        <f t="shared" ca="1" si="91"/>
        <v>0</v>
      </c>
      <c r="AV89" s="69">
        <f t="shared" si="91"/>
        <v>0</v>
      </c>
      <c r="AW89" s="69">
        <f t="shared" ca="1" si="66"/>
        <v>0</v>
      </c>
      <c r="AX89" s="69">
        <f t="shared" ca="1" si="33"/>
        <v>0</v>
      </c>
      <c r="AY89" s="69">
        <f t="shared" ca="1" si="34"/>
        <v>0</v>
      </c>
      <c r="AZ89" s="69">
        <f ca="1">$AO89*IF(Auswahllisten!$G$150,AZ$25+AZ$25*AZ$13*$AN89,AZ$25*(1+AZ$13)^$AN89)</f>
        <v>0</v>
      </c>
      <c r="BA89" s="69">
        <f ca="1">$AO89*IF(Auswahllisten!$G$150,BA$25+BA$25*BA$13*$AN89,BA$25*(1+BA$13)^$AN89)</f>
        <v>0</v>
      </c>
      <c r="BB89" s="69">
        <f ca="1">$AO89*IF(Auswahllisten!$G$150,BB$25+BB$25*BB$13*$AN89,BB$25*(1+BB$13)^$AN89)</f>
        <v>0</v>
      </c>
      <c r="BC89" s="69">
        <f ca="1">$AO89*IF(Auswahllisten!$G$150,BC$25+BC$25*BC$13*$AN89,BC$25*(1+BC$13)^$AN89)</f>
        <v>0</v>
      </c>
      <c r="BD89" s="69">
        <f t="shared" ca="1" si="35"/>
        <v>0</v>
      </c>
      <c r="BE89" s="69">
        <f t="shared" ca="1" si="36"/>
        <v>0</v>
      </c>
      <c r="BF89" s="69">
        <f t="shared" ca="1" si="37"/>
        <v>0</v>
      </c>
      <c r="BG89" s="69">
        <f t="shared" ca="1" si="38"/>
        <v>0</v>
      </c>
      <c r="BI89" s="69">
        <f t="shared" ca="1" si="93"/>
        <v>0</v>
      </c>
      <c r="BJ89" s="69">
        <f t="shared" ca="1" si="93"/>
        <v>0</v>
      </c>
      <c r="BK89" s="69">
        <f t="shared" si="93"/>
        <v>0</v>
      </c>
      <c r="BL89" s="69">
        <f t="shared" ca="1" si="93"/>
        <v>0</v>
      </c>
      <c r="BM89" s="69">
        <f t="shared" ca="1" si="93"/>
        <v>0</v>
      </c>
      <c r="BN89" s="69">
        <f t="shared" ca="1" si="93"/>
        <v>0</v>
      </c>
      <c r="BO89" s="69">
        <f t="shared" si="93"/>
        <v>0</v>
      </c>
      <c r="BP89" s="69">
        <f t="shared" ca="1" si="74"/>
        <v>0</v>
      </c>
      <c r="BQ89" s="69">
        <f t="shared" ca="1" si="39"/>
        <v>0</v>
      </c>
      <c r="BR89" s="69">
        <f t="shared" ca="1" si="75"/>
        <v>0</v>
      </c>
      <c r="BS89" s="69">
        <f ca="1">$AO89*IF(Auswahllisten!$G$150,BS$25+BS$25*BS$13*$AN89,BS$25*(1+BS$13)^$AN89)</f>
        <v>0</v>
      </c>
      <c r="BT89" s="69">
        <f ca="1">$AO89*IF(Auswahllisten!$G$150,BT$25+BT$25*BT$13*$AN89,BT$25*(1+BT$13)^$AN89)</f>
        <v>0</v>
      </c>
      <c r="BU89" s="69">
        <f ca="1">$AO89*IF(Auswahllisten!$G$150,BU$25+BU$25*BU$13*$AN89,BU$25*(1+BU$13)^$AN89)</f>
        <v>0</v>
      </c>
      <c r="BV89" s="69">
        <f ca="1">$AO89*IF(Auswahllisten!$G$150,BV$25+BV$25*BV$13*$AN89,BV$25*(1+BV$13)^$AN89)</f>
        <v>0</v>
      </c>
      <c r="BW89" s="69">
        <f t="shared" ca="1" si="40"/>
        <v>0</v>
      </c>
      <c r="BX89" s="69">
        <f t="shared" ca="1" si="41"/>
        <v>0</v>
      </c>
      <c r="BY89" s="69">
        <f t="shared" ca="1" si="27"/>
        <v>0</v>
      </c>
      <c r="BZ89" s="69">
        <f t="shared" ca="1" si="28"/>
        <v>0</v>
      </c>
    </row>
    <row r="90" spans="1:78">
      <c r="AA90" s="1">
        <v>76</v>
      </c>
      <c r="AB90" s="1">
        <v>-2</v>
      </c>
      <c r="AD90" s="64"/>
      <c r="AE90" s="64"/>
      <c r="AN90" s="1">
        <v>65</v>
      </c>
      <c r="AO90" s="1">
        <f t="shared" ref="AO90:AO96" si="104">IF($AS$3&lt;AN90,0,1)</f>
        <v>0</v>
      </c>
      <c r="AP90" s="69">
        <f t="shared" ca="1" si="91"/>
        <v>0</v>
      </c>
      <c r="AQ90" s="69">
        <f t="shared" ca="1" si="91"/>
        <v>0</v>
      </c>
      <c r="AR90" s="69">
        <f t="shared" si="91"/>
        <v>0</v>
      </c>
      <c r="AS90" s="69">
        <f t="shared" ca="1" si="91"/>
        <v>0</v>
      </c>
      <c r="AT90" s="69">
        <f t="shared" ca="1" si="91"/>
        <v>0</v>
      </c>
      <c r="AU90" s="69">
        <f t="shared" ca="1" si="91"/>
        <v>0</v>
      </c>
      <c r="AV90" s="69">
        <f t="shared" si="91"/>
        <v>0</v>
      </c>
      <c r="AW90" s="69">
        <f t="shared" ca="1" si="66"/>
        <v>0</v>
      </c>
      <c r="AX90" s="69">
        <f t="shared" ca="1" si="33"/>
        <v>0</v>
      </c>
      <c r="AY90" s="69">
        <f t="shared" ca="1" si="34"/>
        <v>0</v>
      </c>
      <c r="AZ90" s="69">
        <f ca="1">$AO90*IF(Auswahllisten!$G$150,AZ$25+AZ$25*AZ$13*$AN90,AZ$25*(1+AZ$13)^$AN90)</f>
        <v>0</v>
      </c>
      <c r="BA90" s="69">
        <f ca="1">$AO90*IF(Auswahllisten!$G$150,BA$25+BA$25*BA$13*$AN90,BA$25*(1+BA$13)^$AN90)</f>
        <v>0</v>
      </c>
      <c r="BB90" s="69">
        <f ca="1">$AO90*IF(Auswahllisten!$G$150,BB$25+BB$25*BB$13*$AN90,BB$25*(1+BB$13)^$AN90)</f>
        <v>0</v>
      </c>
      <c r="BC90" s="69">
        <f ca="1">$AO90*IF(Auswahllisten!$G$150,BC$25+BC$25*BC$13*$AN90,BC$25*(1+BC$13)^$AN90)</f>
        <v>0</v>
      </c>
      <c r="BD90" s="69">
        <f t="shared" ca="1" si="35"/>
        <v>0</v>
      </c>
      <c r="BE90" s="69">
        <f t="shared" ca="1" si="36"/>
        <v>0</v>
      </c>
      <c r="BF90" s="69">
        <f t="shared" ca="1" si="37"/>
        <v>0</v>
      </c>
      <c r="BG90" s="69">
        <f t="shared" ca="1" si="38"/>
        <v>0</v>
      </c>
      <c r="BI90" s="69">
        <f t="shared" ca="1" si="93"/>
        <v>0</v>
      </c>
      <c r="BJ90" s="69">
        <f t="shared" ca="1" si="93"/>
        <v>0</v>
      </c>
      <c r="BK90" s="69">
        <f t="shared" si="93"/>
        <v>0</v>
      </c>
      <c r="BL90" s="69">
        <f t="shared" ca="1" si="93"/>
        <v>0</v>
      </c>
      <c r="BM90" s="69">
        <f t="shared" ca="1" si="93"/>
        <v>0</v>
      </c>
      <c r="BN90" s="69">
        <f t="shared" ca="1" si="93"/>
        <v>0</v>
      </c>
      <c r="BO90" s="69">
        <f t="shared" si="93"/>
        <v>0</v>
      </c>
      <c r="BP90" s="69">
        <f t="shared" ca="1" si="74"/>
        <v>0</v>
      </c>
      <c r="BQ90" s="69">
        <f t="shared" ca="1" si="39"/>
        <v>0</v>
      </c>
      <c r="BR90" s="69">
        <f t="shared" ca="1" si="75"/>
        <v>0</v>
      </c>
      <c r="BS90" s="69">
        <f ca="1">$AO90*IF(Auswahllisten!$G$150,BS$25+BS$25*BS$13*$AN90,BS$25*(1+BS$13)^$AN90)</f>
        <v>0</v>
      </c>
      <c r="BT90" s="69">
        <f ca="1">$AO90*IF(Auswahllisten!$G$150,BT$25+BT$25*BT$13*$AN90,BT$25*(1+BT$13)^$AN90)</f>
        <v>0</v>
      </c>
      <c r="BU90" s="69">
        <f ca="1">$AO90*IF(Auswahllisten!$G$150,BU$25+BU$25*BU$13*$AN90,BU$25*(1+BU$13)^$AN90)</f>
        <v>0</v>
      </c>
      <c r="BV90" s="69">
        <f ca="1">$AO90*IF(Auswahllisten!$G$150,BV$25+BV$25*BV$13*$AN90,BV$25*(1+BV$13)^$AN90)</f>
        <v>0</v>
      </c>
      <c r="BW90" s="69">
        <f t="shared" ca="1" si="40"/>
        <v>0</v>
      </c>
      <c r="BX90" s="69">
        <f t="shared" ca="1" si="41"/>
        <v>0</v>
      </c>
      <c r="BY90" s="69">
        <f t="shared" ref="BY90:BY96" ca="1" si="105">BX90/(1+$AS$11)^AN90</f>
        <v>0</v>
      </c>
      <c r="BZ90" s="69">
        <f t="shared" ref="BZ90:BZ125" ca="1" si="106">BZ89+BP90+BR90+BW90+BY90+IF(AN90=$AS$3,$BY$22,0)</f>
        <v>0</v>
      </c>
    </row>
    <row r="91" spans="1:78">
      <c r="A91" s="125" t="s">
        <v>1003</v>
      </c>
      <c r="B91" s="125" t="s">
        <v>32</v>
      </c>
      <c r="C91" s="125"/>
      <c r="D91" s="69"/>
      <c r="E91" s="69"/>
      <c r="G91" s="69"/>
      <c r="H91" s="69"/>
      <c r="J91" s="69"/>
      <c r="K91" s="69"/>
      <c r="M91" s="69"/>
      <c r="P91" s="69"/>
      <c r="R91" s="69"/>
      <c r="S91" s="69"/>
      <c r="U91" s="69"/>
      <c r="V91" s="69"/>
      <c r="X91" s="69"/>
      <c r="AA91" s="1">
        <v>77</v>
      </c>
      <c r="AB91" s="1">
        <v>-2</v>
      </c>
      <c r="AD91" s="64"/>
      <c r="AE91" s="64"/>
      <c r="AN91" s="1">
        <v>66</v>
      </c>
      <c r="AO91" s="1">
        <f t="shared" si="104"/>
        <v>0</v>
      </c>
      <c r="AP91" s="69">
        <f t="shared" ca="1" si="91"/>
        <v>0</v>
      </c>
      <c r="AQ91" s="69">
        <f t="shared" ca="1" si="91"/>
        <v>0</v>
      </c>
      <c r="AR91" s="69">
        <f t="shared" si="91"/>
        <v>0</v>
      </c>
      <c r="AS91" s="69">
        <f t="shared" ca="1" si="91"/>
        <v>0</v>
      </c>
      <c r="AT91" s="69">
        <f t="shared" ca="1" si="91"/>
        <v>0</v>
      </c>
      <c r="AU91" s="69">
        <f t="shared" ca="1" si="91"/>
        <v>0</v>
      </c>
      <c r="AV91" s="69">
        <f t="shared" si="91"/>
        <v>0</v>
      </c>
      <c r="AW91" s="69">
        <f t="shared" ref="AW91:AW96" ca="1" si="107">SUM(AP91:AV91)/(1+$AS$11)^AN91</f>
        <v>0</v>
      </c>
      <c r="AX91" s="69">
        <f t="shared" ref="AX91:AX96" ca="1" si="108">$AO91*AX$25*(1+$AS$9)^$AN91</f>
        <v>0</v>
      </c>
      <c r="AY91" s="69">
        <f t="shared" ref="AY91:AY96" ca="1" si="109">SUM(AX91)/(1+$AS$11)^AN91</f>
        <v>0</v>
      </c>
      <c r="AZ91" s="69">
        <f ca="1">$AO91*IF(Auswahllisten!$G$150,AZ$25+AZ$25*AZ$13*$AN91,AZ$25*(1+AZ$13)^$AN91)</f>
        <v>0</v>
      </c>
      <c r="BA91" s="69">
        <f ca="1">$AO91*IF(Auswahllisten!$G$150,BA$25+BA$25*BA$13*$AN91,BA$25*(1+BA$13)^$AN91)</f>
        <v>0</v>
      </c>
      <c r="BB91" s="69">
        <f ca="1">$AO91*IF(Auswahllisten!$G$150,BB$25+BB$25*BB$13*$AN91,BB$25*(1+BB$13)^$AN91)</f>
        <v>0</v>
      </c>
      <c r="BC91" s="69">
        <f ca="1">$AO91*IF(Auswahllisten!$G$150,BC$25+BC$25*BC$13*$AN91,BC$25*(1+BC$13)^$AN91)</f>
        <v>0</v>
      </c>
      <c r="BD91" s="69">
        <f t="shared" ref="BD91:BD125" ca="1" si="110">SUM(AZ91:BC91)/(1+$AS$11)^AN91</f>
        <v>0</v>
      </c>
      <c r="BE91" s="69">
        <f t="shared" ref="BE91:BE96" ca="1" si="111">AO91*$BE$25*(1+$AS$8)^AN91</f>
        <v>0</v>
      </c>
      <c r="BF91" s="69">
        <f t="shared" ref="BF91:BF96" ca="1" si="112">BE91/(1+$AS$11)^AN91</f>
        <v>0</v>
      </c>
      <c r="BG91" s="69">
        <f t="shared" ref="BG91:BG125" ca="1" si="113">BG90+AW91+AY91+BD91+BF91+IF(AN91=$AS$3,$BF$22,0)</f>
        <v>0</v>
      </c>
      <c r="BI91" s="69">
        <f t="shared" ca="1" si="93"/>
        <v>0</v>
      </c>
      <c r="BJ91" s="69">
        <f t="shared" ca="1" si="93"/>
        <v>0</v>
      </c>
      <c r="BK91" s="69">
        <f t="shared" si="93"/>
        <v>0</v>
      </c>
      <c r="BL91" s="69">
        <f t="shared" ca="1" si="93"/>
        <v>0</v>
      </c>
      <c r="BM91" s="69">
        <f t="shared" ca="1" si="93"/>
        <v>0</v>
      </c>
      <c r="BN91" s="69">
        <f t="shared" ca="1" si="93"/>
        <v>0</v>
      </c>
      <c r="BO91" s="69">
        <f t="shared" si="93"/>
        <v>0</v>
      </c>
      <c r="BP91" s="69">
        <f t="shared" ca="1" si="74"/>
        <v>0</v>
      </c>
      <c r="BQ91" s="69">
        <f t="shared" ref="BQ91:BQ96" ca="1" si="114">$AO91*BQ$25*(1+$AS$9)^$AN91</f>
        <v>0</v>
      </c>
      <c r="BR91" s="69">
        <f t="shared" ca="1" si="75"/>
        <v>0</v>
      </c>
      <c r="BS91" s="69">
        <f ca="1">$AO91*IF(Auswahllisten!$G$150,BS$25+BS$25*BS$13*$AN91,BS$25*(1+BS$13)^$AN91)</f>
        <v>0</v>
      </c>
      <c r="BT91" s="69">
        <f ca="1">$AO91*IF(Auswahllisten!$G$150,BT$25+BT$25*BT$13*$AN91,BT$25*(1+BT$13)^$AN91)</f>
        <v>0</v>
      </c>
      <c r="BU91" s="69">
        <f ca="1">$AO91*IF(Auswahllisten!$G$150,BU$25+BU$25*BU$13*$AN91,BU$25*(1+BU$13)^$AN91)</f>
        <v>0</v>
      </c>
      <c r="BV91" s="69">
        <f ca="1">$AO91*IF(Auswahllisten!$G$150,BV$25+BV$25*BV$13*$AN91,BV$25*(1+BV$13)^$AN91)</f>
        <v>0</v>
      </c>
      <c r="BW91" s="69">
        <f t="shared" ref="BW91:BW125" ca="1" si="115">SUM(BS91:BV91)/(1+$AS$11)^AN91</f>
        <v>0</v>
      </c>
      <c r="BX91" s="69">
        <f t="shared" ref="BX91:BX96" ca="1" si="116">AO91*$BX$25*(1+$AS$8)^AN91</f>
        <v>0</v>
      </c>
      <c r="BY91" s="69">
        <f t="shared" ca="1" si="105"/>
        <v>0</v>
      </c>
      <c r="BZ91" s="69">
        <f t="shared" ca="1" si="106"/>
        <v>0</v>
      </c>
    </row>
    <row r="92" spans="1:78">
      <c r="A92" s="304" t="s">
        <v>1217</v>
      </c>
      <c r="B92" s="131" t="s">
        <v>1242</v>
      </c>
      <c r="C92" s="131" t="s">
        <v>206</v>
      </c>
      <c r="D92" s="162" t="str" cm="1">
        <f t="array" aca="1" ref="D92" ca="1">INDIRECT("Vergleich!"&amp;$G$2&amp;Z92)</f>
        <v>mittel</v>
      </c>
      <c r="E92" s="162" cm="1">
        <f t="array" aca="1" ref="E92" ca="1">INDIRECT("Investition_gewählt!"&amp;$I$5&amp;AA92)</f>
        <v>5100</v>
      </c>
      <c r="F92" s="25" cm="1">
        <f t="array" aca="1" ref="F92" ca="1">IF($C$5=0,0,INDEX(Faktoren!E78:GQ78,1,VLOOKUP($F$5,$L$2:$O$14,4,FALSE)+$C$9*5+VLOOKUP(D92,Auswahllisten!$E$25:$F$29,2,FALSE)))</f>
        <v>0</v>
      </c>
      <c r="G92" s="162">
        <f ca="1">E92*F92</f>
        <v>0</v>
      </c>
      <c r="H92" s="162" cm="1">
        <f t="array" aca="1" ref="H92" ca="1">INDIRECT("Investition_gewählt!"&amp;$I$6&amp;AA92)</f>
        <v>5100</v>
      </c>
      <c r="I92" s="25" cm="1">
        <f t="array" aca="1" ref="I92" ca="1">IF($C$5=0,0,INDEX(Faktoren!E78:GQ78,1,VLOOKUP($F$6,$L$2:$O$14,4,FALSE)+$C$9*5+VLOOKUP(D92,Auswahllisten!$E$25:$F$29,2,FALSE)))</f>
        <v>0</v>
      </c>
      <c r="J92" s="162">
        <f ca="1">H92*I92</f>
        <v>0</v>
      </c>
      <c r="K92" s="162">
        <f t="shared" ref="K92:K94" ca="1" si="117">IF($C$5=0,0,G92+(J92-G92)*($C$6-$F$5)/($F$6-$F$5))</f>
        <v>0</v>
      </c>
      <c r="L92" s="25" t="b">
        <f ca="1">(OR($C$5=10,$C$5=11,$C$5=12,$C$5=13))</f>
        <v>0</v>
      </c>
      <c r="M92" s="162">
        <f ca="1">IFERROR(ROUND(K92*L92,AB92),0)</f>
        <v>0</v>
      </c>
      <c r="O92" s="25" t="str" cm="1">
        <f t="array" aca="1" ref="O92" ca="1">INDIRECT("Vergleich!"&amp;$Y$2&amp;Z92)</f>
        <v>gering</v>
      </c>
      <c r="P92" s="162" cm="1">
        <f t="array" aca="1" ref="P92" ca="1">INDIRECT("Investition_gewählt!"&amp;$AA$5&amp;AA92)</f>
        <v>5100</v>
      </c>
      <c r="Q92" s="25" cm="1">
        <f t="array" aca="1" ref="Q92" ca="1">IF($U$5=0,0,INDEX(Faktoren!E78:GQ78,1,VLOOKUP($X$5,$L$2:$O$14,4,FALSE)+$U$9*5+VLOOKUP(O92,Auswahllisten!$E$25:$F$29,2,FALSE)))</f>
        <v>0</v>
      </c>
      <c r="R92" s="162">
        <f t="shared" ref="R92:R94" ca="1" si="118">P92*Q92</f>
        <v>0</v>
      </c>
      <c r="S92" s="162" cm="1">
        <f t="array" aca="1" ref="S92" ca="1">INDIRECT("Investition_gewählt!"&amp;$AA$6&amp;AA92)</f>
        <v>5100</v>
      </c>
      <c r="T92" s="25" cm="1">
        <f t="array" aca="1" ref="T92" ca="1">IF($U$5=0,0,INDEX(Faktoren!E78:QG78,1,VLOOKUP($X$6,$L$3:$O$14,4,FALSE)+$U$9*5+VLOOKUP(O92,Auswahllisten!$E$25:$F$29,2,FALSE)))</f>
        <v>0</v>
      </c>
      <c r="U92" s="162">
        <f t="shared" ref="U92:U94" ca="1" si="119">S92*T92</f>
        <v>0</v>
      </c>
      <c r="V92" s="162">
        <f t="shared" ca="1" si="102"/>
        <v>0</v>
      </c>
      <c r="W92" s="25" t="b">
        <f ca="1">(OR($U$5=10,$U$5=11,$U$5=12,$U$5=13))</f>
        <v>0</v>
      </c>
      <c r="X92" s="162">
        <f ca="1">IFERROR(ROUND(V92*W92,AB92),0)</f>
        <v>0</v>
      </c>
      <c r="Z92" s="1">
        <v>38</v>
      </c>
      <c r="AA92" s="1">
        <v>78</v>
      </c>
      <c r="AB92" s="1">
        <v>-2</v>
      </c>
      <c r="AD92" s="64"/>
      <c r="AE92" s="64"/>
      <c r="AN92" s="1">
        <v>67</v>
      </c>
      <c r="AO92" s="1">
        <f t="shared" si="104"/>
        <v>0</v>
      </c>
      <c r="AP92" s="69">
        <f t="shared" ca="1" si="91"/>
        <v>0</v>
      </c>
      <c r="AQ92" s="69">
        <f t="shared" ca="1" si="91"/>
        <v>0</v>
      </c>
      <c r="AR92" s="69">
        <f t="shared" si="91"/>
        <v>0</v>
      </c>
      <c r="AS92" s="69">
        <f t="shared" ca="1" si="91"/>
        <v>0</v>
      </c>
      <c r="AT92" s="69">
        <f t="shared" ca="1" si="91"/>
        <v>0</v>
      </c>
      <c r="AU92" s="69">
        <f t="shared" ca="1" si="91"/>
        <v>0</v>
      </c>
      <c r="AV92" s="69">
        <f t="shared" si="91"/>
        <v>0</v>
      </c>
      <c r="AW92" s="69">
        <f t="shared" ca="1" si="107"/>
        <v>0</v>
      </c>
      <c r="AX92" s="69">
        <f t="shared" ca="1" si="108"/>
        <v>0</v>
      </c>
      <c r="AY92" s="69">
        <f t="shared" ca="1" si="109"/>
        <v>0</v>
      </c>
      <c r="AZ92" s="69">
        <f ca="1">$AO92*IF(Auswahllisten!$G$150,AZ$25+AZ$25*AZ$13*$AN92,AZ$25*(1+AZ$13)^$AN92)</f>
        <v>0</v>
      </c>
      <c r="BA92" s="69">
        <f ca="1">$AO92*IF(Auswahllisten!$G$150,BA$25+BA$25*BA$13*$AN92,BA$25*(1+BA$13)^$AN92)</f>
        <v>0</v>
      </c>
      <c r="BB92" s="69">
        <f ca="1">$AO92*IF(Auswahllisten!$G$150,BB$25+BB$25*BB$13*$AN92,BB$25*(1+BB$13)^$AN92)</f>
        <v>0</v>
      </c>
      <c r="BC92" s="69">
        <f ca="1">$AO92*IF(Auswahllisten!$G$150,BC$25+BC$25*BC$13*$AN92,BC$25*(1+BC$13)^$AN92)</f>
        <v>0</v>
      </c>
      <c r="BD92" s="69">
        <f t="shared" ca="1" si="110"/>
        <v>0</v>
      </c>
      <c r="BE92" s="69">
        <f t="shared" ca="1" si="111"/>
        <v>0</v>
      </c>
      <c r="BF92" s="69">
        <f t="shared" ca="1" si="112"/>
        <v>0</v>
      </c>
      <c r="BG92" s="69">
        <f t="shared" ca="1" si="113"/>
        <v>0</v>
      </c>
      <c r="BI92" s="69">
        <f t="shared" ca="1" si="93"/>
        <v>0</v>
      </c>
      <c r="BJ92" s="69">
        <f t="shared" ca="1" si="93"/>
        <v>0</v>
      </c>
      <c r="BK92" s="69">
        <f t="shared" si="93"/>
        <v>0</v>
      </c>
      <c r="BL92" s="69">
        <f t="shared" ca="1" si="93"/>
        <v>0</v>
      </c>
      <c r="BM92" s="69">
        <f t="shared" ca="1" si="93"/>
        <v>0</v>
      </c>
      <c r="BN92" s="69">
        <f t="shared" ca="1" si="93"/>
        <v>0</v>
      </c>
      <c r="BO92" s="69">
        <f t="shared" si="93"/>
        <v>0</v>
      </c>
      <c r="BP92" s="69">
        <f t="shared" ca="1" si="74"/>
        <v>0</v>
      </c>
      <c r="BQ92" s="69">
        <f t="shared" ca="1" si="114"/>
        <v>0</v>
      </c>
      <c r="BR92" s="69">
        <f t="shared" ca="1" si="75"/>
        <v>0</v>
      </c>
      <c r="BS92" s="69">
        <f ca="1">$AO92*IF(Auswahllisten!$G$150,BS$25+BS$25*BS$13*$AN92,BS$25*(1+BS$13)^$AN92)</f>
        <v>0</v>
      </c>
      <c r="BT92" s="69">
        <f ca="1">$AO92*IF(Auswahllisten!$G$150,BT$25+BT$25*BT$13*$AN92,BT$25*(1+BT$13)^$AN92)</f>
        <v>0</v>
      </c>
      <c r="BU92" s="69">
        <f ca="1">$AO92*IF(Auswahllisten!$G$150,BU$25+BU$25*BU$13*$AN92,BU$25*(1+BU$13)^$AN92)</f>
        <v>0</v>
      </c>
      <c r="BV92" s="69">
        <f ca="1">$AO92*IF(Auswahllisten!$G$150,BV$25+BV$25*BV$13*$AN92,BV$25*(1+BV$13)^$AN92)</f>
        <v>0</v>
      </c>
      <c r="BW92" s="69">
        <f t="shared" ca="1" si="115"/>
        <v>0</v>
      </c>
      <c r="BX92" s="69">
        <f t="shared" ca="1" si="116"/>
        <v>0</v>
      </c>
      <c r="BY92" s="69">
        <f t="shared" ca="1" si="105"/>
        <v>0</v>
      </c>
      <c r="BZ92" s="69">
        <f t="shared" ca="1" si="106"/>
        <v>0</v>
      </c>
    </row>
    <row r="93" spans="1:78">
      <c r="A93" s="305" t="s">
        <v>1215</v>
      </c>
      <c r="B93" s="126" t="s">
        <v>303</v>
      </c>
      <c r="C93" s="126" t="s">
        <v>241</v>
      </c>
      <c r="D93" s="26" t="str" cm="1">
        <f t="array" aca="1" ref="D93" ca="1">INDIRECT("Vergleich!"&amp;$G$2&amp;Z93)</f>
        <v>mittel</v>
      </c>
      <c r="E93" s="26" cm="1">
        <f t="array" aca="1" ref="E93" ca="1">INDIRECT("Investition_gewählt!"&amp;$I$5&amp;AA93)</f>
        <v>7000</v>
      </c>
      <c r="F93" s="25" cm="1">
        <f t="array" aca="1" ref="F93" ca="1">IF($C$5=0,0,INDEX(Faktoren!E79:GQ79,1,VLOOKUP($F$5,$L$2:$O$14,4,FALSE)+$C$9*5+VLOOKUP(D93,Auswahllisten!$E$25:$F$29,2,FALSE)))</f>
        <v>0</v>
      </c>
      <c r="G93" s="26">
        <f t="shared" ref="G93:G94" ca="1" si="120">E93*F93</f>
        <v>0</v>
      </c>
      <c r="H93" s="26" cm="1">
        <f t="array" aca="1" ref="H93" ca="1">INDIRECT("Investition_gewählt!"&amp;$I$6&amp;AA93)</f>
        <v>7000</v>
      </c>
      <c r="I93" s="25" cm="1">
        <f t="array" aca="1" ref="I93" ca="1">IF($C$5=0,0,INDEX(Faktoren!E79:GQ79,1,VLOOKUP($F$6,$L$2:$O$14,4,FALSE)+$C$9*5+VLOOKUP(D93,Auswahllisten!$E$25:$F$29,2,FALSE)))</f>
        <v>0</v>
      </c>
      <c r="J93" s="26">
        <f t="shared" ref="J93:J94" ca="1" si="121">H93*I93</f>
        <v>0</v>
      </c>
      <c r="K93" s="26">
        <f t="shared" ca="1" si="117"/>
        <v>0</v>
      </c>
      <c r="L93" s="16" t="b">
        <f ca="1">(OR($C$5=10,$C$5=11,$C$5=12,$C$5=13))</f>
        <v>0</v>
      </c>
      <c r="M93" s="26">
        <f ca="1">IFERROR(ROUND(K93*L93,AB93),0)</f>
        <v>0</v>
      </c>
      <c r="O93" s="16" t="str" cm="1">
        <f t="array" aca="1" ref="O93" ca="1">INDIRECT("Vergleich!"&amp;$Y$2&amp;Z93)</f>
        <v>gering</v>
      </c>
      <c r="P93" s="26" cm="1">
        <f t="array" aca="1" ref="P93" ca="1">INDIRECT("Investition_gewählt!"&amp;$AA$5&amp;AA93)</f>
        <v>7000</v>
      </c>
      <c r="Q93" s="16" cm="1">
        <f t="array" aca="1" ref="Q93" ca="1">IF($U$5=0,0,INDEX(Faktoren!E79:GQ79,1,VLOOKUP($X$5,$L$2:$O$14,4,FALSE)+$U$9*5+VLOOKUP(O93,Auswahllisten!$E$25:$F$29,2,FALSE)))</f>
        <v>0</v>
      </c>
      <c r="R93" s="26">
        <f t="shared" ca="1" si="118"/>
        <v>0</v>
      </c>
      <c r="S93" s="26" cm="1">
        <f t="array" aca="1" ref="S93" ca="1">INDIRECT("Investition_gewählt!"&amp;$AA$6&amp;AA93)</f>
        <v>7000</v>
      </c>
      <c r="T93" s="16" cm="1">
        <f t="array" aca="1" ref="T93" ca="1">IF($U$5=0,0,INDEX(Faktoren!E79:QG79,1,VLOOKUP($X$6,$L$3:$O$14,4,FALSE)+$U$9*5+VLOOKUP(O93,Auswahllisten!$E$25:$F$29,2,FALSE)))</f>
        <v>0</v>
      </c>
      <c r="U93" s="26">
        <f t="shared" ca="1" si="119"/>
        <v>0</v>
      </c>
      <c r="V93" s="26">
        <f t="shared" ca="1" si="102"/>
        <v>0</v>
      </c>
      <c r="W93" s="25" t="b">
        <f ca="1">(OR($U$5=10,$U$5=11,$U$5=12,$U$5=13))</f>
        <v>0</v>
      </c>
      <c r="X93" s="26">
        <f ca="1">IFERROR(ROUND(V93*W93,AB93),0)</f>
        <v>0</v>
      </c>
      <c r="Z93" s="1">
        <v>43</v>
      </c>
      <c r="AA93" s="1">
        <v>79</v>
      </c>
      <c r="AB93" s="1">
        <v>-2</v>
      </c>
      <c r="AD93" s="64"/>
      <c r="AE93" s="64"/>
      <c r="AN93" s="1">
        <v>68</v>
      </c>
      <c r="AO93" s="1">
        <f t="shared" si="104"/>
        <v>0</v>
      </c>
      <c r="AP93" s="69">
        <f t="shared" ca="1" si="91"/>
        <v>0</v>
      </c>
      <c r="AQ93" s="69">
        <f t="shared" ca="1" si="91"/>
        <v>0</v>
      </c>
      <c r="AR93" s="69">
        <f t="shared" si="91"/>
        <v>0</v>
      </c>
      <c r="AS93" s="69">
        <f t="shared" ca="1" si="91"/>
        <v>0</v>
      </c>
      <c r="AT93" s="69">
        <f t="shared" ca="1" si="91"/>
        <v>0</v>
      </c>
      <c r="AU93" s="69">
        <f t="shared" ca="1" si="91"/>
        <v>0</v>
      </c>
      <c r="AV93" s="69">
        <f t="shared" si="91"/>
        <v>0</v>
      </c>
      <c r="AW93" s="69">
        <f t="shared" ca="1" si="107"/>
        <v>0</v>
      </c>
      <c r="AX93" s="69">
        <f t="shared" ca="1" si="108"/>
        <v>0</v>
      </c>
      <c r="AY93" s="69">
        <f t="shared" ca="1" si="109"/>
        <v>0</v>
      </c>
      <c r="AZ93" s="69">
        <f ca="1">$AO93*IF(Auswahllisten!$G$150,AZ$25+AZ$25*AZ$13*$AN93,AZ$25*(1+AZ$13)^$AN93)</f>
        <v>0</v>
      </c>
      <c r="BA93" s="69">
        <f ca="1">$AO93*IF(Auswahllisten!$G$150,BA$25+BA$25*BA$13*$AN93,BA$25*(1+BA$13)^$AN93)</f>
        <v>0</v>
      </c>
      <c r="BB93" s="69">
        <f ca="1">$AO93*IF(Auswahllisten!$G$150,BB$25+BB$25*BB$13*$AN93,BB$25*(1+BB$13)^$AN93)</f>
        <v>0</v>
      </c>
      <c r="BC93" s="69">
        <f ca="1">$AO93*IF(Auswahllisten!$G$150,BC$25+BC$25*BC$13*$AN93,BC$25*(1+BC$13)^$AN93)</f>
        <v>0</v>
      </c>
      <c r="BD93" s="69">
        <f t="shared" ca="1" si="110"/>
        <v>0</v>
      </c>
      <c r="BE93" s="69">
        <f t="shared" ca="1" si="111"/>
        <v>0</v>
      </c>
      <c r="BF93" s="69">
        <f t="shared" ca="1" si="112"/>
        <v>0</v>
      </c>
      <c r="BG93" s="69">
        <f t="shared" ca="1" si="113"/>
        <v>0</v>
      </c>
      <c r="BI93" s="69">
        <f t="shared" ca="1" si="93"/>
        <v>0</v>
      </c>
      <c r="BJ93" s="69">
        <f t="shared" ca="1" si="93"/>
        <v>0</v>
      </c>
      <c r="BK93" s="69">
        <f t="shared" si="93"/>
        <v>0</v>
      </c>
      <c r="BL93" s="69">
        <f t="shared" ca="1" si="93"/>
        <v>0</v>
      </c>
      <c r="BM93" s="69">
        <f t="shared" ca="1" si="93"/>
        <v>0</v>
      </c>
      <c r="BN93" s="69">
        <f t="shared" ca="1" si="93"/>
        <v>0</v>
      </c>
      <c r="BO93" s="69">
        <f t="shared" si="93"/>
        <v>0</v>
      </c>
      <c r="BP93" s="69">
        <f t="shared" ca="1" si="74"/>
        <v>0</v>
      </c>
      <c r="BQ93" s="69">
        <f t="shared" ca="1" si="114"/>
        <v>0</v>
      </c>
      <c r="BR93" s="69">
        <f t="shared" ca="1" si="75"/>
        <v>0</v>
      </c>
      <c r="BS93" s="69">
        <f ca="1">$AO93*IF(Auswahllisten!$G$150,BS$25+BS$25*BS$13*$AN93,BS$25*(1+BS$13)^$AN93)</f>
        <v>0</v>
      </c>
      <c r="BT93" s="69">
        <f ca="1">$AO93*IF(Auswahllisten!$G$150,BT$25+BT$25*BT$13*$AN93,BT$25*(1+BT$13)^$AN93)</f>
        <v>0</v>
      </c>
      <c r="BU93" s="69">
        <f ca="1">$AO93*IF(Auswahllisten!$G$150,BU$25+BU$25*BU$13*$AN93,BU$25*(1+BU$13)^$AN93)</f>
        <v>0</v>
      </c>
      <c r="BV93" s="69">
        <f ca="1">$AO93*IF(Auswahllisten!$G$150,BV$25+BV$25*BV$13*$AN93,BV$25*(1+BV$13)^$AN93)</f>
        <v>0</v>
      </c>
      <c r="BW93" s="69">
        <f t="shared" ca="1" si="115"/>
        <v>0</v>
      </c>
      <c r="BX93" s="69">
        <f t="shared" ca="1" si="116"/>
        <v>0</v>
      </c>
      <c r="BY93" s="69">
        <f t="shared" ca="1" si="105"/>
        <v>0</v>
      </c>
      <c r="BZ93" s="69">
        <f t="shared" ca="1" si="106"/>
        <v>0</v>
      </c>
    </row>
    <row r="94" spans="1:78">
      <c r="A94" s="307" t="s">
        <v>1215</v>
      </c>
      <c r="B94" s="297" t="s">
        <v>303</v>
      </c>
      <c r="C94" s="134" t="s">
        <v>966</v>
      </c>
      <c r="D94" s="163" t="str" cm="1">
        <f t="array" aca="1" ref="D94" ca="1">INDIRECT("Vergleich!"&amp;$G$2&amp;Z94)</f>
        <v>mittel</v>
      </c>
      <c r="E94" s="163" cm="1">
        <f t="array" aca="1" ref="E94" ca="1">INDIRECT("Investition_gewählt!"&amp;$I$5&amp;AA94)</f>
        <v>2500</v>
      </c>
      <c r="F94" s="61" cm="1">
        <f t="array" aca="1" ref="F94" ca="1">IF($C$5=0,0,INDEX(Faktoren!E80:GQ80,1,VLOOKUP($F$5,$L$2:$O$14,4,FALSE)+$C$9*5+VLOOKUP(D94,Auswahllisten!$E$25:$F$29,2,FALSE)))</f>
        <v>0</v>
      </c>
      <c r="G94" s="296">
        <f t="shared" ca="1" si="120"/>
        <v>0</v>
      </c>
      <c r="H94" s="296" cm="1">
        <f t="array" aca="1" ref="H94" ca="1">INDIRECT("Investition_gewählt!"&amp;$I$6&amp;AA94)</f>
        <v>2500</v>
      </c>
      <c r="I94" s="61" cm="1">
        <f t="array" aca="1" ref="I94" ca="1">IF($C$5=0,0,INDEX(Faktoren!E80:GQ80,1,VLOOKUP($F$6,$L$2:$O$14,4,FALSE)+$C$9*5+VLOOKUP(D94,Auswahllisten!$E$25:$F$29,2,FALSE)))</f>
        <v>0</v>
      </c>
      <c r="J94" s="163">
        <f t="shared" ca="1" si="121"/>
        <v>0</v>
      </c>
      <c r="K94" s="163">
        <f t="shared" ca="1" si="117"/>
        <v>0</v>
      </c>
      <c r="L94" s="93" t="b">
        <f ca="1">(OR($C$5=10,$C$5=11,$C$5=12,$C$5=13))</f>
        <v>0</v>
      </c>
      <c r="M94" s="163">
        <f t="shared" ref="M94:M134" ca="1" si="122">IFERROR(ROUND(K94*L94,AB94),0)</f>
        <v>0</v>
      </c>
      <c r="O94" s="93" t="str" cm="1">
        <f t="array" aca="1" ref="O94" ca="1">INDIRECT("Vergleich!"&amp;$Y$2&amp;Z94)</f>
        <v>gering</v>
      </c>
      <c r="P94" s="163" cm="1">
        <f t="array" aca="1" ref="P94" ca="1">INDIRECT("Investition_gewählt!"&amp;$AA$5&amp;AA94)</f>
        <v>2500</v>
      </c>
      <c r="Q94" s="93" cm="1">
        <f t="array" aca="1" ref="Q94" ca="1">IF($U$5=0,0,INDEX(Faktoren!E80:GQ80,1,VLOOKUP($X$5,$L$2:$O$14,4,FALSE)+$U$9*5+VLOOKUP(O94,Auswahllisten!$E$25:$F$29,2,FALSE)))</f>
        <v>0</v>
      </c>
      <c r="R94" s="163">
        <f t="shared" ca="1" si="118"/>
        <v>0</v>
      </c>
      <c r="S94" s="163" cm="1">
        <f t="array" aca="1" ref="S94" ca="1">INDIRECT("Investition_gewählt!"&amp;$AA$6&amp;AA94)</f>
        <v>2500</v>
      </c>
      <c r="T94" s="93" cm="1">
        <f t="array" aca="1" ref="T94" ca="1">IF($U$5=0,0,INDEX(Faktoren!E80:QG80,1,VLOOKUP($X$6,$L$3:$O$14,4,FALSE)+$U$9*5+VLOOKUP(O94,Auswahllisten!$E$25:$F$29,2,FALSE)))</f>
        <v>0</v>
      </c>
      <c r="U94" s="163">
        <f t="shared" ca="1" si="119"/>
        <v>0</v>
      </c>
      <c r="V94" s="163">
        <f t="shared" ca="1" si="102"/>
        <v>0</v>
      </c>
      <c r="W94" s="61" t="b">
        <f ca="1">(OR($U$5=10,$U$5=11,$U$5=12,$U$5=13))</f>
        <v>0</v>
      </c>
      <c r="X94" s="163">
        <f t="shared" ref="X94:X134" ca="1" si="123">IFERROR(ROUND(V94*W94,AB94),0)</f>
        <v>0</v>
      </c>
      <c r="Z94" s="1">
        <v>47</v>
      </c>
      <c r="AA94" s="1">
        <v>80</v>
      </c>
      <c r="AB94" s="1">
        <v>-2</v>
      </c>
      <c r="AD94" s="64"/>
      <c r="AE94" s="64"/>
      <c r="AN94" s="1">
        <v>69</v>
      </c>
      <c r="AO94" s="1">
        <f t="shared" si="104"/>
        <v>0</v>
      </c>
      <c r="AP94" s="69">
        <f t="shared" ref="AP94:AV96" ca="1" si="124">IFERROR($AO94*IF(MOD($AN94,AP$20)=0,AP$25,0)*(1+$AS$10)^$AN94*IF($AS$3=$AN94,0,1),0)</f>
        <v>0</v>
      </c>
      <c r="AQ94" s="69">
        <f t="shared" ca="1" si="124"/>
        <v>0</v>
      </c>
      <c r="AR94" s="69">
        <f t="shared" si="124"/>
        <v>0</v>
      </c>
      <c r="AS94" s="69">
        <f t="shared" ca="1" si="124"/>
        <v>0</v>
      </c>
      <c r="AT94" s="69">
        <f t="shared" ca="1" si="124"/>
        <v>0</v>
      </c>
      <c r="AU94" s="69">
        <f t="shared" ca="1" si="124"/>
        <v>0</v>
      </c>
      <c r="AV94" s="69">
        <f t="shared" si="124"/>
        <v>0</v>
      </c>
      <c r="AW94" s="69">
        <f t="shared" ca="1" si="107"/>
        <v>0</v>
      </c>
      <c r="AX94" s="69">
        <f t="shared" ca="1" si="108"/>
        <v>0</v>
      </c>
      <c r="AY94" s="69">
        <f t="shared" ca="1" si="109"/>
        <v>0</v>
      </c>
      <c r="AZ94" s="69">
        <f ca="1">$AO94*IF(Auswahllisten!$G$150,AZ$25+AZ$25*AZ$13*$AN94,AZ$25*(1+AZ$13)^$AN94)</f>
        <v>0</v>
      </c>
      <c r="BA94" s="69">
        <f ca="1">$AO94*IF(Auswahllisten!$G$150,BA$25+BA$25*BA$13*$AN94,BA$25*(1+BA$13)^$AN94)</f>
        <v>0</v>
      </c>
      <c r="BB94" s="69">
        <f ca="1">$AO94*IF(Auswahllisten!$G$150,BB$25+BB$25*BB$13*$AN94,BB$25*(1+BB$13)^$AN94)</f>
        <v>0</v>
      </c>
      <c r="BC94" s="69">
        <f ca="1">$AO94*IF(Auswahllisten!$G$150,BC$25+BC$25*BC$13*$AN94,BC$25*(1+BC$13)^$AN94)</f>
        <v>0</v>
      </c>
      <c r="BD94" s="69">
        <f t="shared" ca="1" si="110"/>
        <v>0</v>
      </c>
      <c r="BE94" s="69">
        <f t="shared" ca="1" si="111"/>
        <v>0</v>
      </c>
      <c r="BF94" s="69">
        <f t="shared" ca="1" si="112"/>
        <v>0</v>
      </c>
      <c r="BG94" s="69">
        <f t="shared" ca="1" si="113"/>
        <v>0</v>
      </c>
      <c r="BI94" s="69">
        <f t="shared" ca="1" si="93"/>
        <v>0</v>
      </c>
      <c r="BJ94" s="69">
        <f t="shared" ca="1" si="93"/>
        <v>0</v>
      </c>
      <c r="BK94" s="69">
        <f t="shared" si="93"/>
        <v>0</v>
      </c>
      <c r="BL94" s="69">
        <f t="shared" ca="1" si="93"/>
        <v>0</v>
      </c>
      <c r="BM94" s="69">
        <f t="shared" ca="1" si="93"/>
        <v>0</v>
      </c>
      <c r="BN94" s="69">
        <f t="shared" ca="1" si="93"/>
        <v>0</v>
      </c>
      <c r="BO94" s="69">
        <f t="shared" si="93"/>
        <v>0</v>
      </c>
      <c r="BP94" s="69">
        <f t="shared" ca="1" si="74"/>
        <v>0</v>
      </c>
      <c r="BQ94" s="69">
        <f t="shared" ca="1" si="114"/>
        <v>0</v>
      </c>
      <c r="BR94" s="69">
        <f t="shared" ca="1" si="75"/>
        <v>0</v>
      </c>
      <c r="BS94" s="69">
        <f ca="1">$AO94*IF(Auswahllisten!$G$150,BS$25+BS$25*BS$13*$AN94,BS$25*(1+BS$13)^$AN94)</f>
        <v>0</v>
      </c>
      <c r="BT94" s="69">
        <f ca="1">$AO94*IF(Auswahllisten!$G$150,BT$25+BT$25*BT$13*$AN94,BT$25*(1+BT$13)^$AN94)</f>
        <v>0</v>
      </c>
      <c r="BU94" s="69">
        <f ca="1">$AO94*IF(Auswahllisten!$G$150,BU$25+BU$25*BU$13*$AN94,BU$25*(1+BU$13)^$AN94)</f>
        <v>0</v>
      </c>
      <c r="BV94" s="69">
        <f ca="1">$AO94*IF(Auswahllisten!$G$150,BV$25+BV$25*BV$13*$AN94,BV$25*(1+BV$13)^$AN94)</f>
        <v>0</v>
      </c>
      <c r="BW94" s="69">
        <f t="shared" ca="1" si="115"/>
        <v>0</v>
      </c>
      <c r="BX94" s="69">
        <f t="shared" ca="1" si="116"/>
        <v>0</v>
      </c>
      <c r="BY94" s="69">
        <f t="shared" ca="1" si="105"/>
        <v>0</v>
      </c>
      <c r="BZ94" s="69">
        <f t="shared" ca="1" si="106"/>
        <v>0</v>
      </c>
    </row>
    <row r="95" spans="1:78">
      <c r="D95" s="69"/>
      <c r="G95" s="69"/>
      <c r="H95" s="69"/>
      <c r="M95" s="69"/>
      <c r="X95" s="69"/>
      <c r="AA95" s="1">
        <v>81</v>
      </c>
      <c r="AB95" s="1">
        <v>-2</v>
      </c>
      <c r="AD95" s="64"/>
      <c r="AE95" s="64"/>
      <c r="AN95" s="1">
        <v>70</v>
      </c>
      <c r="AO95" s="1">
        <f t="shared" si="104"/>
        <v>0</v>
      </c>
      <c r="AP95" s="69">
        <f t="shared" ca="1" si="124"/>
        <v>0</v>
      </c>
      <c r="AQ95" s="69">
        <f t="shared" ca="1" si="124"/>
        <v>0</v>
      </c>
      <c r="AR95" s="69">
        <f t="shared" si="124"/>
        <v>0</v>
      </c>
      <c r="AS95" s="69">
        <f t="shared" ca="1" si="124"/>
        <v>0</v>
      </c>
      <c r="AT95" s="69">
        <f t="shared" ca="1" si="124"/>
        <v>0</v>
      </c>
      <c r="AU95" s="69">
        <f t="shared" ca="1" si="124"/>
        <v>0</v>
      </c>
      <c r="AV95" s="69">
        <f t="shared" si="124"/>
        <v>0</v>
      </c>
      <c r="AW95" s="69">
        <f t="shared" ca="1" si="107"/>
        <v>0</v>
      </c>
      <c r="AX95" s="69">
        <f t="shared" ca="1" si="108"/>
        <v>0</v>
      </c>
      <c r="AY95" s="69">
        <f t="shared" ca="1" si="109"/>
        <v>0</v>
      </c>
      <c r="AZ95" s="69">
        <f ca="1">$AO95*IF(Auswahllisten!$G$150,AZ$25+AZ$25*AZ$13*$AN95,AZ$25*(1+AZ$13)^$AN95)</f>
        <v>0</v>
      </c>
      <c r="BA95" s="69">
        <f ca="1">$AO95*IF(Auswahllisten!$G$150,BA$25+BA$25*BA$13*$AN95,BA$25*(1+BA$13)^$AN95)</f>
        <v>0</v>
      </c>
      <c r="BB95" s="69">
        <f ca="1">$AO95*IF(Auswahllisten!$G$150,BB$25+BB$25*BB$13*$AN95,BB$25*(1+BB$13)^$AN95)</f>
        <v>0</v>
      </c>
      <c r="BC95" s="69">
        <f ca="1">$AO95*IF(Auswahllisten!$G$150,BC$25+BC$25*BC$13*$AN95,BC$25*(1+BC$13)^$AN95)</f>
        <v>0</v>
      </c>
      <c r="BD95" s="69">
        <f t="shared" ca="1" si="110"/>
        <v>0</v>
      </c>
      <c r="BE95" s="69">
        <f t="shared" ca="1" si="111"/>
        <v>0</v>
      </c>
      <c r="BF95" s="69">
        <f t="shared" ca="1" si="112"/>
        <v>0</v>
      </c>
      <c r="BG95" s="69">
        <f t="shared" ca="1" si="113"/>
        <v>0</v>
      </c>
      <c r="BI95" s="69">
        <f t="shared" ca="1" si="93"/>
        <v>0</v>
      </c>
      <c r="BJ95" s="69">
        <f t="shared" ca="1" si="93"/>
        <v>0</v>
      </c>
      <c r="BK95" s="69">
        <f t="shared" si="93"/>
        <v>0</v>
      </c>
      <c r="BL95" s="69">
        <f t="shared" ca="1" si="93"/>
        <v>0</v>
      </c>
      <c r="BM95" s="69">
        <f t="shared" ca="1" si="93"/>
        <v>0</v>
      </c>
      <c r="BN95" s="69">
        <f t="shared" ca="1" si="93"/>
        <v>0</v>
      </c>
      <c r="BO95" s="69">
        <f t="shared" si="93"/>
        <v>0</v>
      </c>
      <c r="BP95" s="69">
        <f t="shared" ca="1" si="74"/>
        <v>0</v>
      </c>
      <c r="BQ95" s="69">
        <f t="shared" ca="1" si="114"/>
        <v>0</v>
      </c>
      <c r="BR95" s="69">
        <f t="shared" ca="1" si="75"/>
        <v>0</v>
      </c>
      <c r="BS95" s="69">
        <f ca="1">$AO95*IF(Auswahllisten!$G$150,BS$25+BS$25*BS$13*$AN95,BS$25*(1+BS$13)^$AN95)</f>
        <v>0</v>
      </c>
      <c r="BT95" s="69">
        <f ca="1">$AO95*IF(Auswahllisten!$G$150,BT$25+BT$25*BT$13*$AN95,BT$25*(1+BT$13)^$AN95)</f>
        <v>0</v>
      </c>
      <c r="BU95" s="69">
        <f ca="1">$AO95*IF(Auswahllisten!$G$150,BU$25+BU$25*BU$13*$AN95,BU$25*(1+BU$13)^$AN95)</f>
        <v>0</v>
      </c>
      <c r="BV95" s="69">
        <f ca="1">$AO95*IF(Auswahllisten!$G$150,BV$25+BV$25*BV$13*$AN95,BV$25*(1+BV$13)^$AN95)</f>
        <v>0</v>
      </c>
      <c r="BW95" s="69">
        <f t="shared" ca="1" si="115"/>
        <v>0</v>
      </c>
      <c r="BX95" s="69">
        <f t="shared" ca="1" si="116"/>
        <v>0</v>
      </c>
      <c r="BY95" s="69">
        <f t="shared" ca="1" si="105"/>
        <v>0</v>
      </c>
      <c r="BZ95" s="69">
        <f t="shared" ca="1" si="106"/>
        <v>0</v>
      </c>
    </row>
    <row r="96" spans="1:78">
      <c r="A96" s="125" t="s">
        <v>1008</v>
      </c>
      <c r="B96" s="125" t="s">
        <v>1188</v>
      </c>
      <c r="C96" s="64"/>
      <c r="D96" s="69"/>
      <c r="M96" s="69"/>
      <c r="X96" s="69"/>
      <c r="AA96" s="1">
        <v>82</v>
      </c>
      <c r="AB96" s="1">
        <v>-2</v>
      </c>
      <c r="AD96" s="64"/>
      <c r="AE96" s="64"/>
      <c r="AN96" s="1">
        <v>71</v>
      </c>
      <c r="AO96" s="1">
        <f t="shared" si="104"/>
        <v>0</v>
      </c>
      <c r="AP96" s="69">
        <f t="shared" ca="1" si="124"/>
        <v>0</v>
      </c>
      <c r="AQ96" s="69">
        <f t="shared" ca="1" si="124"/>
        <v>0</v>
      </c>
      <c r="AR96" s="69">
        <f t="shared" si="124"/>
        <v>0</v>
      </c>
      <c r="AS96" s="69">
        <f t="shared" ca="1" si="124"/>
        <v>0</v>
      </c>
      <c r="AT96" s="69">
        <f t="shared" ca="1" si="124"/>
        <v>0</v>
      </c>
      <c r="AU96" s="69">
        <f t="shared" ca="1" si="124"/>
        <v>0</v>
      </c>
      <c r="AV96" s="69">
        <f t="shared" si="124"/>
        <v>0</v>
      </c>
      <c r="AW96" s="69">
        <f t="shared" ca="1" si="107"/>
        <v>0</v>
      </c>
      <c r="AX96" s="69">
        <f t="shared" ca="1" si="108"/>
        <v>0</v>
      </c>
      <c r="AY96" s="69">
        <f t="shared" ca="1" si="109"/>
        <v>0</v>
      </c>
      <c r="AZ96" s="69">
        <f ca="1">$AO96*IF(Auswahllisten!$G$150,AZ$25+AZ$25*AZ$13*$AN96,AZ$25*(1+AZ$13)^$AN96)</f>
        <v>0</v>
      </c>
      <c r="BA96" s="69">
        <f ca="1">$AO96*IF(Auswahllisten!$G$150,BA$25+BA$25*BA$13*$AN96,BA$25*(1+BA$13)^$AN96)</f>
        <v>0</v>
      </c>
      <c r="BB96" s="69">
        <f ca="1">$AO96*IF(Auswahllisten!$G$150,BB$25+BB$25*BB$13*$AN96,BB$25*(1+BB$13)^$AN96)</f>
        <v>0</v>
      </c>
      <c r="BC96" s="69">
        <f ca="1">$AO96*IF(Auswahllisten!$G$150,BC$25+BC$25*BC$13*$AN96,BC$25*(1+BC$13)^$AN96)</f>
        <v>0</v>
      </c>
      <c r="BD96" s="69">
        <f t="shared" ca="1" si="110"/>
        <v>0</v>
      </c>
      <c r="BE96" s="69">
        <f t="shared" ca="1" si="111"/>
        <v>0</v>
      </c>
      <c r="BF96" s="69">
        <f t="shared" ca="1" si="112"/>
        <v>0</v>
      </c>
      <c r="BG96" s="69">
        <f t="shared" ca="1" si="113"/>
        <v>0</v>
      </c>
      <c r="BI96" s="69">
        <f t="shared" ca="1" si="93"/>
        <v>0</v>
      </c>
      <c r="BJ96" s="69">
        <f t="shared" ca="1" si="93"/>
        <v>0</v>
      </c>
      <c r="BK96" s="69">
        <f t="shared" si="93"/>
        <v>0</v>
      </c>
      <c r="BL96" s="69">
        <f t="shared" ca="1" si="93"/>
        <v>0</v>
      </c>
      <c r="BM96" s="69">
        <f t="shared" ca="1" si="93"/>
        <v>0</v>
      </c>
      <c r="BN96" s="69">
        <f t="shared" ca="1" si="93"/>
        <v>0</v>
      </c>
      <c r="BO96" s="69">
        <f t="shared" si="93"/>
        <v>0</v>
      </c>
      <c r="BP96" s="69">
        <f t="shared" ca="1" si="74"/>
        <v>0</v>
      </c>
      <c r="BQ96" s="69">
        <f t="shared" ca="1" si="114"/>
        <v>0</v>
      </c>
      <c r="BR96" s="69">
        <f t="shared" ca="1" si="75"/>
        <v>0</v>
      </c>
      <c r="BS96" s="69">
        <f ca="1">$AO96*IF(Auswahllisten!$G$150,BS$25+BS$25*BS$13*$AN96,BS$25*(1+BS$13)^$AN96)</f>
        <v>0</v>
      </c>
      <c r="BT96" s="69">
        <f ca="1">$AO96*IF(Auswahllisten!$G$150,BT$25+BT$25*BT$13*$AN96,BT$25*(1+BT$13)^$AN96)</f>
        <v>0</v>
      </c>
      <c r="BU96" s="69">
        <f ca="1">$AO96*IF(Auswahllisten!$G$150,BU$25+BU$25*BU$13*$AN96,BU$25*(1+BU$13)^$AN96)</f>
        <v>0</v>
      </c>
      <c r="BV96" s="69">
        <f ca="1">$AO96*IF(Auswahllisten!$G$150,BV$25+BV$25*BV$13*$AN96,BV$25*(1+BV$13)^$AN96)</f>
        <v>0</v>
      </c>
      <c r="BW96" s="69">
        <f t="shared" ca="1" si="115"/>
        <v>0</v>
      </c>
      <c r="BX96" s="69">
        <f t="shared" ca="1" si="116"/>
        <v>0</v>
      </c>
      <c r="BY96" s="69">
        <f t="shared" ca="1" si="105"/>
        <v>0</v>
      </c>
      <c r="BZ96" s="69">
        <f t="shared" ca="1" si="106"/>
        <v>0</v>
      </c>
    </row>
    <row r="97" spans="1:78">
      <c r="A97" s="304" t="s">
        <v>1217</v>
      </c>
      <c r="B97" s="131" t="s">
        <v>1242</v>
      </c>
      <c r="C97" s="131" t="s">
        <v>206</v>
      </c>
      <c r="D97" s="162" t="str" cm="1">
        <f t="array" aca="1" ref="D97" ca="1">INDIRECT("Vergleich!"&amp;$G$2&amp;Z97)</f>
        <v>mittel</v>
      </c>
      <c r="E97" s="162" cm="1">
        <f t="array" aca="1" ref="E97" ca="1">INDIRECT("Investition_gewählt!"&amp;$I$5&amp;AA97)</f>
        <v>0</v>
      </c>
      <c r="F97" s="25" cm="1">
        <f t="array" aca="1" ref="F97" ca="1">IF($C$5=0,0,INDEX(Faktoren!E83:GQ83,1,VLOOKUP($F$5,$L$2:$O$14,4,FALSE)+$C$9*5+VLOOKUP(D97,Auswahllisten!$E$25:$F$29,2,FALSE)))</f>
        <v>0</v>
      </c>
      <c r="G97" s="162">
        <f ca="1">E97*F97</f>
        <v>0</v>
      </c>
      <c r="H97" s="162" cm="1">
        <f t="array" aca="1" ref="H97" ca="1">INDIRECT("Investition_gewählt!"&amp;$I$6&amp;AA97)</f>
        <v>0</v>
      </c>
      <c r="I97" s="25" cm="1">
        <f t="array" aca="1" ref="I97" ca="1">IF($C$5=0,0,INDEX(Faktoren!E83:GQ83,1,VLOOKUP($F$6,$L$2:$O$14,4,FALSE)+$C$9*5+VLOOKUP(D97,Auswahllisten!$E$25:$F$29,2,FALSE)))</f>
        <v>0</v>
      </c>
      <c r="J97" s="162">
        <f ca="1">H97*I97</f>
        <v>0</v>
      </c>
      <c r="K97" s="162">
        <f t="shared" ref="K97:K106" ca="1" si="125">IF($C$5=0,0,G97+(J97-G97)*($C$6-$F$5)/($F$6-$F$5))</f>
        <v>0</v>
      </c>
      <c r="L97" s="25" t="b">
        <f ca="1">(OR($C$5=8,$C$5=9))</f>
        <v>0</v>
      </c>
      <c r="M97" s="162">
        <f t="shared" ca="1" si="122"/>
        <v>0</v>
      </c>
      <c r="O97" s="25" t="str" cm="1">
        <f t="array" aca="1" ref="O97" ca="1">INDIRECT("Vergleich!"&amp;$Y$2&amp;Z97)</f>
        <v>gering</v>
      </c>
      <c r="P97" s="162" cm="1">
        <f t="array" aca="1" ref="P97" ca="1">INDIRECT("Investition_gewählt!"&amp;$AA$5&amp;AA97)</f>
        <v>0</v>
      </c>
      <c r="Q97" s="25" cm="1">
        <f t="array" aca="1" ref="Q97" ca="1">IF($U$5=0,0,INDEX(Faktoren!E83:GQ83,1,VLOOKUP($X$5,$L$2:$O$14,4,FALSE)+$U$9*5+VLOOKUP(O97,Auswahllisten!$E$25:$F$29,2,FALSE)))</f>
        <v>0</v>
      </c>
      <c r="R97" s="162">
        <f t="shared" ref="R97:R106" ca="1" si="126">P97*Q97</f>
        <v>0</v>
      </c>
      <c r="S97" s="162" cm="1">
        <f t="array" aca="1" ref="S97" ca="1">INDIRECT("Investition_gewählt!"&amp;$AA$6&amp;AA97)</f>
        <v>0</v>
      </c>
      <c r="T97" s="25" cm="1">
        <f t="array" aca="1" ref="T97" ca="1">IF($U$5=0,0,INDEX(Faktoren!E83:QG83,1,VLOOKUP($X$6,$L$3:$O$14,4,FALSE)+$U$9*5+VLOOKUP(O97,Auswahllisten!$E$25:$F$29,2,FALSE)))</f>
        <v>0</v>
      </c>
      <c r="U97" s="162">
        <f t="shared" ref="U97:U106" ca="1" si="127">S97*T97</f>
        <v>0</v>
      </c>
      <c r="V97" s="162">
        <f t="shared" ca="1" si="102"/>
        <v>0</v>
      </c>
      <c r="W97" s="25" t="b">
        <f t="shared" ref="W97:W106" ca="1" si="128">(OR($U$5=8,$U$5=9))</f>
        <v>0</v>
      </c>
      <c r="X97" s="162">
        <f t="shared" ca="1" si="123"/>
        <v>0</v>
      </c>
      <c r="Z97" s="1">
        <v>38</v>
      </c>
      <c r="AA97" s="1">
        <v>83</v>
      </c>
      <c r="AB97" s="1">
        <v>-2</v>
      </c>
      <c r="AC97" s="82"/>
      <c r="AN97" s="1">
        <v>72</v>
      </c>
      <c r="AO97" s="1">
        <f t="shared" ref="AO97:AO125" si="129">IF($AS$3&lt;AN97,0,1)</f>
        <v>0</v>
      </c>
      <c r="AP97" s="69">
        <f t="shared" ref="AP97:AV113" ca="1" si="130">IFERROR($AO97*IF(MOD($AN97,AP$20)=0,AP$25,0)*(1+$AS$10)^$AN97*IF($AS$3=$AN97,0,1),0)</f>
        <v>0</v>
      </c>
      <c r="AQ97" s="69">
        <f t="shared" ca="1" si="130"/>
        <v>0</v>
      </c>
      <c r="AR97" s="69">
        <f t="shared" si="130"/>
        <v>0</v>
      </c>
      <c r="AS97" s="69">
        <f t="shared" ca="1" si="130"/>
        <v>0</v>
      </c>
      <c r="AT97" s="69">
        <f t="shared" ca="1" si="130"/>
        <v>0</v>
      </c>
      <c r="AU97" s="69">
        <f t="shared" ca="1" si="130"/>
        <v>0</v>
      </c>
      <c r="AV97" s="69">
        <f t="shared" si="130"/>
        <v>0</v>
      </c>
      <c r="AW97" s="69">
        <f t="shared" ref="AW97:AW125" ca="1" si="131">SUM(AP97:AV97)/(1+$AS$11)^AN97</f>
        <v>0</v>
      </c>
      <c r="AX97" s="69">
        <f t="shared" ref="AX97:AX125" ca="1" si="132">$AO97*AX$25*(1+$AS$9)^$AN97</f>
        <v>0</v>
      </c>
      <c r="AY97" s="69">
        <f t="shared" ref="AY97:AY125" ca="1" si="133">SUM(AX97)/(1+$AS$11)^AN97</f>
        <v>0</v>
      </c>
      <c r="AZ97" s="69">
        <f ca="1">$AO97*IF(Auswahllisten!$G$150,AZ$25+AZ$25*AZ$13*$AN97,AZ$25*(1+AZ$13)^$AN97)</f>
        <v>0</v>
      </c>
      <c r="BA97" s="69">
        <f ca="1">$AO97*IF(Auswahllisten!$G$150,BA$25+BA$25*BA$13*$AN97,BA$25*(1+BA$13)^$AN97)</f>
        <v>0</v>
      </c>
      <c r="BB97" s="69">
        <f ca="1">$AO97*IF(Auswahllisten!$G$150,BB$25+BB$25*BB$13*$AN97,BB$25*(1+BB$13)^$AN97)</f>
        <v>0</v>
      </c>
      <c r="BC97" s="69">
        <f ca="1">$AO97*IF(Auswahllisten!$G$150,BC$25+BC$25*BC$13*$AN97,BC$25*(1+BC$13)^$AN97)</f>
        <v>0</v>
      </c>
      <c r="BD97" s="69">
        <f t="shared" ca="1" si="110"/>
        <v>0</v>
      </c>
      <c r="BE97" s="69">
        <f t="shared" ref="BE97:BE125" ca="1" si="134">AO97*$BE$25*(1+$AS$8)^AN97</f>
        <v>0</v>
      </c>
      <c r="BF97" s="69">
        <f t="shared" ref="BF97:BF125" ca="1" si="135">BE97/(1+$AS$11)^AN97</f>
        <v>0</v>
      </c>
      <c r="BG97" s="69">
        <f t="shared" ca="1" si="113"/>
        <v>0</v>
      </c>
      <c r="BI97" s="69">
        <f t="shared" ref="BI97:BO125" ca="1" si="136">IFERROR($AO97*IF(MOD($AN97,BI$20)=0,BI$25,0)*(1+$AS$10)^$AN97*IF($AS$3=$AN97,0,1),0)</f>
        <v>0</v>
      </c>
      <c r="BJ97" s="69">
        <f t="shared" ca="1" si="136"/>
        <v>0</v>
      </c>
      <c r="BK97" s="69">
        <f t="shared" si="136"/>
        <v>0</v>
      </c>
      <c r="BL97" s="69">
        <f t="shared" ca="1" si="136"/>
        <v>0</v>
      </c>
      <c r="BM97" s="69">
        <f t="shared" ca="1" si="136"/>
        <v>0</v>
      </c>
      <c r="BN97" s="69">
        <f t="shared" ca="1" si="136"/>
        <v>0</v>
      </c>
      <c r="BO97" s="69">
        <f t="shared" si="136"/>
        <v>0</v>
      </c>
      <c r="BP97" s="69">
        <f t="shared" ref="BP97:BP122" ca="1" si="137">SUM(BI97:BO97)/(1+$AS$11)^AN97</f>
        <v>0</v>
      </c>
      <c r="BQ97" s="69">
        <f t="shared" ref="BQ97:BQ125" ca="1" si="138">$AO97*BQ$25*(1+$AS$9)^$AN97</f>
        <v>0</v>
      </c>
      <c r="BR97" s="69">
        <f t="shared" ref="BR97:BR125" ca="1" si="139">SUM(BQ97)/(1+$AS$11)^AN97</f>
        <v>0</v>
      </c>
      <c r="BS97" s="69">
        <f ca="1">$AO97*IF(Auswahllisten!$G$150,BS$25+BS$25*BS$13*$AN97,BS$25*(1+BS$13)^$AN97)</f>
        <v>0</v>
      </c>
      <c r="BT97" s="69">
        <f ca="1">$AO97*IF(Auswahllisten!$G$150,BT$25+BT$25*BT$13*$AN97,BT$25*(1+BT$13)^$AN97)</f>
        <v>0</v>
      </c>
      <c r="BU97" s="69">
        <f ca="1">$AO97*IF(Auswahllisten!$G$150,BU$25+BU$25*BU$13*$AN97,BU$25*(1+BU$13)^$AN97)</f>
        <v>0</v>
      </c>
      <c r="BV97" s="69">
        <f ca="1">$AO97*IF(Auswahllisten!$G$150,BV$25+BV$25*BV$13*$AN97,BV$25*(1+BV$13)^$AN97)</f>
        <v>0</v>
      </c>
      <c r="BW97" s="69">
        <f t="shared" ca="1" si="115"/>
        <v>0</v>
      </c>
      <c r="BX97" s="69">
        <f t="shared" ref="BX97:BX125" ca="1" si="140">AO97*$BX$25*(1+$AS$8)^AN97</f>
        <v>0</v>
      </c>
      <c r="BY97" s="69">
        <f t="shared" ref="BY97:BY125" ca="1" si="141">BX97/(1+$AS$11)^AN97</f>
        <v>0</v>
      </c>
      <c r="BZ97" s="69">
        <f t="shared" ca="1" si="106"/>
        <v>0</v>
      </c>
    </row>
    <row r="98" spans="1:78">
      <c r="A98" s="305" t="s">
        <v>1215</v>
      </c>
      <c r="B98" s="126" t="s">
        <v>303</v>
      </c>
      <c r="C98" s="126" t="s">
        <v>1336</v>
      </c>
      <c r="D98" s="26" t="str" cm="1">
        <f t="array" aca="1" ref="D98" ca="1">INDIRECT("Vergleich!"&amp;$G$2&amp;Z98)</f>
        <v>mittel</v>
      </c>
      <c r="E98" s="26" cm="1">
        <f t="array" aca="1" ref="E98" ca="1">INDIRECT("Investition_gewählt!"&amp;$I$5&amp;AA98)</f>
        <v>0</v>
      </c>
      <c r="F98" s="25" cm="1">
        <f t="array" aca="1" ref="F98" ca="1">IF($C$5=0,0,INDEX(Faktoren!E84:GQ84,1,VLOOKUP($F$5,$L$2:$O$14,4,FALSE)+$C$9*5+VLOOKUP(D98,Auswahllisten!$E$25:$F$29,2,FALSE)))</f>
        <v>0</v>
      </c>
      <c r="G98" s="162">
        <f t="shared" ref="G98:G106" ca="1" si="142">E98*F98</f>
        <v>0</v>
      </c>
      <c r="H98" s="26" cm="1">
        <f t="array" aca="1" ref="H98" ca="1">INDIRECT("Investition_gewählt!"&amp;$I$6&amp;AA98)</f>
        <v>0</v>
      </c>
      <c r="I98" s="25" cm="1">
        <f t="array" aca="1" ref="I98" ca="1">IF($C$5=0,0,INDEX(Faktoren!E84:GQ84,1,VLOOKUP($F$6,$L$2:$O$14,4,FALSE)+$C$9*5+VLOOKUP(D98,Auswahllisten!$E$25:$F$29,2,FALSE)))</f>
        <v>0</v>
      </c>
      <c r="J98" s="162">
        <f t="shared" ref="J98:J106" ca="1" si="143">H98*I98</f>
        <v>0</v>
      </c>
      <c r="K98" s="26">
        <f t="shared" ca="1" si="125"/>
        <v>0</v>
      </c>
      <c r="L98" s="25" t="b">
        <f t="shared" ref="L98:L106" ca="1" si="144">(OR($C$5=8,$C$5=9))</f>
        <v>0</v>
      </c>
      <c r="M98" s="26">
        <f t="shared" ca="1" si="122"/>
        <v>0</v>
      </c>
      <c r="O98" s="16" t="str" cm="1">
        <f t="array" aca="1" ref="O98" ca="1">INDIRECT("Vergleich!"&amp;$Y$2&amp;Z98)</f>
        <v>gering</v>
      </c>
      <c r="P98" s="26" cm="1">
        <f t="array" aca="1" ref="P98" ca="1">INDIRECT("Investition_gewählt!"&amp;$AA$5&amp;AA98)</f>
        <v>0</v>
      </c>
      <c r="Q98" s="16" cm="1">
        <f t="array" aca="1" ref="Q98" ca="1">IF($U$5=0,0,INDEX(Faktoren!E84:GQ84,1,VLOOKUP($X$5,$L$2:$O$14,4,FALSE)+$U$9*5+VLOOKUP(O98,Auswahllisten!$E$25:$F$29,2,FALSE)))</f>
        <v>0</v>
      </c>
      <c r="R98" s="26">
        <f t="shared" ca="1" si="126"/>
        <v>0</v>
      </c>
      <c r="S98" s="26" cm="1">
        <f t="array" aca="1" ref="S98" ca="1">INDIRECT("Investition_gewählt!"&amp;$AA$6&amp;AA98)</f>
        <v>0</v>
      </c>
      <c r="T98" s="16" cm="1">
        <f t="array" aca="1" ref="T98" ca="1">IF($U$5=0,0,INDEX(Faktoren!E84:QG84,1,VLOOKUP($X$6,$L$3:$O$14,4,FALSE)+$U$9*5+VLOOKUP(O98,Auswahllisten!$E$25:$F$29,2,FALSE)))</f>
        <v>0</v>
      </c>
      <c r="U98" s="26">
        <f t="shared" ca="1" si="127"/>
        <v>0</v>
      </c>
      <c r="V98" s="26">
        <f t="shared" ca="1" si="102"/>
        <v>0</v>
      </c>
      <c r="W98" s="16" t="b">
        <f t="shared" ca="1" si="128"/>
        <v>0</v>
      </c>
      <c r="X98" s="26">
        <f t="shared" ca="1" si="123"/>
        <v>0</v>
      </c>
      <c r="Z98" s="1">
        <v>40</v>
      </c>
      <c r="AA98" s="1">
        <v>84</v>
      </c>
      <c r="AB98" s="1">
        <v>-2</v>
      </c>
      <c r="AC98" s="82"/>
      <c r="AN98" s="1">
        <v>73</v>
      </c>
      <c r="AO98" s="1">
        <f t="shared" si="129"/>
        <v>0</v>
      </c>
      <c r="AP98" s="69">
        <f t="shared" ca="1" si="130"/>
        <v>0</v>
      </c>
      <c r="AQ98" s="69">
        <f t="shared" ca="1" si="130"/>
        <v>0</v>
      </c>
      <c r="AR98" s="69">
        <f t="shared" si="130"/>
        <v>0</v>
      </c>
      <c r="AS98" s="69">
        <f t="shared" ca="1" si="130"/>
        <v>0</v>
      </c>
      <c r="AT98" s="69">
        <f t="shared" ca="1" si="130"/>
        <v>0</v>
      </c>
      <c r="AU98" s="69">
        <f t="shared" ca="1" si="130"/>
        <v>0</v>
      </c>
      <c r="AV98" s="69">
        <f t="shared" si="130"/>
        <v>0</v>
      </c>
      <c r="AW98" s="69">
        <f t="shared" ca="1" si="131"/>
        <v>0</v>
      </c>
      <c r="AX98" s="69">
        <f t="shared" ca="1" si="132"/>
        <v>0</v>
      </c>
      <c r="AY98" s="69">
        <f t="shared" ca="1" si="133"/>
        <v>0</v>
      </c>
      <c r="AZ98" s="69">
        <f ca="1">$AO98*IF(Auswahllisten!$G$150,AZ$25+AZ$25*AZ$13*$AN98,AZ$25*(1+AZ$13)^$AN98)</f>
        <v>0</v>
      </c>
      <c r="BA98" s="69">
        <f ca="1">$AO98*IF(Auswahllisten!$G$150,BA$25+BA$25*BA$13*$AN98,BA$25*(1+BA$13)^$AN98)</f>
        <v>0</v>
      </c>
      <c r="BB98" s="69">
        <f ca="1">$AO98*IF(Auswahllisten!$G$150,BB$25+BB$25*BB$13*$AN98,BB$25*(1+BB$13)^$AN98)</f>
        <v>0</v>
      </c>
      <c r="BC98" s="69">
        <f ca="1">$AO98*IF(Auswahllisten!$G$150,BC$25+BC$25*BC$13*$AN98,BC$25*(1+BC$13)^$AN98)</f>
        <v>0</v>
      </c>
      <c r="BD98" s="69">
        <f t="shared" ca="1" si="110"/>
        <v>0</v>
      </c>
      <c r="BE98" s="69">
        <f t="shared" ca="1" si="134"/>
        <v>0</v>
      </c>
      <c r="BF98" s="69">
        <f t="shared" ca="1" si="135"/>
        <v>0</v>
      </c>
      <c r="BG98" s="69">
        <f t="shared" ca="1" si="113"/>
        <v>0</v>
      </c>
      <c r="BI98" s="69">
        <f t="shared" ca="1" si="136"/>
        <v>0</v>
      </c>
      <c r="BJ98" s="69">
        <f t="shared" ca="1" si="136"/>
        <v>0</v>
      </c>
      <c r="BK98" s="69">
        <f t="shared" si="136"/>
        <v>0</v>
      </c>
      <c r="BL98" s="69">
        <f t="shared" ca="1" si="136"/>
        <v>0</v>
      </c>
      <c r="BM98" s="69">
        <f t="shared" ca="1" si="136"/>
        <v>0</v>
      </c>
      <c r="BN98" s="69">
        <f t="shared" ca="1" si="136"/>
        <v>0</v>
      </c>
      <c r="BO98" s="69">
        <f t="shared" si="136"/>
        <v>0</v>
      </c>
      <c r="BP98" s="69">
        <f t="shared" ca="1" si="137"/>
        <v>0</v>
      </c>
      <c r="BQ98" s="69">
        <f t="shared" ca="1" si="138"/>
        <v>0</v>
      </c>
      <c r="BR98" s="69">
        <f t="shared" ca="1" si="139"/>
        <v>0</v>
      </c>
      <c r="BS98" s="69">
        <f ca="1">$AO98*IF(Auswahllisten!$G$150,BS$25+BS$25*BS$13*$AN98,BS$25*(1+BS$13)^$AN98)</f>
        <v>0</v>
      </c>
      <c r="BT98" s="69">
        <f ca="1">$AO98*IF(Auswahllisten!$G$150,BT$25+BT$25*BT$13*$AN98,BT$25*(1+BT$13)^$AN98)</f>
        <v>0</v>
      </c>
      <c r="BU98" s="69">
        <f ca="1">$AO98*IF(Auswahllisten!$G$150,BU$25+BU$25*BU$13*$AN98,BU$25*(1+BU$13)^$AN98)</f>
        <v>0</v>
      </c>
      <c r="BV98" s="69">
        <f ca="1">$AO98*IF(Auswahllisten!$G$150,BV$25+BV$25*BV$13*$AN98,BV$25*(1+BV$13)^$AN98)</f>
        <v>0</v>
      </c>
      <c r="BW98" s="69">
        <f t="shared" ca="1" si="115"/>
        <v>0</v>
      </c>
      <c r="BX98" s="69">
        <f t="shared" ca="1" si="140"/>
        <v>0</v>
      </c>
      <c r="BY98" s="69">
        <f t="shared" ca="1" si="141"/>
        <v>0</v>
      </c>
      <c r="BZ98" s="69">
        <f t="shared" ca="1" si="106"/>
        <v>0</v>
      </c>
    </row>
    <row r="99" spans="1:78">
      <c r="A99" s="305" t="s">
        <v>1215</v>
      </c>
      <c r="B99" s="126" t="s">
        <v>303</v>
      </c>
      <c r="C99" s="126" t="s">
        <v>965</v>
      </c>
      <c r="D99" s="26" t="str" cm="1">
        <f t="array" aca="1" ref="D99" ca="1">INDIRECT("Vergleich!"&amp;$G$2&amp;Z99)</f>
        <v>mittel</v>
      </c>
      <c r="E99" s="26" cm="1">
        <f t="array" aca="1" ref="E99" ca="1">INDIRECT("Investition_gewählt!"&amp;$I$5&amp;AA99)</f>
        <v>0</v>
      </c>
      <c r="F99" s="25" cm="1">
        <f t="array" aca="1" ref="F99" ca="1">IF($C$5=0,0,INDEX(Faktoren!E85:GQ85,1,VLOOKUP($F$5,$L$2:$O$14,4,FALSE)+$C$9*5+VLOOKUP(D99,Auswahllisten!$E$25:$F$29,2,FALSE)))</f>
        <v>0</v>
      </c>
      <c r="G99" s="162">
        <f t="shared" ca="1" si="142"/>
        <v>0</v>
      </c>
      <c r="H99" s="26" cm="1">
        <f t="array" aca="1" ref="H99" ca="1">INDIRECT("Investition_gewählt!"&amp;$I$6&amp;AA99)</f>
        <v>0</v>
      </c>
      <c r="I99" s="25" cm="1">
        <f t="array" aca="1" ref="I99" ca="1">IF($C$5=0,0,INDEX(Faktoren!E85:GQ85,1,VLOOKUP($F$6,$L$2:$O$14,4,FALSE)+$C$9*5+VLOOKUP(D99,Auswahllisten!$E$25:$F$29,2,FALSE)))</f>
        <v>0</v>
      </c>
      <c r="J99" s="162">
        <f t="shared" ca="1" si="143"/>
        <v>0</v>
      </c>
      <c r="K99" s="26">
        <f t="shared" ca="1" si="125"/>
        <v>0</v>
      </c>
      <c r="L99" s="25" t="b">
        <f t="shared" ca="1" si="144"/>
        <v>0</v>
      </c>
      <c r="M99" s="26">
        <f t="shared" ca="1" si="122"/>
        <v>0</v>
      </c>
      <c r="O99" s="16" t="str" cm="1">
        <f t="array" aca="1" ref="O99" ca="1">INDIRECT("Vergleich!"&amp;$Y$2&amp;Z99)</f>
        <v>gering</v>
      </c>
      <c r="P99" s="26" cm="1">
        <f t="array" aca="1" ref="P99" ca="1">INDIRECT("Investition_gewählt!"&amp;$AA$5&amp;AA99)</f>
        <v>0</v>
      </c>
      <c r="Q99" s="16" cm="1">
        <f t="array" aca="1" ref="Q99" ca="1">IF($U$5=0,0,INDEX(Faktoren!E85:GQ85,1,VLOOKUP($X$5,$L$2:$O$14,4,FALSE)+$U$9*5+VLOOKUP(O99,Auswahllisten!$E$25:$F$29,2,FALSE)))</f>
        <v>0</v>
      </c>
      <c r="R99" s="26">
        <f t="shared" ca="1" si="126"/>
        <v>0</v>
      </c>
      <c r="S99" s="26" cm="1">
        <f t="array" aca="1" ref="S99" ca="1">INDIRECT("Investition_gewählt!"&amp;$AA$6&amp;AA99)</f>
        <v>0</v>
      </c>
      <c r="T99" s="16" cm="1">
        <f t="array" aca="1" ref="T99" ca="1">IF($U$5=0,0,INDEX(Faktoren!E85:QG85,1,VLOOKUP($X$6,$L$3:$O$14,4,FALSE)+$U$9*5+VLOOKUP(O99,Auswahllisten!$E$25:$F$29,2,FALSE)))</f>
        <v>0</v>
      </c>
      <c r="U99" s="26">
        <f t="shared" ca="1" si="127"/>
        <v>0</v>
      </c>
      <c r="V99" s="26">
        <f t="shared" ca="1" si="102"/>
        <v>0</v>
      </c>
      <c r="W99" s="16" t="b">
        <f t="shared" ca="1" si="128"/>
        <v>0</v>
      </c>
      <c r="X99" s="26">
        <f t="shared" ca="1" si="123"/>
        <v>0</v>
      </c>
      <c r="Z99" s="1">
        <v>42</v>
      </c>
      <c r="AA99" s="1">
        <v>85</v>
      </c>
      <c r="AB99" s="1">
        <v>-2</v>
      </c>
      <c r="AC99" s="82"/>
      <c r="AN99" s="1">
        <v>74</v>
      </c>
      <c r="AO99" s="1">
        <f t="shared" si="129"/>
        <v>0</v>
      </c>
      <c r="AP99" s="69">
        <f t="shared" ca="1" si="130"/>
        <v>0</v>
      </c>
      <c r="AQ99" s="69">
        <f t="shared" ca="1" si="130"/>
        <v>0</v>
      </c>
      <c r="AR99" s="69">
        <f t="shared" si="130"/>
        <v>0</v>
      </c>
      <c r="AS99" s="69">
        <f t="shared" ca="1" si="130"/>
        <v>0</v>
      </c>
      <c r="AT99" s="69">
        <f t="shared" ca="1" si="130"/>
        <v>0</v>
      </c>
      <c r="AU99" s="69">
        <f t="shared" ca="1" si="130"/>
        <v>0</v>
      </c>
      <c r="AV99" s="69">
        <f t="shared" si="130"/>
        <v>0</v>
      </c>
      <c r="AW99" s="69">
        <f t="shared" ca="1" si="131"/>
        <v>0</v>
      </c>
      <c r="AX99" s="69">
        <f t="shared" ca="1" si="132"/>
        <v>0</v>
      </c>
      <c r="AY99" s="69">
        <f t="shared" ca="1" si="133"/>
        <v>0</v>
      </c>
      <c r="AZ99" s="69">
        <f ca="1">$AO99*IF(Auswahllisten!$G$150,AZ$25+AZ$25*AZ$13*$AN99,AZ$25*(1+AZ$13)^$AN99)</f>
        <v>0</v>
      </c>
      <c r="BA99" s="69">
        <f ca="1">$AO99*IF(Auswahllisten!$G$150,BA$25+BA$25*BA$13*$AN99,BA$25*(1+BA$13)^$AN99)</f>
        <v>0</v>
      </c>
      <c r="BB99" s="69">
        <f ca="1">$AO99*IF(Auswahllisten!$G$150,BB$25+BB$25*BB$13*$AN99,BB$25*(1+BB$13)^$AN99)</f>
        <v>0</v>
      </c>
      <c r="BC99" s="69">
        <f ca="1">$AO99*IF(Auswahllisten!$G$150,BC$25+BC$25*BC$13*$AN99,BC$25*(1+BC$13)^$AN99)</f>
        <v>0</v>
      </c>
      <c r="BD99" s="69">
        <f t="shared" ca="1" si="110"/>
        <v>0</v>
      </c>
      <c r="BE99" s="69">
        <f t="shared" ca="1" si="134"/>
        <v>0</v>
      </c>
      <c r="BF99" s="69">
        <f t="shared" ca="1" si="135"/>
        <v>0</v>
      </c>
      <c r="BG99" s="69">
        <f t="shared" ca="1" si="113"/>
        <v>0</v>
      </c>
      <c r="BI99" s="69">
        <f t="shared" ca="1" si="136"/>
        <v>0</v>
      </c>
      <c r="BJ99" s="69">
        <f t="shared" ca="1" si="136"/>
        <v>0</v>
      </c>
      <c r="BK99" s="69">
        <f t="shared" si="136"/>
        <v>0</v>
      </c>
      <c r="BL99" s="69">
        <f t="shared" ca="1" si="136"/>
        <v>0</v>
      </c>
      <c r="BM99" s="69">
        <f t="shared" ca="1" si="136"/>
        <v>0</v>
      </c>
      <c r="BN99" s="69">
        <f t="shared" ca="1" si="136"/>
        <v>0</v>
      </c>
      <c r="BO99" s="69">
        <f t="shared" si="136"/>
        <v>0</v>
      </c>
      <c r="BP99" s="69">
        <f t="shared" ca="1" si="137"/>
        <v>0</v>
      </c>
      <c r="BQ99" s="69">
        <f t="shared" ca="1" si="138"/>
        <v>0</v>
      </c>
      <c r="BR99" s="69">
        <f t="shared" ca="1" si="139"/>
        <v>0</v>
      </c>
      <c r="BS99" s="69">
        <f ca="1">$AO99*IF(Auswahllisten!$G$150,BS$25+BS$25*BS$13*$AN99,BS$25*(1+BS$13)^$AN99)</f>
        <v>0</v>
      </c>
      <c r="BT99" s="69">
        <f ca="1">$AO99*IF(Auswahllisten!$G$150,BT$25+BT$25*BT$13*$AN99,BT$25*(1+BT$13)^$AN99)</f>
        <v>0</v>
      </c>
      <c r="BU99" s="69">
        <f ca="1">$AO99*IF(Auswahllisten!$G$150,BU$25+BU$25*BU$13*$AN99,BU$25*(1+BU$13)^$AN99)</f>
        <v>0</v>
      </c>
      <c r="BV99" s="69">
        <f ca="1">$AO99*IF(Auswahllisten!$G$150,BV$25+BV$25*BV$13*$AN99,BV$25*(1+BV$13)^$AN99)</f>
        <v>0</v>
      </c>
      <c r="BW99" s="69">
        <f t="shared" ca="1" si="115"/>
        <v>0</v>
      </c>
      <c r="BX99" s="69">
        <f t="shared" ca="1" si="140"/>
        <v>0</v>
      </c>
      <c r="BY99" s="69">
        <f t="shared" ca="1" si="141"/>
        <v>0</v>
      </c>
      <c r="BZ99" s="69">
        <f t="shared" ca="1" si="106"/>
        <v>0</v>
      </c>
    </row>
    <row r="100" spans="1:78">
      <c r="A100" s="305" t="s">
        <v>1218</v>
      </c>
      <c r="B100" s="126" t="s">
        <v>1243</v>
      </c>
      <c r="C100" s="185" t="s">
        <v>231</v>
      </c>
      <c r="D100" s="26" t="str" cm="1">
        <f t="array" aca="1" ref="D100" ca="1">INDIRECT("Vergleich!"&amp;$G$2&amp;Z100)</f>
        <v>mittel</v>
      </c>
      <c r="E100" s="26" cm="1">
        <f t="array" aca="1" ref="E100" ca="1">INDIRECT("Investition_gewählt!"&amp;$I$5&amp;AA100)</f>
        <v>0</v>
      </c>
      <c r="F100" s="25" cm="1">
        <f t="array" aca="1" ref="F100" ca="1">IF($C$5=0,0,INDEX(Faktoren!E86:GQ86,1,VLOOKUP($F$5,$L$2:$O$14,4,FALSE)+$C$9*5+VLOOKUP(D100,Auswahllisten!$E$25:$F$29,2,FALSE)))</f>
        <v>0</v>
      </c>
      <c r="G100" s="162">
        <f t="shared" ca="1" si="142"/>
        <v>0</v>
      </c>
      <c r="H100" s="26" cm="1">
        <f t="array" aca="1" ref="H100" ca="1">INDIRECT("Investition_gewählt!"&amp;$I$6&amp;AA100)</f>
        <v>0</v>
      </c>
      <c r="I100" s="25" cm="1">
        <f t="array" aca="1" ref="I100" ca="1">IF($C$5=0,0,INDEX(Faktoren!E86:GQ86,1,VLOOKUP($F$6,$L$2:$O$14,4,FALSE)+$C$9*5+VLOOKUP(D100,Auswahllisten!$E$25:$F$29,2,FALSE)))</f>
        <v>0</v>
      </c>
      <c r="J100" s="162">
        <f t="shared" ca="1" si="143"/>
        <v>0</v>
      </c>
      <c r="K100" s="26">
        <f t="shared" ca="1" si="125"/>
        <v>0</v>
      </c>
      <c r="L100" s="25" t="b">
        <f t="shared" ca="1" si="144"/>
        <v>0</v>
      </c>
      <c r="M100" s="26">
        <f t="shared" ca="1" si="122"/>
        <v>0</v>
      </c>
      <c r="O100" s="16" t="str" cm="1">
        <f t="array" aca="1" ref="O100" ca="1">INDIRECT("Vergleich!"&amp;$Y$2&amp;Z100)</f>
        <v>gering</v>
      </c>
      <c r="P100" s="26" cm="1">
        <f t="array" aca="1" ref="P100" ca="1">INDIRECT("Investition_gewählt!"&amp;$AA$5&amp;AA100)</f>
        <v>0</v>
      </c>
      <c r="Q100" s="16" cm="1">
        <f t="array" aca="1" ref="Q100" ca="1">IF($U$5=0,0,INDEX(Faktoren!E86:GQ86,1,VLOOKUP($X$5,$L$2:$O$14,4,FALSE)+$U$9*5+VLOOKUP(O100,Auswahllisten!$E$25:$F$29,2,FALSE)))</f>
        <v>0</v>
      </c>
      <c r="R100" s="26">
        <f t="shared" ca="1" si="126"/>
        <v>0</v>
      </c>
      <c r="S100" s="26" cm="1">
        <f t="array" aca="1" ref="S100" ca="1">INDIRECT("Investition_gewählt!"&amp;$AA$6&amp;AA100)</f>
        <v>0</v>
      </c>
      <c r="T100" s="16" cm="1">
        <f t="array" aca="1" ref="T100" ca="1">IF($U$5=0,0,INDEX(Faktoren!E86:QG86,1,VLOOKUP($X$6,$L$3:$O$14,4,FALSE)+$U$9*5+VLOOKUP(O100,Auswahllisten!$E$25:$F$29,2,FALSE)))</f>
        <v>0</v>
      </c>
      <c r="U100" s="26">
        <f t="shared" ca="1" si="127"/>
        <v>0</v>
      </c>
      <c r="V100" s="26">
        <f t="shared" ca="1" si="102"/>
        <v>0</v>
      </c>
      <c r="W100" s="16" t="b">
        <f t="shared" ca="1" si="128"/>
        <v>0</v>
      </c>
      <c r="X100" s="26">
        <f t="shared" ca="1" si="123"/>
        <v>0</v>
      </c>
      <c r="Z100" s="1">
        <v>41</v>
      </c>
      <c r="AA100" s="1">
        <v>86</v>
      </c>
      <c r="AB100" s="1">
        <v>-2</v>
      </c>
      <c r="AC100" s="82"/>
      <c r="AN100" s="1">
        <v>75</v>
      </c>
      <c r="AO100" s="1">
        <f t="shared" si="129"/>
        <v>0</v>
      </c>
      <c r="AP100" s="69">
        <f t="shared" ca="1" si="130"/>
        <v>0</v>
      </c>
      <c r="AQ100" s="69">
        <f t="shared" ca="1" si="130"/>
        <v>0</v>
      </c>
      <c r="AR100" s="69">
        <f t="shared" si="130"/>
        <v>0</v>
      </c>
      <c r="AS100" s="69">
        <f t="shared" ca="1" si="130"/>
        <v>0</v>
      </c>
      <c r="AT100" s="69">
        <f t="shared" ca="1" si="130"/>
        <v>0</v>
      </c>
      <c r="AU100" s="69">
        <f t="shared" ca="1" si="130"/>
        <v>0</v>
      </c>
      <c r="AV100" s="69">
        <f t="shared" si="130"/>
        <v>0</v>
      </c>
      <c r="AW100" s="69">
        <f t="shared" ca="1" si="131"/>
        <v>0</v>
      </c>
      <c r="AX100" s="69">
        <f t="shared" ca="1" si="132"/>
        <v>0</v>
      </c>
      <c r="AY100" s="69">
        <f t="shared" ca="1" si="133"/>
        <v>0</v>
      </c>
      <c r="AZ100" s="69">
        <f ca="1">$AO100*IF(Auswahllisten!$G$150,AZ$25+AZ$25*AZ$13*$AN100,AZ$25*(1+AZ$13)^$AN100)</f>
        <v>0</v>
      </c>
      <c r="BA100" s="69">
        <f ca="1">$AO100*IF(Auswahllisten!$G$150,BA$25+BA$25*BA$13*$AN100,BA$25*(1+BA$13)^$AN100)</f>
        <v>0</v>
      </c>
      <c r="BB100" s="69">
        <f ca="1">$AO100*IF(Auswahllisten!$G$150,BB$25+BB$25*BB$13*$AN100,BB$25*(1+BB$13)^$AN100)</f>
        <v>0</v>
      </c>
      <c r="BC100" s="69">
        <f ca="1">$AO100*IF(Auswahllisten!$G$150,BC$25+BC$25*BC$13*$AN100,BC$25*(1+BC$13)^$AN100)</f>
        <v>0</v>
      </c>
      <c r="BD100" s="69">
        <f t="shared" ca="1" si="110"/>
        <v>0</v>
      </c>
      <c r="BE100" s="69">
        <f t="shared" ca="1" si="134"/>
        <v>0</v>
      </c>
      <c r="BF100" s="69">
        <f t="shared" ca="1" si="135"/>
        <v>0</v>
      </c>
      <c r="BG100" s="69">
        <f t="shared" ca="1" si="113"/>
        <v>0</v>
      </c>
      <c r="BI100" s="69">
        <f t="shared" ca="1" si="136"/>
        <v>0</v>
      </c>
      <c r="BJ100" s="69">
        <f t="shared" ca="1" si="136"/>
        <v>0</v>
      </c>
      <c r="BK100" s="69">
        <f t="shared" si="136"/>
        <v>0</v>
      </c>
      <c r="BL100" s="69">
        <f t="shared" ca="1" si="136"/>
        <v>0</v>
      </c>
      <c r="BM100" s="69">
        <f t="shared" ca="1" si="136"/>
        <v>0</v>
      </c>
      <c r="BN100" s="69">
        <f t="shared" ca="1" si="136"/>
        <v>0</v>
      </c>
      <c r="BO100" s="69">
        <f t="shared" si="136"/>
        <v>0</v>
      </c>
      <c r="BP100" s="69">
        <f t="shared" ca="1" si="137"/>
        <v>0</v>
      </c>
      <c r="BQ100" s="69">
        <f t="shared" ca="1" si="138"/>
        <v>0</v>
      </c>
      <c r="BR100" s="69">
        <f t="shared" ca="1" si="139"/>
        <v>0</v>
      </c>
      <c r="BS100" s="69">
        <f ca="1">$AO100*IF(Auswahllisten!$G$150,BS$25+BS$25*BS$13*$AN100,BS$25*(1+BS$13)^$AN100)</f>
        <v>0</v>
      </c>
      <c r="BT100" s="69">
        <f ca="1">$AO100*IF(Auswahllisten!$G$150,BT$25+BT$25*BT$13*$AN100,BT$25*(1+BT$13)^$AN100)</f>
        <v>0</v>
      </c>
      <c r="BU100" s="69">
        <f ca="1">$AO100*IF(Auswahllisten!$G$150,BU$25+BU$25*BU$13*$AN100,BU$25*(1+BU$13)^$AN100)</f>
        <v>0</v>
      </c>
      <c r="BV100" s="69">
        <f ca="1">$AO100*IF(Auswahllisten!$G$150,BV$25+BV$25*BV$13*$AN100,BV$25*(1+BV$13)^$AN100)</f>
        <v>0</v>
      </c>
      <c r="BW100" s="69">
        <f t="shared" ca="1" si="115"/>
        <v>0</v>
      </c>
      <c r="BX100" s="69">
        <f t="shared" ca="1" si="140"/>
        <v>0</v>
      </c>
      <c r="BY100" s="69">
        <f t="shared" ca="1" si="141"/>
        <v>0</v>
      </c>
      <c r="BZ100" s="69">
        <f t="shared" ca="1" si="106"/>
        <v>0</v>
      </c>
    </row>
    <row r="101" spans="1:78">
      <c r="A101" s="305" t="s">
        <v>1215</v>
      </c>
      <c r="B101" s="126" t="s">
        <v>303</v>
      </c>
      <c r="C101" s="126" t="s">
        <v>966</v>
      </c>
      <c r="D101" s="26" t="str" cm="1">
        <f t="array" aca="1" ref="D101" ca="1">INDIRECT("Vergleich!"&amp;$G$2&amp;Z101)</f>
        <v>mittel</v>
      </c>
      <c r="E101" s="26" cm="1">
        <f t="array" aca="1" ref="E101" ca="1">INDIRECT("Investition_gewählt!"&amp;$I$5&amp;AA101)</f>
        <v>0</v>
      </c>
      <c r="F101" s="25" cm="1">
        <f t="array" aca="1" ref="F101" ca="1">IF($C$5=0,0,INDEX(Faktoren!E87:GQ87,1,VLOOKUP($F$5,$L$2:$O$14,4,FALSE)+$C$9*5+VLOOKUP(D101,Auswahllisten!$E$25:$F$29,2,FALSE)))</f>
        <v>0</v>
      </c>
      <c r="G101" s="162">
        <f t="shared" ca="1" si="142"/>
        <v>0</v>
      </c>
      <c r="H101" s="26" cm="1">
        <f t="array" aca="1" ref="H101" ca="1">INDIRECT("Investition_gewählt!"&amp;$I$6&amp;AA101)</f>
        <v>0</v>
      </c>
      <c r="I101" s="25" cm="1">
        <f t="array" aca="1" ref="I101" ca="1">IF($C$5=0,0,INDEX(Faktoren!E87:GQ87,1,VLOOKUP($F$6,$L$2:$O$14,4,FALSE)+$C$9*5+VLOOKUP(D101,Auswahllisten!$E$25:$F$29,2,FALSE)))</f>
        <v>0</v>
      </c>
      <c r="J101" s="162">
        <f t="shared" ca="1" si="143"/>
        <v>0</v>
      </c>
      <c r="K101" s="26">
        <f t="shared" ca="1" si="125"/>
        <v>0</v>
      </c>
      <c r="L101" s="25" t="b">
        <f t="shared" ca="1" si="144"/>
        <v>0</v>
      </c>
      <c r="M101" s="26">
        <f t="shared" ca="1" si="122"/>
        <v>0</v>
      </c>
      <c r="O101" s="16" t="str" cm="1">
        <f t="array" aca="1" ref="O101" ca="1">INDIRECT("Vergleich!"&amp;$Y$2&amp;Z101)</f>
        <v>gering</v>
      </c>
      <c r="P101" s="26" cm="1">
        <f t="array" aca="1" ref="P101" ca="1">INDIRECT("Investition_gewählt!"&amp;$AA$5&amp;AA101)</f>
        <v>0</v>
      </c>
      <c r="Q101" s="16" cm="1">
        <f t="array" aca="1" ref="Q101" ca="1">IF($U$5=0,0,INDEX(Faktoren!E87:GQ87,1,VLOOKUP($X$5,$L$2:$O$14,4,FALSE)+$U$9*5+VLOOKUP(O101,Auswahllisten!$E$25:$F$29,2,FALSE)))</f>
        <v>0</v>
      </c>
      <c r="R101" s="26">
        <f t="shared" ca="1" si="126"/>
        <v>0</v>
      </c>
      <c r="S101" s="26" cm="1">
        <f t="array" aca="1" ref="S101" ca="1">INDIRECT("Investition_gewählt!"&amp;$AA$6&amp;AA101)</f>
        <v>0</v>
      </c>
      <c r="T101" s="16" cm="1">
        <f t="array" aca="1" ref="T101" ca="1">IF($U$5=0,0,INDEX(Faktoren!E87:QG87,1,VLOOKUP($X$6,$L$3:$O$14,4,FALSE)+$U$9*5+VLOOKUP(O101,Auswahllisten!$E$25:$F$29,2,FALSE)))</f>
        <v>0</v>
      </c>
      <c r="U101" s="26">
        <f t="shared" ca="1" si="127"/>
        <v>0</v>
      </c>
      <c r="V101" s="26">
        <f t="shared" ca="1" si="102"/>
        <v>0</v>
      </c>
      <c r="W101" s="16" t="b">
        <f t="shared" ca="1" si="128"/>
        <v>0</v>
      </c>
      <c r="X101" s="26">
        <f t="shared" ca="1" si="123"/>
        <v>0</v>
      </c>
      <c r="Z101" s="1">
        <v>47</v>
      </c>
      <c r="AA101" s="1">
        <v>87</v>
      </c>
      <c r="AB101" s="1">
        <v>-2</v>
      </c>
      <c r="AC101" s="82"/>
      <c r="AN101" s="1">
        <v>76</v>
      </c>
      <c r="AO101" s="1">
        <f t="shared" si="129"/>
        <v>0</v>
      </c>
      <c r="AP101" s="69">
        <f t="shared" ca="1" si="130"/>
        <v>0</v>
      </c>
      <c r="AQ101" s="69">
        <f t="shared" ca="1" si="130"/>
        <v>0</v>
      </c>
      <c r="AR101" s="69">
        <f t="shared" si="130"/>
        <v>0</v>
      </c>
      <c r="AS101" s="69">
        <f t="shared" ca="1" si="130"/>
        <v>0</v>
      </c>
      <c r="AT101" s="69">
        <f t="shared" ca="1" si="130"/>
        <v>0</v>
      </c>
      <c r="AU101" s="69">
        <f t="shared" ca="1" si="130"/>
        <v>0</v>
      </c>
      <c r="AV101" s="69">
        <f t="shared" si="130"/>
        <v>0</v>
      </c>
      <c r="AW101" s="69">
        <f t="shared" ca="1" si="131"/>
        <v>0</v>
      </c>
      <c r="AX101" s="69">
        <f t="shared" ca="1" si="132"/>
        <v>0</v>
      </c>
      <c r="AY101" s="69">
        <f t="shared" ca="1" si="133"/>
        <v>0</v>
      </c>
      <c r="AZ101" s="69">
        <f ca="1">$AO101*IF(Auswahllisten!$G$150,AZ$25+AZ$25*AZ$13*$AN101,AZ$25*(1+AZ$13)^$AN101)</f>
        <v>0</v>
      </c>
      <c r="BA101" s="69">
        <f ca="1">$AO101*IF(Auswahllisten!$G$150,BA$25+BA$25*BA$13*$AN101,BA$25*(1+BA$13)^$AN101)</f>
        <v>0</v>
      </c>
      <c r="BB101" s="69">
        <f ca="1">$AO101*IF(Auswahllisten!$G$150,BB$25+BB$25*BB$13*$AN101,BB$25*(1+BB$13)^$AN101)</f>
        <v>0</v>
      </c>
      <c r="BC101" s="69">
        <f ca="1">$AO101*IF(Auswahllisten!$G$150,BC$25+BC$25*BC$13*$AN101,BC$25*(1+BC$13)^$AN101)</f>
        <v>0</v>
      </c>
      <c r="BD101" s="69">
        <f t="shared" ca="1" si="110"/>
        <v>0</v>
      </c>
      <c r="BE101" s="69">
        <f t="shared" ca="1" si="134"/>
        <v>0</v>
      </c>
      <c r="BF101" s="69">
        <f t="shared" ca="1" si="135"/>
        <v>0</v>
      </c>
      <c r="BG101" s="69">
        <f t="shared" ca="1" si="113"/>
        <v>0</v>
      </c>
      <c r="BI101" s="69">
        <f t="shared" ca="1" si="136"/>
        <v>0</v>
      </c>
      <c r="BJ101" s="69">
        <f t="shared" ca="1" si="136"/>
        <v>0</v>
      </c>
      <c r="BK101" s="69">
        <f t="shared" si="136"/>
        <v>0</v>
      </c>
      <c r="BL101" s="69">
        <f t="shared" ca="1" si="136"/>
        <v>0</v>
      </c>
      <c r="BM101" s="69">
        <f t="shared" ca="1" si="136"/>
        <v>0</v>
      </c>
      <c r="BN101" s="69">
        <f t="shared" ca="1" si="136"/>
        <v>0</v>
      </c>
      <c r="BO101" s="69">
        <f t="shared" si="136"/>
        <v>0</v>
      </c>
      <c r="BP101" s="69">
        <f t="shared" ca="1" si="137"/>
        <v>0</v>
      </c>
      <c r="BQ101" s="69">
        <f t="shared" ca="1" si="138"/>
        <v>0</v>
      </c>
      <c r="BR101" s="69">
        <f t="shared" ca="1" si="139"/>
        <v>0</v>
      </c>
      <c r="BS101" s="69">
        <f ca="1">$AO101*IF(Auswahllisten!$G$150,BS$25+BS$25*BS$13*$AN101,BS$25*(1+BS$13)^$AN101)</f>
        <v>0</v>
      </c>
      <c r="BT101" s="69">
        <f ca="1">$AO101*IF(Auswahllisten!$G$150,BT$25+BT$25*BT$13*$AN101,BT$25*(1+BT$13)^$AN101)</f>
        <v>0</v>
      </c>
      <c r="BU101" s="69">
        <f ca="1">$AO101*IF(Auswahllisten!$G$150,BU$25+BU$25*BU$13*$AN101,BU$25*(1+BU$13)^$AN101)</f>
        <v>0</v>
      </c>
      <c r="BV101" s="69">
        <f ca="1">$AO101*IF(Auswahllisten!$G$150,BV$25+BV$25*BV$13*$AN101,BV$25*(1+BV$13)^$AN101)</f>
        <v>0</v>
      </c>
      <c r="BW101" s="69">
        <f t="shared" ca="1" si="115"/>
        <v>0</v>
      </c>
      <c r="BX101" s="69">
        <f t="shared" ca="1" si="140"/>
        <v>0</v>
      </c>
      <c r="BY101" s="69">
        <f t="shared" ca="1" si="141"/>
        <v>0</v>
      </c>
      <c r="BZ101" s="69">
        <f t="shared" ca="1" si="106"/>
        <v>0</v>
      </c>
    </row>
    <row r="102" spans="1:78">
      <c r="A102" s="305" t="s">
        <v>1244</v>
      </c>
      <c r="B102" s="126" t="s">
        <v>1245</v>
      </c>
      <c r="C102" s="134" t="s">
        <v>1341</v>
      </c>
      <c r="D102" s="26" t="str" cm="1">
        <f t="array" aca="1" ref="D102" ca="1">INDIRECT("Vergleich!"&amp;$G$2&amp;Z102)</f>
        <v>mittel</v>
      </c>
      <c r="E102" s="26" cm="1">
        <f t="array" aca="1" ref="E102" ca="1">INDIRECT("Investition_gewählt!"&amp;$I$5&amp;AA102)</f>
        <v>0</v>
      </c>
      <c r="F102" s="25" cm="1">
        <f t="array" aca="1" ref="F102" ca="1">IF($C$5=0,0,INDEX(Faktoren!E88:GQ88,1,VLOOKUP($F$5,$L$2:$O$14,4,FALSE)+$C$9*5+VLOOKUP(D102,Auswahllisten!$E$25:$F$29,2,FALSE)))</f>
        <v>0</v>
      </c>
      <c r="G102" s="162">
        <f t="shared" ca="1" si="142"/>
        <v>0</v>
      </c>
      <c r="H102" s="26" cm="1">
        <f t="array" aca="1" ref="H102" ca="1">INDIRECT("Investition_gewählt!"&amp;$I$6&amp;AA102)</f>
        <v>0</v>
      </c>
      <c r="I102" s="25" cm="1">
        <f t="array" aca="1" ref="I102" ca="1">IF($C$5=0,0,INDEX(Faktoren!E88:GQ88,1,VLOOKUP($F$6,$L$2:$O$14,4,FALSE)+$C$9*5+VLOOKUP(D102,Auswahllisten!$E$25:$F$29,2,FALSE)))</f>
        <v>0</v>
      </c>
      <c r="J102" s="162">
        <f t="shared" ca="1" si="143"/>
        <v>0</v>
      </c>
      <c r="K102" s="26">
        <f t="shared" ca="1" si="125"/>
        <v>0</v>
      </c>
      <c r="L102" s="25" t="b">
        <f t="shared" ca="1" si="144"/>
        <v>0</v>
      </c>
      <c r="M102" s="26">
        <f t="shared" ca="1" si="122"/>
        <v>0</v>
      </c>
      <c r="O102" s="16" t="str" cm="1">
        <f t="array" aca="1" ref="O102" ca="1">INDIRECT("Vergleich!"&amp;$Y$2&amp;Z102)</f>
        <v>gering</v>
      </c>
      <c r="P102" s="26" cm="1">
        <f t="array" aca="1" ref="P102" ca="1">INDIRECT("Investition_gewählt!"&amp;$AA$5&amp;AA102)</f>
        <v>0</v>
      </c>
      <c r="Q102" s="16" cm="1">
        <f t="array" aca="1" ref="Q102" ca="1">IF($U$5=0,0,INDEX(Faktoren!E88:GQ88,1,VLOOKUP($X$5,$L$2:$O$14,4,FALSE)+$U$9*5+VLOOKUP(O102,Auswahllisten!$E$25:$F$29,2,FALSE)))</f>
        <v>0</v>
      </c>
      <c r="R102" s="26">
        <f t="shared" ca="1" si="126"/>
        <v>0</v>
      </c>
      <c r="S102" s="26" cm="1">
        <f t="array" aca="1" ref="S102" ca="1">INDIRECT("Investition_gewählt!"&amp;$AA$6&amp;AA102)</f>
        <v>0</v>
      </c>
      <c r="T102" s="16" cm="1">
        <f t="array" aca="1" ref="T102" ca="1">IF($U$5=0,0,INDEX(Faktoren!E88:QG88,1,VLOOKUP($X$6,$L$3:$O$14,4,FALSE)+$U$9*5+VLOOKUP(O102,Auswahllisten!$E$25:$F$29,2,FALSE)))</f>
        <v>0</v>
      </c>
      <c r="U102" s="26">
        <f t="shared" ca="1" si="127"/>
        <v>0</v>
      </c>
      <c r="V102" s="26">
        <f t="shared" ca="1" si="102"/>
        <v>0</v>
      </c>
      <c r="W102" s="16" t="b">
        <f t="shared" ca="1" si="128"/>
        <v>0</v>
      </c>
      <c r="X102" s="26">
        <f t="shared" ca="1" si="123"/>
        <v>0</v>
      </c>
      <c r="Z102" s="1">
        <v>49</v>
      </c>
      <c r="AA102" s="1">
        <v>88</v>
      </c>
      <c r="AB102" s="1">
        <v>-2</v>
      </c>
      <c r="AC102" s="82"/>
      <c r="AN102" s="1">
        <v>77</v>
      </c>
      <c r="AO102" s="1">
        <f t="shared" si="129"/>
        <v>0</v>
      </c>
      <c r="AP102" s="69">
        <f t="shared" ca="1" si="130"/>
        <v>0</v>
      </c>
      <c r="AQ102" s="69">
        <f t="shared" ca="1" si="130"/>
        <v>0</v>
      </c>
      <c r="AR102" s="69">
        <f t="shared" si="130"/>
        <v>0</v>
      </c>
      <c r="AS102" s="69">
        <f t="shared" ca="1" si="130"/>
        <v>0</v>
      </c>
      <c r="AT102" s="69">
        <f t="shared" ca="1" si="130"/>
        <v>0</v>
      </c>
      <c r="AU102" s="69">
        <f t="shared" ca="1" si="130"/>
        <v>0</v>
      </c>
      <c r="AV102" s="69">
        <f t="shared" si="130"/>
        <v>0</v>
      </c>
      <c r="AW102" s="69">
        <f t="shared" ca="1" si="131"/>
        <v>0</v>
      </c>
      <c r="AX102" s="69">
        <f t="shared" ca="1" si="132"/>
        <v>0</v>
      </c>
      <c r="AY102" s="69">
        <f t="shared" ca="1" si="133"/>
        <v>0</v>
      </c>
      <c r="AZ102" s="69">
        <f ca="1">$AO102*IF(Auswahllisten!$G$150,AZ$25+AZ$25*AZ$13*$AN102,AZ$25*(1+AZ$13)^$AN102)</f>
        <v>0</v>
      </c>
      <c r="BA102" s="69">
        <f ca="1">$AO102*IF(Auswahllisten!$G$150,BA$25+BA$25*BA$13*$AN102,BA$25*(1+BA$13)^$AN102)</f>
        <v>0</v>
      </c>
      <c r="BB102" s="69">
        <f ca="1">$AO102*IF(Auswahllisten!$G$150,BB$25+BB$25*BB$13*$AN102,BB$25*(1+BB$13)^$AN102)</f>
        <v>0</v>
      </c>
      <c r="BC102" s="69">
        <f ca="1">$AO102*IF(Auswahllisten!$G$150,BC$25+BC$25*BC$13*$AN102,BC$25*(1+BC$13)^$AN102)</f>
        <v>0</v>
      </c>
      <c r="BD102" s="69">
        <f t="shared" ca="1" si="110"/>
        <v>0</v>
      </c>
      <c r="BE102" s="69">
        <f t="shared" ca="1" si="134"/>
        <v>0</v>
      </c>
      <c r="BF102" s="69">
        <f t="shared" ca="1" si="135"/>
        <v>0</v>
      </c>
      <c r="BG102" s="69">
        <f t="shared" ca="1" si="113"/>
        <v>0</v>
      </c>
      <c r="BI102" s="69">
        <f t="shared" ca="1" si="136"/>
        <v>0</v>
      </c>
      <c r="BJ102" s="69">
        <f t="shared" ca="1" si="136"/>
        <v>0</v>
      </c>
      <c r="BK102" s="69">
        <f t="shared" si="136"/>
        <v>0</v>
      </c>
      <c r="BL102" s="69">
        <f t="shared" ca="1" si="136"/>
        <v>0</v>
      </c>
      <c r="BM102" s="69">
        <f t="shared" ca="1" si="136"/>
        <v>0</v>
      </c>
      <c r="BN102" s="69">
        <f t="shared" ca="1" si="136"/>
        <v>0</v>
      </c>
      <c r="BO102" s="69">
        <f t="shared" si="136"/>
        <v>0</v>
      </c>
      <c r="BP102" s="69">
        <f t="shared" ca="1" si="137"/>
        <v>0</v>
      </c>
      <c r="BQ102" s="69">
        <f t="shared" ca="1" si="138"/>
        <v>0</v>
      </c>
      <c r="BR102" s="69">
        <f t="shared" ca="1" si="139"/>
        <v>0</v>
      </c>
      <c r="BS102" s="69">
        <f ca="1">$AO102*IF(Auswahllisten!$G$150,BS$25+BS$25*BS$13*$AN102,BS$25*(1+BS$13)^$AN102)</f>
        <v>0</v>
      </c>
      <c r="BT102" s="69">
        <f ca="1">$AO102*IF(Auswahllisten!$G$150,BT$25+BT$25*BT$13*$AN102,BT$25*(1+BT$13)^$AN102)</f>
        <v>0</v>
      </c>
      <c r="BU102" s="69">
        <f ca="1">$AO102*IF(Auswahllisten!$G$150,BU$25+BU$25*BU$13*$AN102,BU$25*(1+BU$13)^$AN102)</f>
        <v>0</v>
      </c>
      <c r="BV102" s="69">
        <f ca="1">$AO102*IF(Auswahllisten!$G$150,BV$25+BV$25*BV$13*$AN102,BV$25*(1+BV$13)^$AN102)</f>
        <v>0</v>
      </c>
      <c r="BW102" s="69">
        <f t="shared" ca="1" si="115"/>
        <v>0</v>
      </c>
      <c r="BX102" s="69">
        <f t="shared" ca="1" si="140"/>
        <v>0</v>
      </c>
      <c r="BY102" s="69">
        <f t="shared" ca="1" si="141"/>
        <v>0</v>
      </c>
      <c r="BZ102" s="69">
        <f t="shared" ca="1" si="106"/>
        <v>0</v>
      </c>
    </row>
    <row r="103" spans="1:78">
      <c r="A103" s="305" t="s">
        <v>1215</v>
      </c>
      <c r="B103" s="126" t="s">
        <v>303</v>
      </c>
      <c r="C103" s="126" t="s">
        <v>1340</v>
      </c>
      <c r="D103" s="26" t="str" cm="1">
        <f t="array" aca="1" ref="D103" ca="1">INDIRECT("Vergleich!"&amp;$G$2&amp;Z103)</f>
        <v>mittel</v>
      </c>
      <c r="E103" s="26" cm="1">
        <f t="array" aca="1" ref="E103" ca="1">INDIRECT("Investition_gewählt!"&amp;$I$5&amp;AA103)</f>
        <v>0</v>
      </c>
      <c r="F103" s="25" cm="1">
        <f t="array" aca="1" ref="F103" ca="1">IF($C$5=0,0,INDEX(Faktoren!E89:GQ89,1,VLOOKUP($F$5,$L$2:$O$14,4,FALSE)+$C$9*5+VLOOKUP(D103,Auswahllisten!$E$25:$F$29,2,FALSE)))</f>
        <v>0</v>
      </c>
      <c r="G103" s="162">
        <f t="shared" ca="1" si="142"/>
        <v>0</v>
      </c>
      <c r="H103" s="26" cm="1">
        <f t="array" aca="1" ref="H103" ca="1">INDIRECT("Investition_gewählt!"&amp;$I$6&amp;AA103)</f>
        <v>0</v>
      </c>
      <c r="I103" s="25" cm="1">
        <f t="array" aca="1" ref="I103" ca="1">IF($C$5=0,0,INDEX(Faktoren!E89:GQ89,1,VLOOKUP($F$6,$L$2:$O$14,4,FALSE)+$C$9*5+VLOOKUP(D103,Auswahllisten!$E$25:$F$29,2,FALSE)))</f>
        <v>0</v>
      </c>
      <c r="J103" s="162">
        <f t="shared" ca="1" si="143"/>
        <v>0</v>
      </c>
      <c r="K103" s="26">
        <f t="shared" ca="1" si="125"/>
        <v>0</v>
      </c>
      <c r="L103" s="25" t="b">
        <f t="shared" ca="1" si="144"/>
        <v>0</v>
      </c>
      <c r="M103" s="26">
        <f t="shared" ca="1" si="122"/>
        <v>0</v>
      </c>
      <c r="O103" s="16" t="str" cm="1">
        <f t="array" aca="1" ref="O103" ca="1">INDIRECT("Vergleich!"&amp;$Y$2&amp;Z103)</f>
        <v>gering</v>
      </c>
      <c r="P103" s="26" cm="1">
        <f t="array" aca="1" ref="P103" ca="1">INDIRECT("Investition_gewählt!"&amp;$AA$5&amp;AA103)</f>
        <v>0</v>
      </c>
      <c r="Q103" s="16" cm="1">
        <f t="array" aca="1" ref="Q103" ca="1">IF($U$5=0,0,INDEX(Faktoren!E89:GQ89,1,VLOOKUP($X$5,$L$2:$O$14,4,FALSE)+$U$9*5+VLOOKUP(O103,Auswahllisten!$E$25:$F$29,2,FALSE)))</f>
        <v>0</v>
      </c>
      <c r="R103" s="26">
        <f t="shared" ca="1" si="126"/>
        <v>0</v>
      </c>
      <c r="S103" s="26" cm="1">
        <f t="array" aca="1" ref="S103" ca="1">INDIRECT("Investition_gewählt!"&amp;$AA$6&amp;AA103)</f>
        <v>0</v>
      </c>
      <c r="T103" s="16" cm="1">
        <f t="array" aca="1" ref="T103" ca="1">IF($U$5=0,0,INDEX(Faktoren!E89:QG89,1,VLOOKUP($X$6,$L$3:$O$14,4,FALSE)+$U$9*5+VLOOKUP(O103,Auswahllisten!$E$25:$F$29,2,FALSE)))</f>
        <v>0</v>
      </c>
      <c r="U103" s="26">
        <f t="shared" ca="1" si="127"/>
        <v>0</v>
      </c>
      <c r="V103" s="26">
        <f t="shared" ca="1" si="102"/>
        <v>0</v>
      </c>
      <c r="W103" s="16" t="b">
        <f t="shared" ca="1" si="128"/>
        <v>0</v>
      </c>
      <c r="X103" s="26">
        <f t="shared" ca="1" si="123"/>
        <v>0</v>
      </c>
      <c r="Z103" s="1">
        <v>44</v>
      </c>
      <c r="AA103" s="1">
        <v>89</v>
      </c>
      <c r="AB103" s="1">
        <v>-2</v>
      </c>
      <c r="AC103" s="82"/>
      <c r="AN103" s="1">
        <v>78</v>
      </c>
      <c r="AO103" s="1">
        <f t="shared" si="129"/>
        <v>0</v>
      </c>
      <c r="AP103" s="69">
        <f t="shared" ca="1" si="130"/>
        <v>0</v>
      </c>
      <c r="AQ103" s="69">
        <f t="shared" ca="1" si="130"/>
        <v>0</v>
      </c>
      <c r="AR103" s="69">
        <f t="shared" si="130"/>
        <v>0</v>
      </c>
      <c r="AS103" s="69">
        <f t="shared" ca="1" si="130"/>
        <v>0</v>
      </c>
      <c r="AT103" s="69">
        <f t="shared" ca="1" si="130"/>
        <v>0</v>
      </c>
      <c r="AU103" s="69">
        <f t="shared" ca="1" si="130"/>
        <v>0</v>
      </c>
      <c r="AV103" s="69">
        <f t="shared" si="130"/>
        <v>0</v>
      </c>
      <c r="AW103" s="69">
        <f t="shared" ca="1" si="131"/>
        <v>0</v>
      </c>
      <c r="AX103" s="69">
        <f t="shared" ca="1" si="132"/>
        <v>0</v>
      </c>
      <c r="AY103" s="69">
        <f t="shared" ca="1" si="133"/>
        <v>0</v>
      </c>
      <c r="AZ103" s="69">
        <f ca="1">$AO103*IF(Auswahllisten!$G$150,AZ$25+AZ$25*AZ$13*$AN103,AZ$25*(1+AZ$13)^$AN103)</f>
        <v>0</v>
      </c>
      <c r="BA103" s="69">
        <f ca="1">$AO103*IF(Auswahllisten!$G$150,BA$25+BA$25*BA$13*$AN103,BA$25*(1+BA$13)^$AN103)</f>
        <v>0</v>
      </c>
      <c r="BB103" s="69">
        <f ca="1">$AO103*IF(Auswahllisten!$G$150,BB$25+BB$25*BB$13*$AN103,BB$25*(1+BB$13)^$AN103)</f>
        <v>0</v>
      </c>
      <c r="BC103" s="69">
        <f ca="1">$AO103*IF(Auswahllisten!$G$150,BC$25+BC$25*BC$13*$AN103,BC$25*(1+BC$13)^$AN103)</f>
        <v>0</v>
      </c>
      <c r="BD103" s="69">
        <f t="shared" ca="1" si="110"/>
        <v>0</v>
      </c>
      <c r="BE103" s="69">
        <f t="shared" ca="1" si="134"/>
        <v>0</v>
      </c>
      <c r="BF103" s="69">
        <f t="shared" ca="1" si="135"/>
        <v>0</v>
      </c>
      <c r="BG103" s="69">
        <f t="shared" ca="1" si="113"/>
        <v>0</v>
      </c>
      <c r="BI103" s="69">
        <f t="shared" ca="1" si="136"/>
        <v>0</v>
      </c>
      <c r="BJ103" s="69">
        <f t="shared" ca="1" si="136"/>
        <v>0</v>
      </c>
      <c r="BK103" s="69">
        <f t="shared" si="136"/>
        <v>0</v>
      </c>
      <c r="BL103" s="69">
        <f t="shared" ca="1" si="136"/>
        <v>0</v>
      </c>
      <c r="BM103" s="69">
        <f t="shared" ca="1" si="136"/>
        <v>0</v>
      </c>
      <c r="BN103" s="69">
        <f t="shared" ca="1" si="136"/>
        <v>0</v>
      </c>
      <c r="BO103" s="69">
        <f t="shared" si="136"/>
        <v>0</v>
      </c>
      <c r="BP103" s="69">
        <f t="shared" ca="1" si="137"/>
        <v>0</v>
      </c>
      <c r="BQ103" s="69">
        <f t="shared" ca="1" si="138"/>
        <v>0</v>
      </c>
      <c r="BR103" s="69">
        <f t="shared" ca="1" si="139"/>
        <v>0</v>
      </c>
      <c r="BS103" s="69">
        <f ca="1">$AO103*IF(Auswahllisten!$G$150,BS$25+BS$25*BS$13*$AN103,BS$25*(1+BS$13)^$AN103)</f>
        <v>0</v>
      </c>
      <c r="BT103" s="69">
        <f ca="1">$AO103*IF(Auswahllisten!$G$150,BT$25+BT$25*BT$13*$AN103,BT$25*(1+BT$13)^$AN103)</f>
        <v>0</v>
      </c>
      <c r="BU103" s="69">
        <f ca="1">$AO103*IF(Auswahllisten!$G$150,BU$25+BU$25*BU$13*$AN103,BU$25*(1+BU$13)^$AN103)</f>
        <v>0</v>
      </c>
      <c r="BV103" s="69">
        <f ca="1">$AO103*IF(Auswahllisten!$G$150,BV$25+BV$25*BV$13*$AN103,BV$25*(1+BV$13)^$AN103)</f>
        <v>0</v>
      </c>
      <c r="BW103" s="69">
        <f t="shared" ca="1" si="115"/>
        <v>0</v>
      </c>
      <c r="BX103" s="69">
        <f t="shared" ca="1" si="140"/>
        <v>0</v>
      </c>
      <c r="BY103" s="69">
        <f t="shared" ca="1" si="141"/>
        <v>0</v>
      </c>
      <c r="BZ103" s="69">
        <f t="shared" ca="1" si="106"/>
        <v>0</v>
      </c>
    </row>
    <row r="104" spans="1:78">
      <c r="A104" s="305" t="s">
        <v>1215</v>
      </c>
      <c r="B104" s="126" t="s">
        <v>303</v>
      </c>
      <c r="C104" s="126" t="s">
        <v>1339</v>
      </c>
      <c r="D104" s="26" t="str" cm="1">
        <f t="array" aca="1" ref="D104" ca="1">INDIRECT("Vergleich!"&amp;$G$2&amp;Z104)</f>
        <v>mittel</v>
      </c>
      <c r="E104" s="26" cm="1">
        <f t="array" aca="1" ref="E104" ca="1">INDIRECT("Investition_gewählt!"&amp;$I$5&amp;AA104)</f>
        <v>0</v>
      </c>
      <c r="F104" s="25" cm="1">
        <f t="array" aca="1" ref="F104" ca="1">IF($C$5=0,0,INDEX(Faktoren!E90:GQ90,1,VLOOKUP($F$5,$L$2:$O$14,4,FALSE)+$C$9*5+VLOOKUP(D104,Auswahllisten!$E$25:$F$29,2,FALSE)))</f>
        <v>0</v>
      </c>
      <c r="G104" s="162">
        <f t="shared" ca="1" si="142"/>
        <v>0</v>
      </c>
      <c r="H104" s="26" cm="1">
        <f t="array" aca="1" ref="H104" ca="1">INDIRECT("Investition_gewählt!"&amp;$I$6&amp;AA104)</f>
        <v>0</v>
      </c>
      <c r="I104" s="25" cm="1">
        <f t="array" aca="1" ref="I104" ca="1">IF($C$5=0,0,INDEX(Faktoren!E90:GQ90,1,VLOOKUP($F$6,$L$2:$O$14,4,FALSE)+$C$9*5+VLOOKUP(D104,Auswahllisten!$E$25:$F$29,2,FALSE)))</f>
        <v>0</v>
      </c>
      <c r="J104" s="162">
        <f t="shared" ca="1" si="143"/>
        <v>0</v>
      </c>
      <c r="K104" s="26">
        <f t="shared" ca="1" si="125"/>
        <v>0</v>
      </c>
      <c r="L104" s="25" t="b">
        <f t="shared" ca="1" si="144"/>
        <v>0</v>
      </c>
      <c r="M104" s="26">
        <f t="shared" ca="1" si="122"/>
        <v>0</v>
      </c>
      <c r="O104" s="16" t="str" cm="1">
        <f t="array" aca="1" ref="O104" ca="1">INDIRECT("Vergleich!"&amp;$Y$2&amp;Z104)</f>
        <v>gering</v>
      </c>
      <c r="P104" s="26" cm="1">
        <f t="array" aca="1" ref="P104" ca="1">INDIRECT("Investition_gewählt!"&amp;$AA$5&amp;AA104)</f>
        <v>0</v>
      </c>
      <c r="Q104" s="16" cm="1">
        <f t="array" aca="1" ref="Q104" ca="1">IF($U$5=0,0,INDEX(Faktoren!E90:GQ90,1,VLOOKUP($X$5,$L$2:$O$14,4,FALSE)+$U$9*5+VLOOKUP(O104,Auswahllisten!$E$25:$F$29,2,FALSE)))</f>
        <v>0</v>
      </c>
      <c r="R104" s="26">
        <f t="shared" ca="1" si="126"/>
        <v>0</v>
      </c>
      <c r="S104" s="26" cm="1">
        <f t="array" aca="1" ref="S104" ca="1">INDIRECT("Investition_gewählt!"&amp;$AA$6&amp;AA104)</f>
        <v>0</v>
      </c>
      <c r="T104" s="16" cm="1">
        <f t="array" aca="1" ref="T104" ca="1">IF($U$5=0,0,INDEX(Faktoren!E90:QG90,1,VLOOKUP($X$6,$L$3:$O$14,4,FALSE)+$U$9*5+VLOOKUP(O104,Auswahllisten!$E$25:$F$29,2,FALSE)))</f>
        <v>0</v>
      </c>
      <c r="U104" s="26">
        <f t="shared" ca="1" si="127"/>
        <v>0</v>
      </c>
      <c r="V104" s="26">
        <f t="shared" ca="1" si="102"/>
        <v>0</v>
      </c>
      <c r="W104" s="16" t="b">
        <f t="shared" ca="1" si="128"/>
        <v>0</v>
      </c>
      <c r="X104" s="26">
        <f t="shared" ca="1" si="123"/>
        <v>0</v>
      </c>
      <c r="Z104" s="1">
        <v>45</v>
      </c>
      <c r="AA104" s="1">
        <v>90</v>
      </c>
      <c r="AB104" s="1">
        <v>-2</v>
      </c>
      <c r="AC104" s="82"/>
      <c r="AN104" s="1">
        <v>79</v>
      </c>
      <c r="AO104" s="1">
        <f t="shared" si="129"/>
        <v>0</v>
      </c>
      <c r="AP104" s="69">
        <f t="shared" ca="1" si="130"/>
        <v>0</v>
      </c>
      <c r="AQ104" s="69">
        <f t="shared" ca="1" si="130"/>
        <v>0</v>
      </c>
      <c r="AR104" s="69">
        <f t="shared" si="130"/>
        <v>0</v>
      </c>
      <c r="AS104" s="69">
        <f t="shared" ca="1" si="130"/>
        <v>0</v>
      </c>
      <c r="AT104" s="69">
        <f t="shared" ca="1" si="130"/>
        <v>0</v>
      </c>
      <c r="AU104" s="69">
        <f t="shared" ca="1" si="130"/>
        <v>0</v>
      </c>
      <c r="AV104" s="69">
        <f t="shared" si="130"/>
        <v>0</v>
      </c>
      <c r="AW104" s="69">
        <f t="shared" ca="1" si="131"/>
        <v>0</v>
      </c>
      <c r="AX104" s="69">
        <f t="shared" ca="1" si="132"/>
        <v>0</v>
      </c>
      <c r="AY104" s="69">
        <f t="shared" ca="1" si="133"/>
        <v>0</v>
      </c>
      <c r="AZ104" s="69">
        <f ca="1">$AO104*IF(Auswahllisten!$G$150,AZ$25+AZ$25*AZ$13*$AN104,AZ$25*(1+AZ$13)^$AN104)</f>
        <v>0</v>
      </c>
      <c r="BA104" s="69">
        <f ca="1">$AO104*IF(Auswahllisten!$G$150,BA$25+BA$25*BA$13*$AN104,BA$25*(1+BA$13)^$AN104)</f>
        <v>0</v>
      </c>
      <c r="BB104" s="69">
        <f ca="1">$AO104*IF(Auswahllisten!$G$150,BB$25+BB$25*BB$13*$AN104,BB$25*(1+BB$13)^$AN104)</f>
        <v>0</v>
      </c>
      <c r="BC104" s="69">
        <f ca="1">$AO104*IF(Auswahllisten!$G$150,BC$25+BC$25*BC$13*$AN104,BC$25*(1+BC$13)^$AN104)</f>
        <v>0</v>
      </c>
      <c r="BD104" s="69">
        <f t="shared" ca="1" si="110"/>
        <v>0</v>
      </c>
      <c r="BE104" s="69">
        <f t="shared" ca="1" si="134"/>
        <v>0</v>
      </c>
      <c r="BF104" s="69">
        <f t="shared" ca="1" si="135"/>
        <v>0</v>
      </c>
      <c r="BG104" s="69">
        <f t="shared" ca="1" si="113"/>
        <v>0</v>
      </c>
      <c r="BI104" s="69">
        <f t="shared" ca="1" si="136"/>
        <v>0</v>
      </c>
      <c r="BJ104" s="69">
        <f t="shared" ca="1" si="136"/>
        <v>0</v>
      </c>
      <c r="BK104" s="69">
        <f t="shared" si="136"/>
        <v>0</v>
      </c>
      <c r="BL104" s="69">
        <f t="shared" ca="1" si="136"/>
        <v>0</v>
      </c>
      <c r="BM104" s="69">
        <f t="shared" ca="1" si="136"/>
        <v>0</v>
      </c>
      <c r="BN104" s="69">
        <f t="shared" ca="1" si="136"/>
        <v>0</v>
      </c>
      <c r="BO104" s="69">
        <f t="shared" si="136"/>
        <v>0</v>
      </c>
      <c r="BP104" s="69">
        <f t="shared" ca="1" si="137"/>
        <v>0</v>
      </c>
      <c r="BQ104" s="69">
        <f t="shared" ca="1" si="138"/>
        <v>0</v>
      </c>
      <c r="BR104" s="69">
        <f t="shared" ca="1" si="139"/>
        <v>0</v>
      </c>
      <c r="BS104" s="69">
        <f ca="1">$AO104*IF(Auswahllisten!$G$150,BS$25+BS$25*BS$13*$AN104,BS$25*(1+BS$13)^$AN104)</f>
        <v>0</v>
      </c>
      <c r="BT104" s="69">
        <f ca="1">$AO104*IF(Auswahllisten!$G$150,BT$25+BT$25*BT$13*$AN104,BT$25*(1+BT$13)^$AN104)</f>
        <v>0</v>
      </c>
      <c r="BU104" s="69">
        <f ca="1">$AO104*IF(Auswahllisten!$G$150,BU$25+BU$25*BU$13*$AN104,BU$25*(1+BU$13)^$AN104)</f>
        <v>0</v>
      </c>
      <c r="BV104" s="69">
        <f ca="1">$AO104*IF(Auswahllisten!$G$150,BV$25+BV$25*BV$13*$AN104,BV$25*(1+BV$13)^$AN104)</f>
        <v>0</v>
      </c>
      <c r="BW104" s="69">
        <f t="shared" ca="1" si="115"/>
        <v>0</v>
      </c>
      <c r="BX104" s="69">
        <f t="shared" ca="1" si="140"/>
        <v>0</v>
      </c>
      <c r="BY104" s="69">
        <f t="shared" ca="1" si="141"/>
        <v>0</v>
      </c>
      <c r="BZ104" s="69">
        <f t="shared" ca="1" si="106"/>
        <v>0</v>
      </c>
    </row>
    <row r="105" spans="1:78">
      <c r="A105" s="307" t="s">
        <v>1215</v>
      </c>
      <c r="B105" s="297" t="s">
        <v>303</v>
      </c>
      <c r="C105" s="134" t="s">
        <v>1338</v>
      </c>
      <c r="D105" s="26" t="str" cm="1">
        <f t="array" aca="1" ref="D105" ca="1">INDIRECT("Vergleich!"&amp;$G$2&amp;Z105)</f>
        <v>mittel</v>
      </c>
      <c r="E105" s="26" cm="1">
        <f t="array" aca="1" ref="E105" ca="1">INDIRECT("Investition_gewählt!"&amp;$I$5&amp;AA105)</f>
        <v>0</v>
      </c>
      <c r="F105" s="16" cm="1">
        <f t="array" aca="1" ref="F105" ca="1">IF($C$5=0,0,INDEX(Faktoren!E91:GQ91,1,VLOOKUP($F$5,$L$2:$O$14,4,FALSE)+$C$9*5+VLOOKUP(D105,Auswahllisten!$E$25:$F$29,2,FALSE)))</f>
        <v>0</v>
      </c>
      <c r="G105" s="26">
        <f t="shared" ca="1" si="142"/>
        <v>0</v>
      </c>
      <c r="H105" s="26" cm="1">
        <f t="array" aca="1" ref="H105" ca="1">INDIRECT("Investition_gewählt!"&amp;$I$6&amp;AA105)</f>
        <v>0</v>
      </c>
      <c r="I105" s="16" cm="1">
        <f t="array" aca="1" ref="I105" ca="1">IF($C$5=0,0,INDEX(Faktoren!E91:GQ91,1,VLOOKUP($F$6,$L$2:$O$14,4,FALSE)+$C$9*5+VLOOKUP(D105,Auswahllisten!$E$25:$F$29,2,FALSE)))</f>
        <v>0</v>
      </c>
      <c r="J105" s="26">
        <f t="shared" ca="1" si="143"/>
        <v>0</v>
      </c>
      <c r="K105" s="26">
        <f t="shared" ca="1" si="125"/>
        <v>0</v>
      </c>
      <c r="L105" s="16" t="b">
        <f t="shared" ca="1" si="144"/>
        <v>0</v>
      </c>
      <c r="M105" s="26">
        <f t="shared" ca="1" si="122"/>
        <v>0</v>
      </c>
      <c r="O105" s="93" t="str" cm="1">
        <f t="array" aca="1" ref="O105" ca="1">INDIRECT("Vergleich!"&amp;$Y$2&amp;Z105)</f>
        <v>gering</v>
      </c>
      <c r="P105" s="163" cm="1">
        <f t="array" aca="1" ref="P105" ca="1">INDIRECT("Investition_gewählt!"&amp;$AA$5&amp;AA105)</f>
        <v>0</v>
      </c>
      <c r="Q105" s="93" cm="1">
        <f t="array" aca="1" ref="Q105" ca="1">IF($U$5=0,0,INDEX(Faktoren!E91:GQ91,1,VLOOKUP($X$5,$L$2:$O$14,4,FALSE)+$U$9*5+VLOOKUP(O105,Auswahllisten!$E$25:$F$29,2,FALSE)))</f>
        <v>0</v>
      </c>
      <c r="R105" s="163">
        <f t="shared" ca="1" si="126"/>
        <v>0</v>
      </c>
      <c r="S105" s="163" cm="1">
        <f t="array" aca="1" ref="S105" ca="1">INDIRECT("Investition_gewählt!"&amp;$AA$6&amp;AA105)</f>
        <v>0</v>
      </c>
      <c r="T105" s="93" cm="1">
        <f t="array" aca="1" ref="T105" ca="1">IF($U$5=0,0,INDEX(Faktoren!E91:QG91,1,VLOOKUP($X$6,$L$3:$O$14,4,FALSE)+$U$9*5+VLOOKUP(O105,Auswahllisten!$E$25:$F$29,2,FALSE)))</f>
        <v>0</v>
      </c>
      <c r="U105" s="163">
        <f t="shared" ca="1" si="127"/>
        <v>0</v>
      </c>
      <c r="V105" s="163">
        <f t="shared" ca="1" si="102"/>
        <v>0</v>
      </c>
      <c r="W105" s="93" t="b">
        <f t="shared" ca="1" si="128"/>
        <v>0</v>
      </c>
      <c r="X105" s="163">
        <f t="shared" ca="1" si="123"/>
        <v>0</v>
      </c>
      <c r="Z105" s="1">
        <v>46</v>
      </c>
      <c r="AA105" s="1">
        <v>91</v>
      </c>
      <c r="AB105" s="1">
        <v>-2</v>
      </c>
      <c r="AC105" s="82"/>
      <c r="AN105" s="1">
        <v>80</v>
      </c>
      <c r="AO105" s="1">
        <f t="shared" si="129"/>
        <v>0</v>
      </c>
      <c r="AP105" s="69">
        <f t="shared" ca="1" si="130"/>
        <v>0</v>
      </c>
      <c r="AQ105" s="69">
        <f t="shared" ca="1" si="130"/>
        <v>0</v>
      </c>
      <c r="AR105" s="69">
        <f t="shared" ca="1" si="130"/>
        <v>0</v>
      </c>
      <c r="AS105" s="69">
        <f t="shared" ca="1" si="130"/>
        <v>0</v>
      </c>
      <c r="AT105" s="69">
        <f t="shared" ca="1" si="130"/>
        <v>0</v>
      </c>
      <c r="AU105" s="69">
        <f t="shared" ca="1" si="130"/>
        <v>0</v>
      </c>
      <c r="AV105" s="69">
        <f t="shared" ca="1" si="130"/>
        <v>0</v>
      </c>
      <c r="AW105" s="69">
        <f t="shared" ca="1" si="131"/>
        <v>0</v>
      </c>
      <c r="AX105" s="69">
        <f t="shared" ca="1" si="132"/>
        <v>0</v>
      </c>
      <c r="AY105" s="69">
        <f t="shared" ca="1" si="133"/>
        <v>0</v>
      </c>
      <c r="AZ105" s="69">
        <f ca="1">$AO105*IF(Auswahllisten!$G$150,AZ$25+AZ$25*AZ$13*$AN105,AZ$25*(1+AZ$13)^$AN105)</f>
        <v>0</v>
      </c>
      <c r="BA105" s="69">
        <f ca="1">$AO105*IF(Auswahllisten!$G$150,BA$25+BA$25*BA$13*$AN105,BA$25*(1+BA$13)^$AN105)</f>
        <v>0</v>
      </c>
      <c r="BB105" s="69">
        <f ca="1">$AO105*IF(Auswahllisten!$G$150,BB$25+BB$25*BB$13*$AN105,BB$25*(1+BB$13)^$AN105)</f>
        <v>0</v>
      </c>
      <c r="BC105" s="69">
        <f ca="1">$AO105*IF(Auswahllisten!$G$150,BC$25+BC$25*BC$13*$AN105,BC$25*(1+BC$13)^$AN105)</f>
        <v>0</v>
      </c>
      <c r="BD105" s="69">
        <f t="shared" ca="1" si="110"/>
        <v>0</v>
      </c>
      <c r="BE105" s="69">
        <f t="shared" ca="1" si="134"/>
        <v>0</v>
      </c>
      <c r="BF105" s="69">
        <f t="shared" ca="1" si="135"/>
        <v>0</v>
      </c>
      <c r="BG105" s="69">
        <f t="shared" ca="1" si="113"/>
        <v>0</v>
      </c>
      <c r="BI105" s="69">
        <f t="shared" ca="1" si="136"/>
        <v>0</v>
      </c>
      <c r="BJ105" s="69">
        <f t="shared" ca="1" si="136"/>
        <v>0</v>
      </c>
      <c r="BK105" s="69">
        <f t="shared" si="136"/>
        <v>0</v>
      </c>
      <c r="BL105" s="69">
        <f t="shared" ca="1" si="136"/>
        <v>0</v>
      </c>
      <c r="BM105" s="69">
        <f t="shared" ca="1" si="136"/>
        <v>0</v>
      </c>
      <c r="BN105" s="69">
        <f t="shared" ca="1" si="136"/>
        <v>0</v>
      </c>
      <c r="BO105" s="69">
        <f t="shared" si="136"/>
        <v>0</v>
      </c>
      <c r="BP105" s="69">
        <f t="shared" ca="1" si="137"/>
        <v>0</v>
      </c>
      <c r="BQ105" s="69">
        <f t="shared" ca="1" si="138"/>
        <v>0</v>
      </c>
      <c r="BR105" s="69">
        <f t="shared" ca="1" si="139"/>
        <v>0</v>
      </c>
      <c r="BS105" s="69">
        <f ca="1">$AO105*IF(Auswahllisten!$G$150,BS$25+BS$25*BS$13*$AN105,BS$25*(1+BS$13)^$AN105)</f>
        <v>0</v>
      </c>
      <c r="BT105" s="69">
        <f ca="1">$AO105*IF(Auswahllisten!$G$150,BT$25+BT$25*BT$13*$AN105,BT$25*(1+BT$13)^$AN105)</f>
        <v>0</v>
      </c>
      <c r="BU105" s="69">
        <f ca="1">$AO105*IF(Auswahllisten!$G$150,BU$25+BU$25*BU$13*$AN105,BU$25*(1+BU$13)^$AN105)</f>
        <v>0</v>
      </c>
      <c r="BV105" s="69">
        <f ca="1">$AO105*IF(Auswahllisten!$G$150,BV$25+BV$25*BV$13*$AN105,BV$25*(1+BV$13)^$AN105)</f>
        <v>0</v>
      </c>
      <c r="BW105" s="69">
        <f t="shared" ca="1" si="115"/>
        <v>0</v>
      </c>
      <c r="BX105" s="69">
        <f t="shared" ca="1" si="140"/>
        <v>0</v>
      </c>
      <c r="BY105" s="69">
        <f t="shared" ca="1" si="141"/>
        <v>0</v>
      </c>
      <c r="BZ105" s="69">
        <f t="shared" ca="1" si="106"/>
        <v>0</v>
      </c>
    </row>
    <row r="106" spans="1:78">
      <c r="A106" s="306" t="s">
        <v>1230</v>
      </c>
      <c r="B106" s="134" t="s">
        <v>1033</v>
      </c>
      <c r="C106" s="134" t="s">
        <v>1337</v>
      </c>
      <c r="D106" s="296" t="str" cm="1">
        <f t="array" aca="1" ref="D106" ca="1">INDIRECT("Vergleich!"&amp;$G$2&amp;Z106)</f>
        <v>mittel</v>
      </c>
      <c r="E106" s="296" cm="1">
        <f t="array" aca="1" ref="E106" ca="1">INDIRECT("Investition_gewählt!"&amp;$I$5&amp;AA106)</f>
        <v>0</v>
      </c>
      <c r="F106" s="60" cm="1">
        <f t="array" aca="1" ref="F106" ca="1">IF($C$5=0,0,INDEX(Faktoren!E92:GQ92,1,VLOOKUP($F$5,$L$2:$O$14,4,FALSE)+$C$9*5+VLOOKUP(D106,Auswahllisten!$E$25:$F$29,2,FALSE)))</f>
        <v>0</v>
      </c>
      <c r="G106" s="296">
        <f t="shared" ca="1" si="142"/>
        <v>0</v>
      </c>
      <c r="H106" s="296" cm="1">
        <f t="array" aca="1" ref="H106" ca="1">INDIRECT("Investition_gewählt!"&amp;$I$6&amp;AA106)</f>
        <v>0</v>
      </c>
      <c r="I106" s="60" cm="1">
        <f t="array" aca="1" ref="I106" ca="1">IF($C$5=0,0,INDEX(Faktoren!E92:GQ92,1,VLOOKUP($F$6,$L$2:$O$14,4,FALSE)+$C$9*5+VLOOKUP(D106,Auswahllisten!$E$25:$F$29,2,FALSE)))</f>
        <v>0</v>
      </c>
      <c r="J106" s="296">
        <f t="shared" ca="1" si="143"/>
        <v>0</v>
      </c>
      <c r="K106" s="296">
        <f t="shared" ca="1" si="125"/>
        <v>0</v>
      </c>
      <c r="L106" s="60" t="b">
        <f t="shared" ca="1" si="144"/>
        <v>0</v>
      </c>
      <c r="M106" s="296">
        <f t="shared" ca="1" si="122"/>
        <v>0</v>
      </c>
      <c r="O106" s="93" t="str" cm="1">
        <f t="array" aca="1" ref="O106" ca="1">INDIRECT("Vergleich!"&amp;$Y$2&amp;Z106)</f>
        <v>gering</v>
      </c>
      <c r="P106" s="163" cm="1">
        <f t="array" aca="1" ref="P106" ca="1">INDIRECT("Investition_gewählt!"&amp;$AA$5&amp;AA106)</f>
        <v>0</v>
      </c>
      <c r="Q106" s="93" cm="1">
        <f t="array" aca="1" ref="Q106" ca="1">IF($U$5=0,0,INDEX(Faktoren!E92:GQ92,1,VLOOKUP($X$5,$L$2:$O$14,4,FALSE)+$U$9*5+VLOOKUP(O106,Auswahllisten!$E$25:$F$29,2,FALSE)))</f>
        <v>0</v>
      </c>
      <c r="R106" s="163">
        <f t="shared" ca="1" si="126"/>
        <v>0</v>
      </c>
      <c r="S106" s="163" cm="1">
        <f t="array" aca="1" ref="S106" ca="1">INDIRECT("Investition_gewählt!"&amp;$AA$6&amp;AA106)</f>
        <v>0</v>
      </c>
      <c r="T106" s="93" cm="1">
        <f t="array" aca="1" ref="T106" ca="1">IF($U$5=0,0,INDEX(Faktoren!E92:QG92,1,VLOOKUP($X$6,$L$3:$O$14,4,FALSE)+$U$9*5+VLOOKUP(O106,Auswahllisten!$E$25:$F$29,2,FALSE)))</f>
        <v>0</v>
      </c>
      <c r="U106" s="163">
        <f t="shared" ca="1" si="127"/>
        <v>0</v>
      </c>
      <c r="V106" s="163">
        <f t="shared" ca="1" si="102"/>
        <v>0</v>
      </c>
      <c r="W106" s="93" t="b">
        <f t="shared" ca="1" si="128"/>
        <v>0</v>
      </c>
      <c r="X106" s="163">
        <f t="shared" ca="1" si="123"/>
        <v>0</v>
      </c>
      <c r="Z106" s="1">
        <v>52</v>
      </c>
      <c r="AA106" s="1">
        <v>92</v>
      </c>
      <c r="AB106" s="1">
        <v>-2</v>
      </c>
      <c r="AC106" s="82"/>
      <c r="AN106" s="1">
        <v>81</v>
      </c>
      <c r="AO106" s="1">
        <f t="shared" si="129"/>
        <v>0</v>
      </c>
      <c r="AP106" s="69">
        <f t="shared" ca="1" si="130"/>
        <v>0</v>
      </c>
      <c r="AQ106" s="69">
        <f t="shared" ca="1" si="130"/>
        <v>0</v>
      </c>
      <c r="AR106" s="69">
        <f t="shared" si="130"/>
        <v>0</v>
      </c>
      <c r="AS106" s="69">
        <f t="shared" ca="1" si="130"/>
        <v>0</v>
      </c>
      <c r="AT106" s="69">
        <f t="shared" ca="1" si="130"/>
        <v>0</v>
      </c>
      <c r="AU106" s="69">
        <f t="shared" ca="1" si="130"/>
        <v>0</v>
      </c>
      <c r="AV106" s="69">
        <f t="shared" si="130"/>
        <v>0</v>
      </c>
      <c r="AW106" s="69">
        <f t="shared" ca="1" si="131"/>
        <v>0</v>
      </c>
      <c r="AX106" s="69">
        <f t="shared" ca="1" si="132"/>
        <v>0</v>
      </c>
      <c r="AY106" s="69">
        <f t="shared" ca="1" si="133"/>
        <v>0</v>
      </c>
      <c r="AZ106" s="69">
        <f ca="1">$AO106*IF(Auswahllisten!$G$150,AZ$25+AZ$25*AZ$13*$AN106,AZ$25*(1+AZ$13)^$AN106)</f>
        <v>0</v>
      </c>
      <c r="BA106" s="69">
        <f ca="1">$AO106*IF(Auswahllisten!$G$150,BA$25+BA$25*BA$13*$AN106,BA$25*(1+BA$13)^$AN106)</f>
        <v>0</v>
      </c>
      <c r="BB106" s="69">
        <f ca="1">$AO106*IF(Auswahllisten!$G$150,BB$25+BB$25*BB$13*$AN106,BB$25*(1+BB$13)^$AN106)</f>
        <v>0</v>
      </c>
      <c r="BC106" s="69">
        <f ca="1">$AO106*IF(Auswahllisten!$G$150,BC$25+BC$25*BC$13*$AN106,BC$25*(1+BC$13)^$AN106)</f>
        <v>0</v>
      </c>
      <c r="BD106" s="69">
        <f t="shared" ca="1" si="110"/>
        <v>0</v>
      </c>
      <c r="BE106" s="69">
        <f t="shared" ca="1" si="134"/>
        <v>0</v>
      </c>
      <c r="BF106" s="69">
        <f t="shared" ca="1" si="135"/>
        <v>0</v>
      </c>
      <c r="BG106" s="69">
        <f t="shared" ca="1" si="113"/>
        <v>0</v>
      </c>
      <c r="BI106" s="69">
        <f t="shared" ca="1" si="136"/>
        <v>0</v>
      </c>
      <c r="BJ106" s="69">
        <f t="shared" ca="1" si="136"/>
        <v>0</v>
      </c>
      <c r="BK106" s="69">
        <f t="shared" si="136"/>
        <v>0</v>
      </c>
      <c r="BL106" s="69">
        <f t="shared" ca="1" si="136"/>
        <v>0</v>
      </c>
      <c r="BM106" s="69">
        <f t="shared" ca="1" si="136"/>
        <v>0</v>
      </c>
      <c r="BN106" s="69">
        <f t="shared" ca="1" si="136"/>
        <v>0</v>
      </c>
      <c r="BO106" s="69">
        <f t="shared" si="136"/>
        <v>0</v>
      </c>
      <c r="BP106" s="69">
        <f t="shared" ca="1" si="137"/>
        <v>0</v>
      </c>
      <c r="BQ106" s="69">
        <f t="shared" ca="1" si="138"/>
        <v>0</v>
      </c>
      <c r="BR106" s="69">
        <f t="shared" ca="1" si="139"/>
        <v>0</v>
      </c>
      <c r="BS106" s="69">
        <f ca="1">$AO106*IF(Auswahllisten!$G$150,BS$25+BS$25*BS$13*$AN106,BS$25*(1+BS$13)^$AN106)</f>
        <v>0</v>
      </c>
      <c r="BT106" s="69">
        <f ca="1">$AO106*IF(Auswahllisten!$G$150,BT$25+BT$25*BT$13*$AN106,BT$25*(1+BT$13)^$AN106)</f>
        <v>0</v>
      </c>
      <c r="BU106" s="69">
        <f ca="1">$AO106*IF(Auswahllisten!$G$150,BU$25+BU$25*BU$13*$AN106,BU$25*(1+BU$13)^$AN106)</f>
        <v>0</v>
      </c>
      <c r="BV106" s="69">
        <f ca="1">$AO106*IF(Auswahllisten!$G$150,BV$25+BV$25*BV$13*$AN106,BV$25*(1+BV$13)^$AN106)</f>
        <v>0</v>
      </c>
      <c r="BW106" s="69">
        <f t="shared" ca="1" si="115"/>
        <v>0</v>
      </c>
      <c r="BX106" s="69">
        <f t="shared" ca="1" si="140"/>
        <v>0</v>
      </c>
      <c r="BY106" s="69">
        <f t="shared" ca="1" si="141"/>
        <v>0</v>
      </c>
      <c r="BZ106" s="69">
        <f t="shared" ca="1" si="106"/>
        <v>0</v>
      </c>
    </row>
    <row r="107" spans="1:78">
      <c r="A107" s="82"/>
      <c r="B107" s="64"/>
      <c r="C107" s="64"/>
      <c r="D107" s="69"/>
      <c r="E107" s="69"/>
      <c r="G107" s="69"/>
      <c r="H107" s="69"/>
      <c r="J107" s="69"/>
      <c r="K107" s="69"/>
      <c r="M107" s="69"/>
      <c r="P107" s="69"/>
      <c r="R107" s="69"/>
      <c r="S107" s="69"/>
      <c r="U107" s="69"/>
      <c r="V107" s="69"/>
      <c r="X107" s="69"/>
      <c r="AB107" s="1">
        <v>-2</v>
      </c>
      <c r="AN107" s="1">
        <v>82</v>
      </c>
      <c r="AO107" s="1">
        <f t="shared" si="129"/>
        <v>0</v>
      </c>
      <c r="AP107" s="69">
        <f t="shared" ca="1" si="130"/>
        <v>0</v>
      </c>
      <c r="AQ107" s="69">
        <f t="shared" ca="1" si="130"/>
        <v>0</v>
      </c>
      <c r="AR107" s="69">
        <f t="shared" si="130"/>
        <v>0</v>
      </c>
      <c r="AS107" s="69">
        <f t="shared" ca="1" si="130"/>
        <v>0</v>
      </c>
      <c r="AT107" s="69">
        <f t="shared" ca="1" si="130"/>
        <v>0</v>
      </c>
      <c r="AU107" s="69">
        <f t="shared" ca="1" si="130"/>
        <v>0</v>
      </c>
      <c r="AV107" s="69">
        <f t="shared" si="130"/>
        <v>0</v>
      </c>
      <c r="AW107" s="69">
        <f t="shared" ca="1" si="131"/>
        <v>0</v>
      </c>
      <c r="AX107" s="69">
        <f t="shared" ca="1" si="132"/>
        <v>0</v>
      </c>
      <c r="AY107" s="69">
        <f t="shared" ca="1" si="133"/>
        <v>0</v>
      </c>
      <c r="AZ107" s="69">
        <f ca="1">$AO107*IF(Auswahllisten!$G$150,AZ$25+AZ$25*AZ$13*$AN107,AZ$25*(1+AZ$13)^$AN107)</f>
        <v>0</v>
      </c>
      <c r="BA107" s="69">
        <f ca="1">$AO107*IF(Auswahllisten!$G$150,BA$25+BA$25*BA$13*$AN107,BA$25*(1+BA$13)^$AN107)</f>
        <v>0</v>
      </c>
      <c r="BB107" s="69">
        <f ca="1">$AO107*IF(Auswahllisten!$G$150,BB$25+BB$25*BB$13*$AN107,BB$25*(1+BB$13)^$AN107)</f>
        <v>0</v>
      </c>
      <c r="BC107" s="69">
        <f ca="1">$AO107*IF(Auswahllisten!$G$150,BC$25+BC$25*BC$13*$AN107,BC$25*(1+BC$13)^$AN107)</f>
        <v>0</v>
      </c>
      <c r="BD107" s="69">
        <f t="shared" ca="1" si="110"/>
        <v>0</v>
      </c>
      <c r="BE107" s="69">
        <f t="shared" ca="1" si="134"/>
        <v>0</v>
      </c>
      <c r="BF107" s="69">
        <f t="shared" ca="1" si="135"/>
        <v>0</v>
      </c>
      <c r="BG107" s="69">
        <f t="shared" ca="1" si="113"/>
        <v>0</v>
      </c>
      <c r="BI107" s="69">
        <f t="shared" ca="1" si="136"/>
        <v>0</v>
      </c>
      <c r="BJ107" s="69">
        <f t="shared" ca="1" si="136"/>
        <v>0</v>
      </c>
      <c r="BK107" s="69">
        <f t="shared" si="136"/>
        <v>0</v>
      </c>
      <c r="BL107" s="69">
        <f t="shared" ca="1" si="136"/>
        <v>0</v>
      </c>
      <c r="BM107" s="69">
        <f t="shared" ca="1" si="136"/>
        <v>0</v>
      </c>
      <c r="BN107" s="69">
        <f t="shared" ca="1" si="136"/>
        <v>0</v>
      </c>
      <c r="BO107" s="69">
        <f t="shared" si="136"/>
        <v>0</v>
      </c>
      <c r="BP107" s="69">
        <f t="shared" ca="1" si="137"/>
        <v>0</v>
      </c>
      <c r="BQ107" s="69">
        <f t="shared" ca="1" si="138"/>
        <v>0</v>
      </c>
      <c r="BR107" s="69">
        <f t="shared" ca="1" si="139"/>
        <v>0</v>
      </c>
      <c r="BS107" s="69">
        <f ca="1">$AO107*IF(Auswahllisten!$G$150,BS$25+BS$25*BS$13*$AN107,BS$25*(1+BS$13)^$AN107)</f>
        <v>0</v>
      </c>
      <c r="BT107" s="69">
        <f ca="1">$AO107*IF(Auswahllisten!$G$150,BT$25+BT$25*BT$13*$AN107,BT$25*(1+BT$13)^$AN107)</f>
        <v>0</v>
      </c>
      <c r="BU107" s="69">
        <f ca="1">$AO107*IF(Auswahllisten!$G$150,BU$25+BU$25*BU$13*$AN107,BU$25*(1+BU$13)^$AN107)</f>
        <v>0</v>
      </c>
      <c r="BV107" s="69">
        <f ca="1">$AO107*IF(Auswahllisten!$G$150,BV$25+BV$25*BV$13*$AN107,BV$25*(1+BV$13)^$AN107)</f>
        <v>0</v>
      </c>
      <c r="BW107" s="69">
        <f t="shared" ca="1" si="115"/>
        <v>0</v>
      </c>
      <c r="BX107" s="69">
        <f t="shared" ca="1" si="140"/>
        <v>0</v>
      </c>
      <c r="BY107" s="69">
        <f t="shared" ca="1" si="141"/>
        <v>0</v>
      </c>
      <c r="BZ107" s="69">
        <f t="shared" ca="1" si="106"/>
        <v>0</v>
      </c>
    </row>
    <row r="108" spans="1:78">
      <c r="A108" s="82"/>
      <c r="B108" s="125" t="s">
        <v>1258</v>
      </c>
      <c r="C108" s="64"/>
      <c r="D108" s="69"/>
      <c r="E108" s="69"/>
      <c r="G108" s="69"/>
      <c r="H108" s="69"/>
      <c r="J108" s="69"/>
      <c r="K108" s="69"/>
      <c r="M108" s="69"/>
      <c r="P108" s="69"/>
      <c r="R108" s="69"/>
      <c r="S108" s="69"/>
      <c r="U108" s="69"/>
      <c r="V108" s="69"/>
      <c r="X108" s="69"/>
      <c r="AB108" s="1">
        <v>-2</v>
      </c>
      <c r="AN108" s="1">
        <v>83</v>
      </c>
      <c r="AO108" s="1">
        <f t="shared" si="129"/>
        <v>0</v>
      </c>
      <c r="AP108" s="69">
        <f t="shared" ca="1" si="130"/>
        <v>0</v>
      </c>
      <c r="AQ108" s="69">
        <f t="shared" ca="1" si="130"/>
        <v>0</v>
      </c>
      <c r="AR108" s="69">
        <f t="shared" si="130"/>
        <v>0</v>
      </c>
      <c r="AS108" s="69">
        <f t="shared" ca="1" si="130"/>
        <v>0</v>
      </c>
      <c r="AT108" s="69">
        <f t="shared" ca="1" si="130"/>
        <v>0</v>
      </c>
      <c r="AU108" s="69">
        <f t="shared" ca="1" si="130"/>
        <v>0</v>
      </c>
      <c r="AV108" s="69">
        <f t="shared" si="130"/>
        <v>0</v>
      </c>
      <c r="AW108" s="69">
        <f t="shared" ca="1" si="131"/>
        <v>0</v>
      </c>
      <c r="AX108" s="69">
        <f t="shared" ca="1" si="132"/>
        <v>0</v>
      </c>
      <c r="AY108" s="69">
        <f t="shared" ca="1" si="133"/>
        <v>0</v>
      </c>
      <c r="AZ108" s="69">
        <f ca="1">$AO108*IF(Auswahllisten!$G$150,AZ$25+AZ$25*AZ$13*$AN108,AZ$25*(1+AZ$13)^$AN108)</f>
        <v>0</v>
      </c>
      <c r="BA108" s="69">
        <f ca="1">$AO108*IF(Auswahllisten!$G$150,BA$25+BA$25*BA$13*$AN108,BA$25*(1+BA$13)^$AN108)</f>
        <v>0</v>
      </c>
      <c r="BB108" s="69">
        <f ca="1">$AO108*IF(Auswahllisten!$G$150,BB$25+BB$25*BB$13*$AN108,BB$25*(1+BB$13)^$AN108)</f>
        <v>0</v>
      </c>
      <c r="BC108" s="69">
        <f ca="1">$AO108*IF(Auswahllisten!$G$150,BC$25+BC$25*BC$13*$AN108,BC$25*(1+BC$13)^$AN108)</f>
        <v>0</v>
      </c>
      <c r="BD108" s="69">
        <f t="shared" ca="1" si="110"/>
        <v>0</v>
      </c>
      <c r="BE108" s="69">
        <f t="shared" ca="1" si="134"/>
        <v>0</v>
      </c>
      <c r="BF108" s="69">
        <f t="shared" ca="1" si="135"/>
        <v>0</v>
      </c>
      <c r="BG108" s="69">
        <f t="shared" ca="1" si="113"/>
        <v>0</v>
      </c>
      <c r="BI108" s="69">
        <f t="shared" ca="1" si="136"/>
        <v>0</v>
      </c>
      <c r="BJ108" s="69">
        <f t="shared" ca="1" si="136"/>
        <v>0</v>
      </c>
      <c r="BK108" s="69">
        <f t="shared" si="136"/>
        <v>0</v>
      </c>
      <c r="BL108" s="69">
        <f t="shared" ca="1" si="136"/>
        <v>0</v>
      </c>
      <c r="BM108" s="69">
        <f t="shared" ca="1" si="136"/>
        <v>0</v>
      </c>
      <c r="BN108" s="69">
        <f t="shared" ca="1" si="136"/>
        <v>0</v>
      </c>
      <c r="BO108" s="69">
        <f t="shared" si="136"/>
        <v>0</v>
      </c>
      <c r="BP108" s="69">
        <f t="shared" ca="1" si="137"/>
        <v>0</v>
      </c>
      <c r="BQ108" s="69">
        <f t="shared" ca="1" si="138"/>
        <v>0</v>
      </c>
      <c r="BR108" s="69">
        <f t="shared" ca="1" si="139"/>
        <v>0</v>
      </c>
      <c r="BS108" s="69">
        <f ca="1">$AO108*IF(Auswahllisten!$G$150,BS$25+BS$25*BS$13*$AN108,BS$25*(1+BS$13)^$AN108)</f>
        <v>0</v>
      </c>
      <c r="BT108" s="69">
        <f ca="1">$AO108*IF(Auswahllisten!$G$150,BT$25+BT$25*BT$13*$AN108,BT$25*(1+BT$13)^$AN108)</f>
        <v>0</v>
      </c>
      <c r="BU108" s="69">
        <f ca="1">$AO108*IF(Auswahllisten!$G$150,BU$25+BU$25*BU$13*$AN108,BU$25*(1+BU$13)^$AN108)</f>
        <v>0</v>
      </c>
      <c r="BV108" s="69">
        <f ca="1">$AO108*IF(Auswahllisten!$G$150,BV$25+BV$25*BV$13*$AN108,BV$25*(1+BV$13)^$AN108)</f>
        <v>0</v>
      </c>
      <c r="BW108" s="69">
        <f t="shared" ca="1" si="115"/>
        <v>0</v>
      </c>
      <c r="BX108" s="69">
        <f t="shared" ca="1" si="140"/>
        <v>0</v>
      </c>
      <c r="BY108" s="69">
        <f t="shared" ca="1" si="141"/>
        <v>0</v>
      </c>
      <c r="BZ108" s="69">
        <f t="shared" ca="1" si="106"/>
        <v>0</v>
      </c>
    </row>
    <row r="109" spans="1:78">
      <c r="A109" s="304"/>
      <c r="B109" s="131" t="s">
        <v>672</v>
      </c>
      <c r="C109" s="131"/>
      <c r="D109" s="25" t="s">
        <v>175</v>
      </c>
      <c r="E109" s="162" cm="1">
        <f t="array" aca="1" ref="E109" ca="1">INDIRECT("Vergleich!"&amp;$G$2&amp;Z109)</f>
        <v>0</v>
      </c>
      <c r="G109" s="69"/>
      <c r="H109" s="69"/>
      <c r="J109" s="69"/>
      <c r="K109" s="69"/>
      <c r="M109" s="69"/>
      <c r="O109" s="25" t="s">
        <v>175</v>
      </c>
      <c r="P109" s="162" cm="1">
        <f t="array" aca="1" ref="P109" ca="1">INDIRECT("Vergleich!"&amp;$Y$2&amp;Z109)</f>
        <v>0</v>
      </c>
      <c r="R109" s="69"/>
      <c r="S109" s="69"/>
      <c r="U109" s="69"/>
      <c r="V109" s="69"/>
      <c r="X109" s="69"/>
      <c r="Z109" s="1">
        <v>65</v>
      </c>
      <c r="AB109" s="1">
        <v>-2</v>
      </c>
      <c r="AN109" s="1">
        <v>84</v>
      </c>
      <c r="AO109" s="1">
        <f t="shared" si="129"/>
        <v>0</v>
      </c>
      <c r="AP109" s="69">
        <f t="shared" ca="1" si="130"/>
        <v>0</v>
      </c>
      <c r="AQ109" s="69">
        <f t="shared" ca="1" si="130"/>
        <v>0</v>
      </c>
      <c r="AR109" s="69">
        <f t="shared" si="130"/>
        <v>0</v>
      </c>
      <c r="AS109" s="69">
        <f t="shared" ca="1" si="130"/>
        <v>0</v>
      </c>
      <c r="AT109" s="69">
        <f t="shared" ca="1" si="130"/>
        <v>0</v>
      </c>
      <c r="AU109" s="69">
        <f t="shared" ca="1" si="130"/>
        <v>0</v>
      </c>
      <c r="AV109" s="69">
        <f t="shared" si="130"/>
        <v>0</v>
      </c>
      <c r="AW109" s="69">
        <f t="shared" ca="1" si="131"/>
        <v>0</v>
      </c>
      <c r="AX109" s="69">
        <f t="shared" ca="1" si="132"/>
        <v>0</v>
      </c>
      <c r="AY109" s="69">
        <f t="shared" ca="1" si="133"/>
        <v>0</v>
      </c>
      <c r="AZ109" s="69">
        <f ca="1">$AO109*IF(Auswahllisten!$G$150,AZ$25+AZ$25*AZ$13*$AN109,AZ$25*(1+AZ$13)^$AN109)</f>
        <v>0</v>
      </c>
      <c r="BA109" s="69">
        <f ca="1">$AO109*IF(Auswahllisten!$G$150,BA$25+BA$25*BA$13*$AN109,BA$25*(1+BA$13)^$AN109)</f>
        <v>0</v>
      </c>
      <c r="BB109" s="69">
        <f ca="1">$AO109*IF(Auswahllisten!$G$150,BB$25+BB$25*BB$13*$AN109,BB$25*(1+BB$13)^$AN109)</f>
        <v>0</v>
      </c>
      <c r="BC109" s="69">
        <f ca="1">$AO109*IF(Auswahllisten!$G$150,BC$25+BC$25*BC$13*$AN109,BC$25*(1+BC$13)^$AN109)</f>
        <v>0</v>
      </c>
      <c r="BD109" s="69">
        <f t="shared" ca="1" si="110"/>
        <v>0</v>
      </c>
      <c r="BE109" s="69">
        <f t="shared" ca="1" si="134"/>
        <v>0</v>
      </c>
      <c r="BF109" s="69">
        <f t="shared" ca="1" si="135"/>
        <v>0</v>
      </c>
      <c r="BG109" s="69">
        <f t="shared" ca="1" si="113"/>
        <v>0</v>
      </c>
      <c r="BI109" s="69">
        <f t="shared" ca="1" si="136"/>
        <v>0</v>
      </c>
      <c r="BJ109" s="69">
        <f t="shared" ca="1" si="136"/>
        <v>0</v>
      </c>
      <c r="BK109" s="69">
        <f t="shared" si="136"/>
        <v>0</v>
      </c>
      <c r="BL109" s="69">
        <f t="shared" ca="1" si="136"/>
        <v>0</v>
      </c>
      <c r="BM109" s="69">
        <f t="shared" ca="1" si="136"/>
        <v>0</v>
      </c>
      <c r="BN109" s="69">
        <f t="shared" ca="1" si="136"/>
        <v>0</v>
      </c>
      <c r="BO109" s="69">
        <f t="shared" si="136"/>
        <v>0</v>
      </c>
      <c r="BP109" s="69">
        <f t="shared" ca="1" si="137"/>
        <v>0</v>
      </c>
      <c r="BQ109" s="69">
        <f t="shared" ca="1" si="138"/>
        <v>0</v>
      </c>
      <c r="BR109" s="69">
        <f t="shared" ca="1" si="139"/>
        <v>0</v>
      </c>
      <c r="BS109" s="69">
        <f ca="1">$AO109*IF(Auswahllisten!$G$150,BS$25+BS$25*BS$13*$AN109,BS$25*(1+BS$13)^$AN109)</f>
        <v>0</v>
      </c>
      <c r="BT109" s="69">
        <f ca="1">$AO109*IF(Auswahllisten!$G$150,BT$25+BT$25*BT$13*$AN109,BT$25*(1+BT$13)^$AN109)</f>
        <v>0</v>
      </c>
      <c r="BU109" s="69">
        <f ca="1">$AO109*IF(Auswahllisten!$G$150,BU$25+BU$25*BU$13*$AN109,BU$25*(1+BU$13)^$AN109)</f>
        <v>0</v>
      </c>
      <c r="BV109" s="69">
        <f ca="1">$AO109*IF(Auswahllisten!$G$150,BV$25+BV$25*BV$13*$AN109,BV$25*(1+BV$13)^$AN109)</f>
        <v>0</v>
      </c>
      <c r="BW109" s="69">
        <f t="shared" ca="1" si="115"/>
        <v>0</v>
      </c>
      <c r="BX109" s="69">
        <f t="shared" ca="1" si="140"/>
        <v>0</v>
      </c>
      <c r="BY109" s="69">
        <f t="shared" ca="1" si="141"/>
        <v>0</v>
      </c>
      <c r="BZ109" s="69">
        <f t="shared" ca="1" si="106"/>
        <v>0</v>
      </c>
    </row>
    <row r="110" spans="1:78">
      <c r="D110" s="69"/>
      <c r="M110" s="69"/>
      <c r="AB110" s="1">
        <v>-2</v>
      </c>
      <c r="AN110" s="1">
        <v>85</v>
      </c>
      <c r="AO110" s="1">
        <f t="shared" si="129"/>
        <v>0</v>
      </c>
      <c r="AP110" s="69">
        <f t="shared" ca="1" si="130"/>
        <v>0</v>
      </c>
      <c r="AQ110" s="69">
        <f t="shared" ca="1" si="130"/>
        <v>0</v>
      </c>
      <c r="AR110" s="69">
        <f t="shared" si="130"/>
        <v>0</v>
      </c>
      <c r="AS110" s="69">
        <f t="shared" ca="1" si="130"/>
        <v>0</v>
      </c>
      <c r="AT110" s="69">
        <f t="shared" ca="1" si="130"/>
        <v>0</v>
      </c>
      <c r="AU110" s="69">
        <f t="shared" ca="1" si="130"/>
        <v>0</v>
      </c>
      <c r="AV110" s="69">
        <f t="shared" si="130"/>
        <v>0</v>
      </c>
      <c r="AW110" s="69">
        <f t="shared" ca="1" si="131"/>
        <v>0</v>
      </c>
      <c r="AX110" s="69">
        <f t="shared" ca="1" si="132"/>
        <v>0</v>
      </c>
      <c r="AY110" s="69">
        <f t="shared" ca="1" si="133"/>
        <v>0</v>
      </c>
      <c r="AZ110" s="69">
        <f ca="1">$AO110*IF(Auswahllisten!$G$150,AZ$25+AZ$25*AZ$13*$AN110,AZ$25*(1+AZ$13)^$AN110)</f>
        <v>0</v>
      </c>
      <c r="BA110" s="69">
        <f ca="1">$AO110*IF(Auswahllisten!$G$150,BA$25+BA$25*BA$13*$AN110,BA$25*(1+BA$13)^$AN110)</f>
        <v>0</v>
      </c>
      <c r="BB110" s="69">
        <f ca="1">$AO110*IF(Auswahllisten!$G$150,BB$25+BB$25*BB$13*$AN110,BB$25*(1+BB$13)^$AN110)</f>
        <v>0</v>
      </c>
      <c r="BC110" s="69">
        <f ca="1">$AO110*IF(Auswahllisten!$G$150,BC$25+BC$25*BC$13*$AN110,BC$25*(1+BC$13)^$AN110)</f>
        <v>0</v>
      </c>
      <c r="BD110" s="69">
        <f t="shared" ca="1" si="110"/>
        <v>0</v>
      </c>
      <c r="BE110" s="69">
        <f t="shared" ca="1" si="134"/>
        <v>0</v>
      </c>
      <c r="BF110" s="69">
        <f t="shared" ca="1" si="135"/>
        <v>0</v>
      </c>
      <c r="BG110" s="69">
        <f t="shared" ca="1" si="113"/>
        <v>0</v>
      </c>
      <c r="BI110" s="69">
        <f t="shared" ca="1" si="136"/>
        <v>0</v>
      </c>
      <c r="BJ110" s="69">
        <f t="shared" ca="1" si="136"/>
        <v>0</v>
      </c>
      <c r="BK110" s="69">
        <f t="shared" si="136"/>
        <v>0</v>
      </c>
      <c r="BL110" s="69">
        <f t="shared" ca="1" si="136"/>
        <v>0</v>
      </c>
      <c r="BM110" s="69">
        <f t="shared" ca="1" si="136"/>
        <v>0</v>
      </c>
      <c r="BN110" s="69">
        <f t="shared" ca="1" si="136"/>
        <v>0</v>
      </c>
      <c r="BO110" s="69">
        <f t="shared" si="136"/>
        <v>0</v>
      </c>
      <c r="BP110" s="69">
        <f t="shared" ca="1" si="137"/>
        <v>0</v>
      </c>
      <c r="BQ110" s="69">
        <f t="shared" ca="1" si="138"/>
        <v>0</v>
      </c>
      <c r="BR110" s="69">
        <f t="shared" ca="1" si="139"/>
        <v>0</v>
      </c>
      <c r="BS110" s="69">
        <f ca="1">$AO110*IF(Auswahllisten!$G$150,BS$25+BS$25*BS$13*$AN110,BS$25*(1+BS$13)^$AN110)</f>
        <v>0</v>
      </c>
      <c r="BT110" s="69">
        <f ca="1">$AO110*IF(Auswahllisten!$G$150,BT$25+BT$25*BT$13*$AN110,BT$25*(1+BT$13)^$AN110)</f>
        <v>0</v>
      </c>
      <c r="BU110" s="69">
        <f ca="1">$AO110*IF(Auswahllisten!$G$150,BU$25+BU$25*BU$13*$AN110,BU$25*(1+BU$13)^$AN110)</f>
        <v>0</v>
      </c>
      <c r="BV110" s="69">
        <f ca="1">$AO110*IF(Auswahllisten!$G$150,BV$25+BV$25*BV$13*$AN110,BV$25*(1+BV$13)^$AN110)</f>
        <v>0</v>
      </c>
      <c r="BW110" s="69">
        <f t="shared" ca="1" si="115"/>
        <v>0</v>
      </c>
      <c r="BX110" s="69">
        <f t="shared" ca="1" si="140"/>
        <v>0</v>
      </c>
      <c r="BY110" s="69">
        <f t="shared" ca="1" si="141"/>
        <v>0</v>
      </c>
      <c r="BZ110" s="69">
        <f t="shared" ca="1" si="106"/>
        <v>0</v>
      </c>
    </row>
    <row r="111" spans="1:78">
      <c r="A111" s="125"/>
      <c r="B111" s="125" t="s">
        <v>1004</v>
      </c>
      <c r="C111" s="64"/>
      <c r="D111" s="393"/>
      <c r="E111" s="394"/>
      <c r="F111" s="394"/>
      <c r="G111" s="394"/>
      <c r="H111" s="394"/>
      <c r="I111" s="394"/>
      <c r="J111" s="394"/>
      <c r="K111" s="394"/>
      <c r="L111" s="394"/>
      <c r="M111" s="393"/>
      <c r="AB111" s="1">
        <v>-2</v>
      </c>
      <c r="AN111" s="1">
        <v>86</v>
      </c>
      <c r="AO111" s="1">
        <f t="shared" si="129"/>
        <v>0</v>
      </c>
      <c r="AP111" s="69">
        <f t="shared" ca="1" si="130"/>
        <v>0</v>
      </c>
      <c r="AQ111" s="69">
        <f t="shared" ca="1" si="130"/>
        <v>0</v>
      </c>
      <c r="AR111" s="69">
        <f t="shared" si="130"/>
        <v>0</v>
      </c>
      <c r="AS111" s="69">
        <f t="shared" ca="1" si="130"/>
        <v>0</v>
      </c>
      <c r="AT111" s="69">
        <f t="shared" ca="1" si="130"/>
        <v>0</v>
      </c>
      <c r="AU111" s="69">
        <f t="shared" ca="1" si="130"/>
        <v>0</v>
      </c>
      <c r="AV111" s="69">
        <f t="shared" si="130"/>
        <v>0</v>
      </c>
      <c r="AW111" s="69">
        <f t="shared" ca="1" si="131"/>
        <v>0</v>
      </c>
      <c r="AX111" s="69">
        <f t="shared" ca="1" si="132"/>
        <v>0</v>
      </c>
      <c r="AY111" s="69">
        <f t="shared" ca="1" si="133"/>
        <v>0</v>
      </c>
      <c r="AZ111" s="69">
        <f ca="1">$AO111*IF(Auswahllisten!$G$150,AZ$25+AZ$25*AZ$13*$AN111,AZ$25*(1+AZ$13)^$AN111)</f>
        <v>0</v>
      </c>
      <c r="BA111" s="69">
        <f ca="1">$AO111*IF(Auswahllisten!$G$150,BA$25+BA$25*BA$13*$AN111,BA$25*(1+BA$13)^$AN111)</f>
        <v>0</v>
      </c>
      <c r="BB111" s="69">
        <f ca="1">$AO111*IF(Auswahllisten!$G$150,BB$25+BB$25*BB$13*$AN111,BB$25*(1+BB$13)^$AN111)</f>
        <v>0</v>
      </c>
      <c r="BC111" s="69">
        <f ca="1">$AO111*IF(Auswahllisten!$G$150,BC$25+BC$25*BC$13*$AN111,BC$25*(1+BC$13)^$AN111)</f>
        <v>0</v>
      </c>
      <c r="BD111" s="69">
        <f t="shared" ca="1" si="110"/>
        <v>0</v>
      </c>
      <c r="BE111" s="69">
        <f t="shared" ca="1" si="134"/>
        <v>0</v>
      </c>
      <c r="BF111" s="69">
        <f t="shared" ca="1" si="135"/>
        <v>0</v>
      </c>
      <c r="BG111" s="69">
        <f t="shared" ca="1" si="113"/>
        <v>0</v>
      </c>
      <c r="BI111" s="69">
        <f t="shared" ca="1" si="136"/>
        <v>0</v>
      </c>
      <c r="BJ111" s="69">
        <f t="shared" ca="1" si="136"/>
        <v>0</v>
      </c>
      <c r="BK111" s="69">
        <f t="shared" si="136"/>
        <v>0</v>
      </c>
      <c r="BL111" s="69">
        <f t="shared" ca="1" si="136"/>
        <v>0</v>
      </c>
      <c r="BM111" s="69">
        <f t="shared" ca="1" si="136"/>
        <v>0</v>
      </c>
      <c r="BN111" s="69">
        <f t="shared" ca="1" si="136"/>
        <v>0</v>
      </c>
      <c r="BO111" s="69">
        <f t="shared" si="136"/>
        <v>0</v>
      </c>
      <c r="BP111" s="69">
        <f t="shared" ca="1" si="137"/>
        <v>0</v>
      </c>
      <c r="BQ111" s="69">
        <f t="shared" ca="1" si="138"/>
        <v>0</v>
      </c>
      <c r="BR111" s="69">
        <f t="shared" ca="1" si="139"/>
        <v>0</v>
      </c>
      <c r="BS111" s="69">
        <f ca="1">$AO111*IF(Auswahllisten!$G$150,BS$25+BS$25*BS$13*$AN111,BS$25*(1+BS$13)^$AN111)</f>
        <v>0</v>
      </c>
      <c r="BT111" s="69">
        <f ca="1">$AO111*IF(Auswahllisten!$G$150,BT$25+BT$25*BT$13*$AN111,BT$25*(1+BT$13)^$AN111)</f>
        <v>0</v>
      </c>
      <c r="BU111" s="69">
        <f ca="1">$AO111*IF(Auswahllisten!$G$150,BU$25+BU$25*BU$13*$AN111,BU$25*(1+BU$13)^$AN111)</f>
        <v>0</v>
      </c>
      <c r="BV111" s="69">
        <f ca="1">$AO111*IF(Auswahllisten!$G$150,BV$25+BV$25*BV$13*$AN111,BV$25*(1+BV$13)^$AN111)</f>
        <v>0</v>
      </c>
      <c r="BW111" s="69">
        <f t="shared" ca="1" si="115"/>
        <v>0</v>
      </c>
      <c r="BX111" s="69">
        <f t="shared" ca="1" si="140"/>
        <v>0</v>
      </c>
      <c r="BY111" s="69">
        <f t="shared" ca="1" si="141"/>
        <v>0</v>
      </c>
      <c r="BZ111" s="69">
        <f t="shared" ca="1" si="106"/>
        <v>0</v>
      </c>
    </row>
    <row r="112" spans="1:78">
      <c r="A112" s="304" t="s">
        <v>1248</v>
      </c>
      <c r="B112" s="131" t="s">
        <v>1249</v>
      </c>
      <c r="C112" s="131" t="s">
        <v>942</v>
      </c>
      <c r="D112" s="162" t="str" cm="1">
        <f t="array" aca="1" ref="D112" ca="1">INDIRECT("Vergleich!"&amp;$G$2&amp;Z112)</f>
        <v>mittel</v>
      </c>
      <c r="E112" s="162" cm="1">
        <f t="array" aca="1" ref="E112" ca="1">INDIRECT("Investition_gewählt!"&amp;$I$5&amp;AA112)</f>
        <v>1050</v>
      </c>
      <c r="F112" s="25" cm="1">
        <f t="array" aca="1" ref="F112" ca="1">IF($C$5=0,0,INDEX(Faktoren!E95:GQ95,1,VLOOKUP($F$5,$L$2:$O$14,4,FALSE)+$C$9*5+VLOOKUP(D112,Auswahllisten!$E$25:$F$29,2,FALSE)))</f>
        <v>0</v>
      </c>
      <c r="G112" s="25">
        <f ca="1">E112*F112</f>
        <v>0</v>
      </c>
      <c r="H112" s="25" cm="1">
        <f t="array" aca="1" ref="H112" ca="1">INDIRECT("Investition_gewählt!"&amp;$I$6&amp;AA112)</f>
        <v>1050</v>
      </c>
      <c r="I112" s="25" cm="1">
        <f t="array" aca="1" ref="I112" ca="1">IF($C$5=0,0,INDEX(Faktoren!E95:GQ95,1,VLOOKUP($F$6,$L$2:$O$14,4,FALSE)+$C$9*5+VLOOKUP(D112,Auswahllisten!$E$25:$F$29,2,FALSE)))</f>
        <v>0</v>
      </c>
      <c r="J112" s="25">
        <f ca="1">H112*I112</f>
        <v>0</v>
      </c>
      <c r="K112" s="25">
        <f t="shared" ref="K112:K113" ca="1" si="145">IF($C$5=0,0,G112+(J112-G112)*($C$6-$F$5)/($F$6-$F$5))</f>
        <v>0</v>
      </c>
      <c r="L112" s="25">
        <v>1</v>
      </c>
      <c r="M112" s="162">
        <f t="shared" ca="1" si="122"/>
        <v>0</v>
      </c>
      <c r="Z112" s="1">
        <v>71</v>
      </c>
      <c r="AA112" s="1">
        <v>95</v>
      </c>
      <c r="AB112" s="1">
        <v>-2</v>
      </c>
      <c r="AN112" s="1">
        <v>87</v>
      </c>
      <c r="AO112" s="1">
        <f t="shared" si="129"/>
        <v>0</v>
      </c>
      <c r="AP112" s="69">
        <f t="shared" ca="1" si="130"/>
        <v>0</v>
      </c>
      <c r="AQ112" s="69">
        <f t="shared" ca="1" si="130"/>
        <v>0</v>
      </c>
      <c r="AR112" s="69">
        <f t="shared" si="130"/>
        <v>0</v>
      </c>
      <c r="AS112" s="69">
        <f t="shared" ca="1" si="130"/>
        <v>0</v>
      </c>
      <c r="AT112" s="69">
        <f t="shared" ca="1" si="130"/>
        <v>0</v>
      </c>
      <c r="AU112" s="69">
        <f t="shared" ca="1" si="130"/>
        <v>0</v>
      </c>
      <c r="AV112" s="69">
        <f t="shared" si="130"/>
        <v>0</v>
      </c>
      <c r="AW112" s="69">
        <f t="shared" ca="1" si="131"/>
        <v>0</v>
      </c>
      <c r="AX112" s="69">
        <f t="shared" ca="1" si="132"/>
        <v>0</v>
      </c>
      <c r="AY112" s="69">
        <f t="shared" ca="1" si="133"/>
        <v>0</v>
      </c>
      <c r="AZ112" s="69">
        <f ca="1">$AO112*IF(Auswahllisten!$G$150,AZ$25+AZ$25*AZ$13*$AN112,AZ$25*(1+AZ$13)^$AN112)</f>
        <v>0</v>
      </c>
      <c r="BA112" s="69">
        <f ca="1">$AO112*IF(Auswahllisten!$G$150,BA$25+BA$25*BA$13*$AN112,BA$25*(1+BA$13)^$AN112)</f>
        <v>0</v>
      </c>
      <c r="BB112" s="69">
        <f ca="1">$AO112*IF(Auswahllisten!$G$150,BB$25+BB$25*BB$13*$AN112,BB$25*(1+BB$13)^$AN112)</f>
        <v>0</v>
      </c>
      <c r="BC112" s="69">
        <f ca="1">$AO112*IF(Auswahllisten!$G$150,BC$25+BC$25*BC$13*$AN112,BC$25*(1+BC$13)^$AN112)</f>
        <v>0</v>
      </c>
      <c r="BD112" s="69">
        <f t="shared" ca="1" si="110"/>
        <v>0</v>
      </c>
      <c r="BE112" s="69">
        <f t="shared" ca="1" si="134"/>
        <v>0</v>
      </c>
      <c r="BF112" s="69">
        <f t="shared" ca="1" si="135"/>
        <v>0</v>
      </c>
      <c r="BG112" s="69">
        <f t="shared" ca="1" si="113"/>
        <v>0</v>
      </c>
      <c r="BI112" s="69">
        <f t="shared" ca="1" si="136"/>
        <v>0</v>
      </c>
      <c r="BJ112" s="69">
        <f t="shared" ca="1" si="136"/>
        <v>0</v>
      </c>
      <c r="BK112" s="69">
        <f t="shared" si="136"/>
        <v>0</v>
      </c>
      <c r="BL112" s="69">
        <f t="shared" ca="1" si="136"/>
        <v>0</v>
      </c>
      <c r="BM112" s="69">
        <f t="shared" ca="1" si="136"/>
        <v>0</v>
      </c>
      <c r="BN112" s="69">
        <f t="shared" ca="1" si="136"/>
        <v>0</v>
      </c>
      <c r="BO112" s="69">
        <f t="shared" si="136"/>
        <v>0</v>
      </c>
      <c r="BP112" s="69">
        <f t="shared" ca="1" si="137"/>
        <v>0</v>
      </c>
      <c r="BQ112" s="69">
        <f t="shared" ca="1" si="138"/>
        <v>0</v>
      </c>
      <c r="BR112" s="69">
        <f t="shared" ca="1" si="139"/>
        <v>0</v>
      </c>
      <c r="BS112" s="69">
        <f ca="1">$AO112*IF(Auswahllisten!$G$150,BS$25+BS$25*BS$13*$AN112,BS$25*(1+BS$13)^$AN112)</f>
        <v>0</v>
      </c>
      <c r="BT112" s="69">
        <f ca="1">$AO112*IF(Auswahllisten!$G$150,BT$25+BT$25*BT$13*$AN112,BT$25*(1+BT$13)^$AN112)</f>
        <v>0</v>
      </c>
      <c r="BU112" s="69">
        <f ca="1">$AO112*IF(Auswahllisten!$G$150,BU$25+BU$25*BU$13*$AN112,BU$25*(1+BU$13)^$AN112)</f>
        <v>0</v>
      </c>
      <c r="BV112" s="69">
        <f ca="1">$AO112*IF(Auswahllisten!$G$150,BV$25+BV$25*BV$13*$AN112,BV$25*(1+BV$13)^$AN112)</f>
        <v>0</v>
      </c>
      <c r="BW112" s="69">
        <f t="shared" ca="1" si="115"/>
        <v>0</v>
      </c>
      <c r="BX112" s="69">
        <f t="shared" ca="1" si="140"/>
        <v>0</v>
      </c>
      <c r="BY112" s="69">
        <f t="shared" ca="1" si="141"/>
        <v>0</v>
      </c>
      <c r="BZ112" s="69">
        <f t="shared" ca="1" si="106"/>
        <v>0</v>
      </c>
    </row>
    <row r="113" spans="1:78">
      <c r="A113" s="82" t="s">
        <v>1248</v>
      </c>
      <c r="B113" s="64" t="s">
        <v>1249</v>
      </c>
      <c r="C113" s="134" t="s">
        <v>943</v>
      </c>
      <c r="D113" s="163" t="str" cm="1">
        <f t="array" aca="1" ref="D113" ca="1">INDIRECT("Vergleich!"&amp;$G$2&amp;Z113)</f>
        <v>mittel</v>
      </c>
      <c r="E113" s="163" cm="1">
        <f t="array" aca="1" ref="E113" ca="1">INDIRECT("Investition_gewählt!"&amp;$I$5&amp;AA113)</f>
        <v>1400</v>
      </c>
      <c r="F113" s="61" cm="1">
        <f t="array" aca="1" ref="F113" ca="1">IF($C$5=0,0,INDEX(Faktoren!E96:GQ96,1,VLOOKUP($F$5,$L$2:$O$14,4,FALSE)+$C$9*5+VLOOKUP(D113,Auswahllisten!$E$25:$F$29,2,FALSE)))</f>
        <v>0</v>
      </c>
      <c r="G113" s="61">
        <f ca="1">E113*F113</f>
        <v>0</v>
      </c>
      <c r="H113" s="60" cm="1">
        <f t="array" aca="1" ref="H113" ca="1">INDIRECT("Investition_gewählt!"&amp;$I$6&amp;AA113)</f>
        <v>1400</v>
      </c>
      <c r="I113" s="61" cm="1">
        <f t="array" aca="1" ref="I113" ca="1">IF($C$5=0,0,INDEX(Faktoren!E96:GQ96,1,VLOOKUP($F$6,$L$2:$O$14,4,FALSE)+$C$9*5+VLOOKUP(D113,Auswahllisten!$E$25:$F$29,2,FALSE)))</f>
        <v>0</v>
      </c>
      <c r="J113" s="61">
        <f ca="1">H113*I113</f>
        <v>0</v>
      </c>
      <c r="K113" s="93">
        <f t="shared" ca="1" si="145"/>
        <v>0</v>
      </c>
      <c r="L113" s="93">
        <f ca="1">($C$5=1)+(C5=3)+(C5=4)</f>
        <v>0</v>
      </c>
      <c r="M113" s="163">
        <f t="shared" ca="1" si="122"/>
        <v>0</v>
      </c>
      <c r="Z113" s="1">
        <v>72</v>
      </c>
      <c r="AA113" s="1">
        <v>96</v>
      </c>
      <c r="AB113" s="1">
        <v>-2</v>
      </c>
      <c r="AN113" s="1">
        <v>88</v>
      </c>
      <c r="AO113" s="1">
        <f t="shared" si="129"/>
        <v>0</v>
      </c>
      <c r="AP113" s="69">
        <f t="shared" ca="1" si="130"/>
        <v>0</v>
      </c>
      <c r="AQ113" s="69">
        <f t="shared" ca="1" si="130"/>
        <v>0</v>
      </c>
      <c r="AR113" s="69">
        <f t="shared" si="130"/>
        <v>0</v>
      </c>
      <c r="AS113" s="69">
        <f t="shared" ca="1" si="130"/>
        <v>0</v>
      </c>
      <c r="AT113" s="69">
        <f t="shared" ca="1" si="130"/>
        <v>0</v>
      </c>
      <c r="AU113" s="69">
        <f t="shared" ca="1" si="130"/>
        <v>0</v>
      </c>
      <c r="AV113" s="69">
        <f t="shared" si="130"/>
        <v>0</v>
      </c>
      <c r="AW113" s="69">
        <f t="shared" ca="1" si="131"/>
        <v>0</v>
      </c>
      <c r="AX113" s="69">
        <f t="shared" ca="1" si="132"/>
        <v>0</v>
      </c>
      <c r="AY113" s="69">
        <f t="shared" ca="1" si="133"/>
        <v>0</v>
      </c>
      <c r="AZ113" s="69">
        <f ca="1">$AO113*IF(Auswahllisten!$G$150,AZ$25+AZ$25*AZ$13*$AN113,AZ$25*(1+AZ$13)^$AN113)</f>
        <v>0</v>
      </c>
      <c r="BA113" s="69">
        <f ca="1">$AO113*IF(Auswahllisten!$G$150,BA$25+BA$25*BA$13*$AN113,BA$25*(1+BA$13)^$AN113)</f>
        <v>0</v>
      </c>
      <c r="BB113" s="69">
        <f ca="1">$AO113*IF(Auswahllisten!$G$150,BB$25+BB$25*BB$13*$AN113,BB$25*(1+BB$13)^$AN113)</f>
        <v>0</v>
      </c>
      <c r="BC113" s="69">
        <f ca="1">$AO113*IF(Auswahllisten!$G$150,BC$25+BC$25*BC$13*$AN113,BC$25*(1+BC$13)^$AN113)</f>
        <v>0</v>
      </c>
      <c r="BD113" s="69">
        <f t="shared" ca="1" si="110"/>
        <v>0</v>
      </c>
      <c r="BE113" s="69">
        <f t="shared" ca="1" si="134"/>
        <v>0</v>
      </c>
      <c r="BF113" s="69">
        <f t="shared" ca="1" si="135"/>
        <v>0</v>
      </c>
      <c r="BG113" s="69">
        <f t="shared" ca="1" si="113"/>
        <v>0</v>
      </c>
      <c r="BI113" s="69">
        <f t="shared" ca="1" si="136"/>
        <v>0</v>
      </c>
      <c r="BJ113" s="69">
        <f t="shared" ca="1" si="136"/>
        <v>0</v>
      </c>
      <c r="BK113" s="69">
        <f t="shared" si="136"/>
        <v>0</v>
      </c>
      <c r="BL113" s="69">
        <f t="shared" ca="1" si="136"/>
        <v>0</v>
      </c>
      <c r="BM113" s="69">
        <f t="shared" ca="1" si="136"/>
        <v>0</v>
      </c>
      <c r="BN113" s="69">
        <f t="shared" ca="1" si="136"/>
        <v>0</v>
      </c>
      <c r="BO113" s="69">
        <f t="shared" si="136"/>
        <v>0</v>
      </c>
      <c r="BP113" s="69">
        <f t="shared" ca="1" si="137"/>
        <v>0</v>
      </c>
      <c r="BQ113" s="69">
        <f t="shared" ca="1" si="138"/>
        <v>0</v>
      </c>
      <c r="BR113" s="69">
        <f t="shared" ca="1" si="139"/>
        <v>0</v>
      </c>
      <c r="BS113" s="69">
        <f ca="1">$AO113*IF(Auswahllisten!$G$150,BS$25+BS$25*BS$13*$AN113,BS$25*(1+BS$13)^$AN113)</f>
        <v>0</v>
      </c>
      <c r="BT113" s="69">
        <f ca="1">$AO113*IF(Auswahllisten!$G$150,BT$25+BT$25*BT$13*$AN113,BT$25*(1+BT$13)^$AN113)</f>
        <v>0</v>
      </c>
      <c r="BU113" s="69">
        <f ca="1">$AO113*IF(Auswahllisten!$G$150,BU$25+BU$25*BU$13*$AN113,BU$25*(1+BU$13)^$AN113)</f>
        <v>0</v>
      </c>
      <c r="BV113" s="69">
        <f ca="1">$AO113*IF(Auswahllisten!$G$150,BV$25+BV$25*BV$13*$AN113,BV$25*(1+BV$13)^$AN113)</f>
        <v>0</v>
      </c>
      <c r="BW113" s="69">
        <f t="shared" ca="1" si="115"/>
        <v>0</v>
      </c>
      <c r="BX113" s="69">
        <f t="shared" ca="1" si="140"/>
        <v>0</v>
      </c>
      <c r="BY113" s="69">
        <f t="shared" ca="1" si="141"/>
        <v>0</v>
      </c>
      <c r="BZ113" s="69">
        <f t="shared" ca="1" si="106"/>
        <v>0</v>
      </c>
    </row>
    <row r="114" spans="1:78">
      <c r="A114" s="125"/>
      <c r="B114" s="64"/>
      <c r="C114" s="64"/>
      <c r="D114" s="69"/>
      <c r="M114" s="69"/>
      <c r="AA114" s="1">
        <v>97</v>
      </c>
      <c r="AB114" s="1">
        <v>-2</v>
      </c>
      <c r="AN114" s="1">
        <v>89</v>
      </c>
      <c r="AO114" s="1">
        <f t="shared" si="129"/>
        <v>0</v>
      </c>
      <c r="AP114" s="69">
        <f t="shared" ref="AP114:AV125" ca="1" si="146">IFERROR($AO114*IF(MOD($AN114,AP$20)=0,AP$25,0)*(1+$AS$10)^$AN114*IF($AS$3=$AN114,0,1),0)</f>
        <v>0</v>
      </c>
      <c r="AQ114" s="69">
        <f t="shared" ca="1" si="146"/>
        <v>0</v>
      </c>
      <c r="AR114" s="69">
        <f t="shared" si="146"/>
        <v>0</v>
      </c>
      <c r="AS114" s="69">
        <f t="shared" ca="1" si="146"/>
        <v>0</v>
      </c>
      <c r="AT114" s="69">
        <f t="shared" ca="1" si="146"/>
        <v>0</v>
      </c>
      <c r="AU114" s="69">
        <f t="shared" ca="1" si="146"/>
        <v>0</v>
      </c>
      <c r="AV114" s="69">
        <f t="shared" si="146"/>
        <v>0</v>
      </c>
      <c r="AW114" s="69">
        <f t="shared" ca="1" si="131"/>
        <v>0</v>
      </c>
      <c r="AX114" s="69">
        <f t="shared" ca="1" si="132"/>
        <v>0</v>
      </c>
      <c r="AY114" s="69">
        <f t="shared" ca="1" si="133"/>
        <v>0</v>
      </c>
      <c r="AZ114" s="69">
        <f ca="1">$AO114*IF(Auswahllisten!$G$150,AZ$25+AZ$25*AZ$13*$AN114,AZ$25*(1+AZ$13)^$AN114)</f>
        <v>0</v>
      </c>
      <c r="BA114" s="69">
        <f ca="1">$AO114*IF(Auswahllisten!$G$150,BA$25+BA$25*BA$13*$AN114,BA$25*(1+BA$13)^$AN114)</f>
        <v>0</v>
      </c>
      <c r="BB114" s="69">
        <f ca="1">$AO114*IF(Auswahllisten!$G$150,BB$25+BB$25*BB$13*$AN114,BB$25*(1+BB$13)^$AN114)</f>
        <v>0</v>
      </c>
      <c r="BC114" s="69">
        <f ca="1">$AO114*IF(Auswahllisten!$G$150,BC$25+BC$25*BC$13*$AN114,BC$25*(1+BC$13)^$AN114)</f>
        <v>0</v>
      </c>
      <c r="BD114" s="69">
        <f t="shared" ca="1" si="110"/>
        <v>0</v>
      </c>
      <c r="BE114" s="69">
        <f t="shared" ca="1" si="134"/>
        <v>0</v>
      </c>
      <c r="BF114" s="69">
        <f t="shared" ca="1" si="135"/>
        <v>0</v>
      </c>
      <c r="BG114" s="69">
        <f t="shared" ca="1" si="113"/>
        <v>0</v>
      </c>
      <c r="BI114" s="69">
        <f t="shared" ca="1" si="136"/>
        <v>0</v>
      </c>
      <c r="BJ114" s="69">
        <f t="shared" ca="1" si="136"/>
        <v>0</v>
      </c>
      <c r="BK114" s="69">
        <f t="shared" si="136"/>
        <v>0</v>
      </c>
      <c r="BL114" s="69">
        <f t="shared" ca="1" si="136"/>
        <v>0</v>
      </c>
      <c r="BM114" s="69">
        <f t="shared" ca="1" si="136"/>
        <v>0</v>
      </c>
      <c r="BN114" s="69">
        <f t="shared" ca="1" si="136"/>
        <v>0</v>
      </c>
      <c r="BO114" s="69">
        <f t="shared" si="136"/>
        <v>0</v>
      </c>
      <c r="BP114" s="69">
        <f t="shared" ca="1" si="137"/>
        <v>0</v>
      </c>
      <c r="BQ114" s="69">
        <f t="shared" ca="1" si="138"/>
        <v>0</v>
      </c>
      <c r="BR114" s="69">
        <f t="shared" ca="1" si="139"/>
        <v>0</v>
      </c>
      <c r="BS114" s="69">
        <f ca="1">$AO114*IF(Auswahllisten!$G$150,BS$25+BS$25*BS$13*$AN114,BS$25*(1+BS$13)^$AN114)</f>
        <v>0</v>
      </c>
      <c r="BT114" s="69">
        <f ca="1">$AO114*IF(Auswahllisten!$G$150,BT$25+BT$25*BT$13*$AN114,BT$25*(1+BT$13)^$AN114)</f>
        <v>0</v>
      </c>
      <c r="BU114" s="69">
        <f ca="1">$AO114*IF(Auswahllisten!$G$150,BU$25+BU$25*BU$13*$AN114,BU$25*(1+BU$13)^$AN114)</f>
        <v>0</v>
      </c>
      <c r="BV114" s="69">
        <f ca="1">$AO114*IF(Auswahllisten!$G$150,BV$25+BV$25*BV$13*$AN114,BV$25*(1+BV$13)^$AN114)</f>
        <v>0</v>
      </c>
      <c r="BW114" s="69">
        <f t="shared" ca="1" si="115"/>
        <v>0</v>
      </c>
      <c r="BX114" s="69">
        <f t="shared" ca="1" si="140"/>
        <v>0</v>
      </c>
      <c r="BY114" s="69">
        <f t="shared" ca="1" si="141"/>
        <v>0</v>
      </c>
      <c r="BZ114" s="69">
        <f t="shared" ca="1" si="106"/>
        <v>0</v>
      </c>
    </row>
    <row r="115" spans="1:78">
      <c r="A115" s="125"/>
      <c r="B115" s="125" t="s">
        <v>1009</v>
      </c>
      <c r="C115" s="64"/>
      <c r="D115" s="69"/>
      <c r="M115" s="69"/>
      <c r="AA115" s="1">
        <v>98</v>
      </c>
      <c r="AB115" s="1">
        <v>-2</v>
      </c>
      <c r="AN115" s="1">
        <v>90</v>
      </c>
      <c r="AO115" s="1">
        <f t="shared" si="129"/>
        <v>0</v>
      </c>
      <c r="AP115" s="69">
        <f t="shared" ca="1" si="146"/>
        <v>0</v>
      </c>
      <c r="AQ115" s="69">
        <f t="shared" ca="1" si="146"/>
        <v>0</v>
      </c>
      <c r="AR115" s="69">
        <f t="shared" si="146"/>
        <v>0</v>
      </c>
      <c r="AS115" s="69">
        <f t="shared" ca="1" si="146"/>
        <v>0</v>
      </c>
      <c r="AT115" s="69">
        <f t="shared" ca="1" si="146"/>
        <v>0</v>
      </c>
      <c r="AU115" s="69">
        <f t="shared" ca="1" si="146"/>
        <v>0</v>
      </c>
      <c r="AV115" s="69">
        <f t="shared" si="146"/>
        <v>0</v>
      </c>
      <c r="AW115" s="69">
        <f t="shared" ca="1" si="131"/>
        <v>0</v>
      </c>
      <c r="AX115" s="69">
        <f t="shared" ca="1" si="132"/>
        <v>0</v>
      </c>
      <c r="AY115" s="69">
        <f t="shared" ca="1" si="133"/>
        <v>0</v>
      </c>
      <c r="AZ115" s="69">
        <f ca="1">$AO115*IF(Auswahllisten!$G$150,AZ$25+AZ$25*AZ$13*$AN115,AZ$25*(1+AZ$13)^$AN115)</f>
        <v>0</v>
      </c>
      <c r="BA115" s="69">
        <f ca="1">$AO115*IF(Auswahllisten!$G$150,BA$25+BA$25*BA$13*$AN115,BA$25*(1+BA$13)^$AN115)</f>
        <v>0</v>
      </c>
      <c r="BB115" s="69">
        <f ca="1">$AO115*IF(Auswahllisten!$G$150,BB$25+BB$25*BB$13*$AN115,BB$25*(1+BB$13)^$AN115)</f>
        <v>0</v>
      </c>
      <c r="BC115" s="69">
        <f ca="1">$AO115*IF(Auswahllisten!$G$150,BC$25+BC$25*BC$13*$AN115,BC$25*(1+BC$13)^$AN115)</f>
        <v>0</v>
      </c>
      <c r="BD115" s="69">
        <f t="shared" ca="1" si="110"/>
        <v>0</v>
      </c>
      <c r="BE115" s="69">
        <f t="shared" ca="1" si="134"/>
        <v>0</v>
      </c>
      <c r="BF115" s="69">
        <f t="shared" ca="1" si="135"/>
        <v>0</v>
      </c>
      <c r="BG115" s="69">
        <f t="shared" ca="1" si="113"/>
        <v>0</v>
      </c>
      <c r="BI115" s="69">
        <f t="shared" ca="1" si="136"/>
        <v>0</v>
      </c>
      <c r="BJ115" s="69">
        <f t="shared" ca="1" si="136"/>
        <v>0</v>
      </c>
      <c r="BK115" s="69">
        <f t="shared" si="136"/>
        <v>0</v>
      </c>
      <c r="BL115" s="69">
        <f t="shared" ca="1" si="136"/>
        <v>0</v>
      </c>
      <c r="BM115" s="69">
        <f t="shared" ca="1" si="136"/>
        <v>0</v>
      </c>
      <c r="BN115" s="69">
        <f t="shared" ca="1" si="136"/>
        <v>0</v>
      </c>
      <c r="BO115" s="69">
        <f t="shared" si="136"/>
        <v>0</v>
      </c>
      <c r="BP115" s="69">
        <f t="shared" ca="1" si="137"/>
        <v>0</v>
      </c>
      <c r="BQ115" s="69">
        <f t="shared" ca="1" si="138"/>
        <v>0</v>
      </c>
      <c r="BR115" s="69">
        <f t="shared" ca="1" si="139"/>
        <v>0</v>
      </c>
      <c r="BS115" s="69">
        <f ca="1">$AO115*IF(Auswahllisten!$G$150,BS$25+BS$25*BS$13*$AN115,BS$25*(1+BS$13)^$AN115)</f>
        <v>0</v>
      </c>
      <c r="BT115" s="69">
        <f ca="1">$AO115*IF(Auswahllisten!$G$150,BT$25+BT$25*BT$13*$AN115,BT$25*(1+BT$13)^$AN115)</f>
        <v>0</v>
      </c>
      <c r="BU115" s="69">
        <f ca="1">$AO115*IF(Auswahllisten!$G$150,BU$25+BU$25*BU$13*$AN115,BU$25*(1+BU$13)^$AN115)</f>
        <v>0</v>
      </c>
      <c r="BV115" s="69">
        <f ca="1">$AO115*IF(Auswahllisten!$G$150,BV$25+BV$25*BV$13*$AN115,BV$25*(1+BV$13)^$AN115)</f>
        <v>0</v>
      </c>
      <c r="BW115" s="69">
        <f t="shared" ca="1" si="115"/>
        <v>0</v>
      </c>
      <c r="BX115" s="69">
        <f t="shared" ca="1" si="140"/>
        <v>0</v>
      </c>
      <c r="BY115" s="69">
        <f t="shared" ca="1" si="141"/>
        <v>0</v>
      </c>
      <c r="BZ115" s="69">
        <f t="shared" ca="1" si="106"/>
        <v>0</v>
      </c>
    </row>
    <row r="116" spans="1:78">
      <c r="A116" s="304" t="s">
        <v>1225</v>
      </c>
      <c r="B116" s="131" t="s">
        <v>1250</v>
      </c>
      <c r="C116" s="131" t="s">
        <v>944</v>
      </c>
      <c r="D116" s="162" t="str" cm="1">
        <f t="array" aca="1" ref="D116" ca="1">INDIRECT("Vergleich!"&amp;$G$2&amp;Z116)</f>
        <v>mittel</v>
      </c>
      <c r="E116" s="162" cm="1">
        <f t="array" aca="1" ref="E116" ca="1">INDIRECT("Investition_gewählt!"&amp;$I$5&amp;AA116)</f>
        <v>3500</v>
      </c>
      <c r="F116" s="25" cm="1">
        <f t="array" aca="1" ref="F116" ca="1">IF($C$5=0,0,INDEX(Faktoren!E99:GQ99,1,VLOOKUP($F$5,$L$2:$O$14,4,FALSE)+$C$9*5+VLOOKUP(D116,Auswahllisten!$E$25:$F$29,2,FALSE)))</f>
        <v>0</v>
      </c>
      <c r="G116" s="162">
        <f t="shared" ref="G116:G125" ca="1" si="147">E116*F116</f>
        <v>0</v>
      </c>
      <c r="H116" s="162" cm="1">
        <f t="array" aca="1" ref="H116" ca="1">INDIRECT("Investition_gewählt!"&amp;$I$6&amp;AA116)</f>
        <v>3500</v>
      </c>
      <c r="I116" s="25" cm="1">
        <f t="array" aca="1" ref="I116" ca="1">IF($C$5=0,0,INDEX(Faktoren!E99:GQ99,1,VLOOKUP($F$6,$L$2:$O$14,4,FALSE)+$C$9*5+VLOOKUP(D116,Auswahllisten!$E$25:$F$29,2,FALSE)))</f>
        <v>0</v>
      </c>
      <c r="J116" s="162">
        <f t="shared" ref="J116:J125" ca="1" si="148">H116*I116</f>
        <v>0</v>
      </c>
      <c r="K116" s="162">
        <f t="shared" ref="K116:K125" ca="1" si="149">IF($C$5=0,0,G116+(J116-G116)*($C$6-$F$5)/($F$6-$F$5))</f>
        <v>0</v>
      </c>
      <c r="L116" s="162">
        <v>1</v>
      </c>
      <c r="M116" s="162">
        <f t="shared" ca="1" si="122"/>
        <v>0</v>
      </c>
      <c r="Z116" s="1">
        <v>73</v>
      </c>
      <c r="AA116" s="1">
        <v>99</v>
      </c>
      <c r="AB116" s="1">
        <v>-2</v>
      </c>
      <c r="AN116" s="1">
        <v>91</v>
      </c>
      <c r="AO116" s="1">
        <f t="shared" si="129"/>
        <v>0</v>
      </c>
      <c r="AP116" s="69">
        <f t="shared" ca="1" si="146"/>
        <v>0</v>
      </c>
      <c r="AQ116" s="69">
        <f t="shared" ca="1" si="146"/>
        <v>0</v>
      </c>
      <c r="AR116" s="69">
        <f t="shared" si="146"/>
        <v>0</v>
      </c>
      <c r="AS116" s="69">
        <f t="shared" ca="1" si="146"/>
        <v>0</v>
      </c>
      <c r="AT116" s="69">
        <f t="shared" ca="1" si="146"/>
        <v>0</v>
      </c>
      <c r="AU116" s="69">
        <f t="shared" ca="1" si="146"/>
        <v>0</v>
      </c>
      <c r="AV116" s="69">
        <f t="shared" si="146"/>
        <v>0</v>
      </c>
      <c r="AW116" s="69">
        <f t="shared" ca="1" si="131"/>
        <v>0</v>
      </c>
      <c r="AX116" s="69">
        <f t="shared" ca="1" si="132"/>
        <v>0</v>
      </c>
      <c r="AY116" s="69">
        <f t="shared" ca="1" si="133"/>
        <v>0</v>
      </c>
      <c r="AZ116" s="69">
        <f ca="1">$AO116*IF(Auswahllisten!$G$150,AZ$25+AZ$25*AZ$13*$AN116,AZ$25*(1+AZ$13)^$AN116)</f>
        <v>0</v>
      </c>
      <c r="BA116" s="69">
        <f ca="1">$AO116*IF(Auswahllisten!$G$150,BA$25+BA$25*BA$13*$AN116,BA$25*(1+BA$13)^$AN116)</f>
        <v>0</v>
      </c>
      <c r="BB116" s="69">
        <f ca="1">$AO116*IF(Auswahllisten!$G$150,BB$25+BB$25*BB$13*$AN116,BB$25*(1+BB$13)^$AN116)</f>
        <v>0</v>
      </c>
      <c r="BC116" s="69">
        <f ca="1">$AO116*IF(Auswahllisten!$G$150,BC$25+BC$25*BC$13*$AN116,BC$25*(1+BC$13)^$AN116)</f>
        <v>0</v>
      </c>
      <c r="BD116" s="69">
        <f t="shared" ca="1" si="110"/>
        <v>0</v>
      </c>
      <c r="BE116" s="69">
        <f t="shared" ca="1" si="134"/>
        <v>0</v>
      </c>
      <c r="BF116" s="69">
        <f t="shared" ca="1" si="135"/>
        <v>0</v>
      </c>
      <c r="BG116" s="69">
        <f t="shared" ca="1" si="113"/>
        <v>0</v>
      </c>
      <c r="BI116" s="69">
        <f t="shared" ca="1" si="136"/>
        <v>0</v>
      </c>
      <c r="BJ116" s="69">
        <f t="shared" ca="1" si="136"/>
        <v>0</v>
      </c>
      <c r="BK116" s="69">
        <f t="shared" si="136"/>
        <v>0</v>
      </c>
      <c r="BL116" s="69">
        <f t="shared" ca="1" si="136"/>
        <v>0</v>
      </c>
      <c r="BM116" s="69">
        <f t="shared" ca="1" si="136"/>
        <v>0</v>
      </c>
      <c r="BN116" s="69">
        <f t="shared" ca="1" si="136"/>
        <v>0</v>
      </c>
      <c r="BO116" s="69">
        <f t="shared" si="136"/>
        <v>0</v>
      </c>
      <c r="BP116" s="69">
        <f t="shared" ca="1" si="137"/>
        <v>0</v>
      </c>
      <c r="BQ116" s="69">
        <f t="shared" ca="1" si="138"/>
        <v>0</v>
      </c>
      <c r="BR116" s="69">
        <f t="shared" ca="1" si="139"/>
        <v>0</v>
      </c>
      <c r="BS116" s="69">
        <f ca="1">$AO116*IF(Auswahllisten!$G$150,BS$25+BS$25*BS$13*$AN116,BS$25*(1+BS$13)^$AN116)</f>
        <v>0</v>
      </c>
      <c r="BT116" s="69">
        <f ca="1">$AO116*IF(Auswahllisten!$G$150,BT$25+BT$25*BT$13*$AN116,BT$25*(1+BT$13)^$AN116)</f>
        <v>0</v>
      </c>
      <c r="BU116" s="69">
        <f ca="1">$AO116*IF(Auswahllisten!$G$150,BU$25+BU$25*BU$13*$AN116,BU$25*(1+BU$13)^$AN116)</f>
        <v>0</v>
      </c>
      <c r="BV116" s="69">
        <f ca="1">$AO116*IF(Auswahllisten!$G$150,BV$25+BV$25*BV$13*$AN116,BV$25*(1+BV$13)^$AN116)</f>
        <v>0</v>
      </c>
      <c r="BW116" s="69">
        <f t="shared" ca="1" si="115"/>
        <v>0</v>
      </c>
      <c r="BX116" s="69">
        <f t="shared" ca="1" si="140"/>
        <v>0</v>
      </c>
      <c r="BY116" s="69">
        <f t="shared" ca="1" si="141"/>
        <v>0</v>
      </c>
      <c r="BZ116" s="69">
        <f t="shared" ca="1" si="106"/>
        <v>0</v>
      </c>
    </row>
    <row r="117" spans="1:78">
      <c r="A117" s="304" t="s">
        <v>1225</v>
      </c>
      <c r="B117" s="131" t="s">
        <v>1250</v>
      </c>
      <c r="C117" s="126" t="s">
        <v>1011</v>
      </c>
      <c r="D117" s="26" t="str" cm="1">
        <f t="array" aca="1" ref="D117" ca="1">INDIRECT("Vergleich!"&amp;$G$2&amp;Z117)</f>
        <v>keine</v>
      </c>
      <c r="E117" s="26" cm="1">
        <f t="array" aca="1" ref="E117" ca="1">INDIRECT("Investition_gewählt!"&amp;$I$5&amp;AA117)</f>
        <v>6000</v>
      </c>
      <c r="F117" s="25" cm="1">
        <f t="array" aca="1" ref="F117" ca="1">IF($C$5=0,0,INDEX(Faktoren!E100:GQ100,1,VLOOKUP($F$5,$L$2:$O$14,4,FALSE)+$C$9*5+VLOOKUP(D117,Auswahllisten!$E$25:$F$29,2,FALSE)))</f>
        <v>0</v>
      </c>
      <c r="G117" s="162">
        <f t="shared" ca="1" si="147"/>
        <v>0</v>
      </c>
      <c r="H117" s="26" cm="1">
        <f t="array" aca="1" ref="H117" ca="1">INDIRECT("Investition_gewählt!"&amp;$I$6&amp;AA117)</f>
        <v>6000</v>
      </c>
      <c r="I117" s="25" cm="1">
        <f t="array" aca="1" ref="I117" ca="1">IF($C$5=0,0,INDEX(Faktoren!E100:GQ100,1,VLOOKUP($F$6,$L$2:$O$14,4,FALSE)+$C$9*5+VLOOKUP(D117,Auswahllisten!$E$25:$F$29,2,FALSE)))</f>
        <v>0</v>
      </c>
      <c r="J117" s="162">
        <f t="shared" ca="1" si="148"/>
        <v>0</v>
      </c>
      <c r="K117" s="26">
        <f t="shared" ca="1" si="149"/>
        <v>0</v>
      </c>
      <c r="L117" s="26">
        <v>1</v>
      </c>
      <c r="M117" s="26">
        <f t="shared" ca="1" si="122"/>
        <v>0</v>
      </c>
      <c r="Z117" s="1">
        <v>74</v>
      </c>
      <c r="AA117" s="1">
        <v>100</v>
      </c>
      <c r="AB117" s="1">
        <v>-2</v>
      </c>
      <c r="AN117" s="1">
        <v>92</v>
      </c>
      <c r="AO117" s="1">
        <f t="shared" si="129"/>
        <v>0</v>
      </c>
      <c r="AP117" s="69">
        <f t="shared" ca="1" si="146"/>
        <v>0</v>
      </c>
      <c r="AQ117" s="69">
        <f t="shared" ca="1" si="146"/>
        <v>0</v>
      </c>
      <c r="AR117" s="69">
        <f t="shared" si="146"/>
        <v>0</v>
      </c>
      <c r="AS117" s="69">
        <f t="shared" ca="1" si="146"/>
        <v>0</v>
      </c>
      <c r="AT117" s="69">
        <f t="shared" ca="1" si="146"/>
        <v>0</v>
      </c>
      <c r="AU117" s="69">
        <f t="shared" ca="1" si="146"/>
        <v>0</v>
      </c>
      <c r="AV117" s="69">
        <f t="shared" si="146"/>
        <v>0</v>
      </c>
      <c r="AW117" s="69">
        <f t="shared" ca="1" si="131"/>
        <v>0</v>
      </c>
      <c r="AX117" s="69">
        <f t="shared" ca="1" si="132"/>
        <v>0</v>
      </c>
      <c r="AY117" s="69">
        <f t="shared" ca="1" si="133"/>
        <v>0</v>
      </c>
      <c r="AZ117" s="69">
        <f ca="1">$AO117*IF(Auswahllisten!$G$150,AZ$25+AZ$25*AZ$13*$AN117,AZ$25*(1+AZ$13)^$AN117)</f>
        <v>0</v>
      </c>
      <c r="BA117" s="69">
        <f ca="1">$AO117*IF(Auswahllisten!$G$150,BA$25+BA$25*BA$13*$AN117,BA$25*(1+BA$13)^$AN117)</f>
        <v>0</v>
      </c>
      <c r="BB117" s="69">
        <f ca="1">$AO117*IF(Auswahllisten!$G$150,BB$25+BB$25*BB$13*$AN117,BB$25*(1+BB$13)^$AN117)</f>
        <v>0</v>
      </c>
      <c r="BC117" s="69">
        <f ca="1">$AO117*IF(Auswahllisten!$G$150,BC$25+BC$25*BC$13*$AN117,BC$25*(1+BC$13)^$AN117)</f>
        <v>0</v>
      </c>
      <c r="BD117" s="69">
        <f t="shared" ca="1" si="110"/>
        <v>0</v>
      </c>
      <c r="BE117" s="69">
        <f t="shared" ca="1" si="134"/>
        <v>0</v>
      </c>
      <c r="BF117" s="69">
        <f t="shared" ca="1" si="135"/>
        <v>0</v>
      </c>
      <c r="BG117" s="69">
        <f t="shared" ca="1" si="113"/>
        <v>0</v>
      </c>
      <c r="BI117" s="69">
        <f t="shared" ca="1" si="136"/>
        <v>0</v>
      </c>
      <c r="BJ117" s="69">
        <f t="shared" ca="1" si="136"/>
        <v>0</v>
      </c>
      <c r="BK117" s="69">
        <f t="shared" si="136"/>
        <v>0</v>
      </c>
      <c r="BL117" s="69">
        <f t="shared" ca="1" si="136"/>
        <v>0</v>
      </c>
      <c r="BM117" s="69">
        <f t="shared" ca="1" si="136"/>
        <v>0</v>
      </c>
      <c r="BN117" s="69">
        <f t="shared" ca="1" si="136"/>
        <v>0</v>
      </c>
      <c r="BO117" s="69">
        <f t="shared" si="136"/>
        <v>0</v>
      </c>
      <c r="BP117" s="69">
        <f t="shared" ca="1" si="137"/>
        <v>0</v>
      </c>
      <c r="BQ117" s="69">
        <f t="shared" ca="1" si="138"/>
        <v>0</v>
      </c>
      <c r="BR117" s="69">
        <f t="shared" ca="1" si="139"/>
        <v>0</v>
      </c>
      <c r="BS117" s="69">
        <f ca="1">$AO117*IF(Auswahllisten!$G$150,BS$25+BS$25*BS$13*$AN117,BS$25*(1+BS$13)^$AN117)</f>
        <v>0</v>
      </c>
      <c r="BT117" s="69">
        <f ca="1">$AO117*IF(Auswahllisten!$G$150,BT$25+BT$25*BT$13*$AN117,BT$25*(1+BT$13)^$AN117)</f>
        <v>0</v>
      </c>
      <c r="BU117" s="69">
        <f ca="1">$AO117*IF(Auswahllisten!$G$150,BU$25+BU$25*BU$13*$AN117,BU$25*(1+BU$13)^$AN117)</f>
        <v>0</v>
      </c>
      <c r="BV117" s="69">
        <f ca="1">$AO117*IF(Auswahllisten!$G$150,BV$25+BV$25*BV$13*$AN117,BV$25*(1+BV$13)^$AN117)</f>
        <v>0</v>
      </c>
      <c r="BW117" s="69">
        <f t="shared" ca="1" si="115"/>
        <v>0</v>
      </c>
      <c r="BX117" s="69">
        <f t="shared" ca="1" si="140"/>
        <v>0</v>
      </c>
      <c r="BY117" s="69">
        <f t="shared" ca="1" si="141"/>
        <v>0</v>
      </c>
      <c r="BZ117" s="69">
        <f t="shared" ca="1" si="106"/>
        <v>0</v>
      </c>
    </row>
    <row r="118" spans="1:78">
      <c r="A118" s="305" t="s">
        <v>1219</v>
      </c>
      <c r="B118" s="126" t="s">
        <v>1012</v>
      </c>
      <c r="C118" s="126" t="s">
        <v>946</v>
      </c>
      <c r="D118" s="26" t="str" cm="1">
        <f t="array" aca="1" ref="D118" ca="1">INDIRECT("Vergleich!"&amp;$G$2&amp;Z118)</f>
        <v>keine</v>
      </c>
      <c r="E118" s="26" cm="1">
        <f t="array" aca="1" ref="E118" ca="1">INDIRECT("Investition_gewählt!"&amp;$I$5&amp;AA118)</f>
        <v>0</v>
      </c>
      <c r="F118" s="25" cm="1">
        <f t="array" aca="1" ref="F118" ca="1">IF($C$5=0,0,INDEX(Faktoren!E101:GQ101,1,VLOOKUP($F$5,$L$2:$O$14,4,FALSE)+$C$9*5+VLOOKUP(D118,Auswahllisten!$E$25:$F$29,2,FALSE)))</f>
        <v>0</v>
      </c>
      <c r="G118" s="162">
        <f t="shared" ca="1" si="147"/>
        <v>0</v>
      </c>
      <c r="H118" s="26" cm="1">
        <f t="array" aca="1" ref="H118" ca="1">INDIRECT("Investition_gewählt!"&amp;$I$6&amp;AA118)</f>
        <v>0</v>
      </c>
      <c r="I118" s="25" cm="1">
        <f t="array" aca="1" ref="I118" ca="1">IF($C$5=0,0,INDEX(Faktoren!E101:GQ101,1,VLOOKUP($F$6,$L$2:$O$14,4,FALSE)+$C$9*5+VLOOKUP(D118,Auswahllisten!$E$25:$F$29,2,FALSE)))</f>
        <v>0</v>
      </c>
      <c r="J118" s="162">
        <f t="shared" ca="1" si="148"/>
        <v>0</v>
      </c>
      <c r="K118" s="26">
        <f t="shared" ca="1" si="149"/>
        <v>0</v>
      </c>
      <c r="L118" s="26">
        <v>1</v>
      </c>
      <c r="M118" s="26">
        <f t="shared" ca="1" si="122"/>
        <v>0</v>
      </c>
      <c r="Z118" s="1">
        <v>75</v>
      </c>
      <c r="AA118" s="1">
        <v>101</v>
      </c>
      <c r="AB118" s="1">
        <v>-2</v>
      </c>
      <c r="AN118" s="1">
        <v>93</v>
      </c>
      <c r="AO118" s="1">
        <f t="shared" si="129"/>
        <v>0</v>
      </c>
      <c r="AP118" s="69">
        <f t="shared" ca="1" si="146"/>
        <v>0</v>
      </c>
      <c r="AQ118" s="69">
        <f t="shared" ca="1" si="146"/>
        <v>0</v>
      </c>
      <c r="AR118" s="69">
        <f t="shared" si="146"/>
        <v>0</v>
      </c>
      <c r="AS118" s="69">
        <f t="shared" ca="1" si="146"/>
        <v>0</v>
      </c>
      <c r="AT118" s="69">
        <f t="shared" ca="1" si="146"/>
        <v>0</v>
      </c>
      <c r="AU118" s="69">
        <f t="shared" ca="1" si="146"/>
        <v>0</v>
      </c>
      <c r="AV118" s="69">
        <f t="shared" si="146"/>
        <v>0</v>
      </c>
      <c r="AW118" s="69">
        <f t="shared" ca="1" si="131"/>
        <v>0</v>
      </c>
      <c r="AX118" s="69">
        <f t="shared" ca="1" si="132"/>
        <v>0</v>
      </c>
      <c r="AY118" s="69">
        <f t="shared" ca="1" si="133"/>
        <v>0</v>
      </c>
      <c r="AZ118" s="69">
        <f ca="1">$AO118*IF(Auswahllisten!$G$150,AZ$25+AZ$25*AZ$13*$AN118,AZ$25*(1+AZ$13)^$AN118)</f>
        <v>0</v>
      </c>
      <c r="BA118" s="69">
        <f ca="1">$AO118*IF(Auswahllisten!$G$150,BA$25+BA$25*BA$13*$AN118,BA$25*(1+BA$13)^$AN118)</f>
        <v>0</v>
      </c>
      <c r="BB118" s="69">
        <f ca="1">$AO118*IF(Auswahllisten!$G$150,BB$25+BB$25*BB$13*$AN118,BB$25*(1+BB$13)^$AN118)</f>
        <v>0</v>
      </c>
      <c r="BC118" s="69">
        <f ca="1">$AO118*IF(Auswahllisten!$G$150,BC$25+BC$25*BC$13*$AN118,BC$25*(1+BC$13)^$AN118)</f>
        <v>0</v>
      </c>
      <c r="BD118" s="69">
        <f t="shared" ca="1" si="110"/>
        <v>0</v>
      </c>
      <c r="BE118" s="69">
        <f t="shared" ca="1" si="134"/>
        <v>0</v>
      </c>
      <c r="BF118" s="69">
        <f t="shared" ca="1" si="135"/>
        <v>0</v>
      </c>
      <c r="BG118" s="69">
        <f t="shared" ca="1" si="113"/>
        <v>0</v>
      </c>
      <c r="BI118" s="69">
        <f t="shared" ca="1" si="136"/>
        <v>0</v>
      </c>
      <c r="BJ118" s="69">
        <f t="shared" ca="1" si="136"/>
        <v>0</v>
      </c>
      <c r="BK118" s="69">
        <f t="shared" si="136"/>
        <v>0</v>
      </c>
      <c r="BL118" s="69">
        <f t="shared" ca="1" si="136"/>
        <v>0</v>
      </c>
      <c r="BM118" s="69">
        <f t="shared" ca="1" si="136"/>
        <v>0</v>
      </c>
      <c r="BN118" s="69">
        <f t="shared" ca="1" si="136"/>
        <v>0</v>
      </c>
      <c r="BO118" s="69">
        <f t="shared" si="136"/>
        <v>0</v>
      </c>
      <c r="BP118" s="69">
        <f t="shared" ca="1" si="137"/>
        <v>0</v>
      </c>
      <c r="BQ118" s="69">
        <f t="shared" ca="1" si="138"/>
        <v>0</v>
      </c>
      <c r="BR118" s="69">
        <f t="shared" ca="1" si="139"/>
        <v>0</v>
      </c>
      <c r="BS118" s="69">
        <f ca="1">$AO118*IF(Auswahllisten!$G$150,BS$25+BS$25*BS$13*$AN118,BS$25*(1+BS$13)^$AN118)</f>
        <v>0</v>
      </c>
      <c r="BT118" s="69">
        <f ca="1">$AO118*IF(Auswahllisten!$G$150,BT$25+BT$25*BT$13*$AN118,BT$25*(1+BT$13)^$AN118)</f>
        <v>0</v>
      </c>
      <c r="BU118" s="69">
        <f ca="1">$AO118*IF(Auswahllisten!$G$150,BU$25+BU$25*BU$13*$AN118,BU$25*(1+BU$13)^$AN118)</f>
        <v>0</v>
      </c>
      <c r="BV118" s="69">
        <f ca="1">$AO118*IF(Auswahllisten!$G$150,BV$25+BV$25*BV$13*$AN118,BV$25*(1+BV$13)^$AN118)</f>
        <v>0</v>
      </c>
      <c r="BW118" s="69">
        <f t="shared" ca="1" si="115"/>
        <v>0</v>
      </c>
      <c r="BX118" s="69">
        <f t="shared" ca="1" si="140"/>
        <v>0</v>
      </c>
      <c r="BY118" s="69">
        <f t="shared" ca="1" si="141"/>
        <v>0</v>
      </c>
      <c r="BZ118" s="69">
        <f t="shared" ca="1" si="106"/>
        <v>0</v>
      </c>
    </row>
    <row r="119" spans="1:78">
      <c r="A119" s="305" t="s">
        <v>1219</v>
      </c>
      <c r="B119" s="126" t="s">
        <v>1012</v>
      </c>
      <c r="C119" s="126" t="s">
        <v>947</v>
      </c>
      <c r="D119" s="26" t="str" cm="1">
        <f t="array" aca="1" ref="D119" ca="1">INDIRECT("Vergleich!"&amp;$G$2&amp;Z119)</f>
        <v>keine</v>
      </c>
      <c r="E119" s="26" cm="1">
        <f t="array" aca="1" ref="E119" ca="1">INDIRECT("Investition_gewählt!"&amp;$I$5&amp;AA119)</f>
        <v>5000</v>
      </c>
      <c r="F119" s="25" cm="1">
        <f t="array" aca="1" ref="F119" ca="1">IF($C$5=0,0,INDEX(Faktoren!E102:GQ102,1,VLOOKUP($F$5,$L$2:$O$14,4,FALSE)+$C$9*5+VLOOKUP(D119,Auswahllisten!$E$25:$F$29,2,FALSE)))</f>
        <v>0</v>
      </c>
      <c r="G119" s="162">
        <f t="shared" ca="1" si="147"/>
        <v>0</v>
      </c>
      <c r="H119" s="26" cm="1">
        <f t="array" aca="1" ref="H119" ca="1">INDIRECT("Investition_gewählt!"&amp;$I$6&amp;AA119)</f>
        <v>5000</v>
      </c>
      <c r="I119" s="25" cm="1">
        <f t="array" aca="1" ref="I119" ca="1">IF($C$5=0,0,INDEX(Faktoren!E102:GQ102,1,VLOOKUP($F$6,$L$2:$O$14,4,FALSE)+$C$9*5+VLOOKUP(D119,Auswahllisten!$E$25:$F$29,2,FALSE)))</f>
        <v>0</v>
      </c>
      <c r="J119" s="162">
        <f t="shared" ca="1" si="148"/>
        <v>0</v>
      </c>
      <c r="K119" s="26">
        <f t="shared" ca="1" si="149"/>
        <v>0</v>
      </c>
      <c r="L119" s="26">
        <v>1</v>
      </c>
      <c r="M119" s="26">
        <f t="shared" ca="1" si="122"/>
        <v>0</v>
      </c>
      <c r="Z119" s="1">
        <v>76</v>
      </c>
      <c r="AA119" s="1">
        <v>102</v>
      </c>
      <c r="AB119" s="1">
        <v>-2</v>
      </c>
      <c r="AN119" s="1">
        <v>94</v>
      </c>
      <c r="AO119" s="1">
        <f t="shared" si="129"/>
        <v>0</v>
      </c>
      <c r="AP119" s="69">
        <f t="shared" ca="1" si="146"/>
        <v>0</v>
      </c>
      <c r="AQ119" s="69">
        <f t="shared" ca="1" si="146"/>
        <v>0</v>
      </c>
      <c r="AR119" s="69">
        <f t="shared" si="146"/>
        <v>0</v>
      </c>
      <c r="AS119" s="69">
        <f t="shared" ca="1" si="146"/>
        <v>0</v>
      </c>
      <c r="AT119" s="69">
        <f t="shared" ca="1" si="146"/>
        <v>0</v>
      </c>
      <c r="AU119" s="69">
        <f t="shared" ca="1" si="146"/>
        <v>0</v>
      </c>
      <c r="AV119" s="69">
        <f t="shared" si="146"/>
        <v>0</v>
      </c>
      <c r="AW119" s="69">
        <f t="shared" ca="1" si="131"/>
        <v>0</v>
      </c>
      <c r="AX119" s="69">
        <f t="shared" ca="1" si="132"/>
        <v>0</v>
      </c>
      <c r="AY119" s="69">
        <f t="shared" ca="1" si="133"/>
        <v>0</v>
      </c>
      <c r="AZ119" s="69">
        <f ca="1">$AO119*IF(Auswahllisten!$G$150,AZ$25+AZ$25*AZ$13*$AN119,AZ$25*(1+AZ$13)^$AN119)</f>
        <v>0</v>
      </c>
      <c r="BA119" s="69">
        <f ca="1">$AO119*IF(Auswahllisten!$G$150,BA$25+BA$25*BA$13*$AN119,BA$25*(1+BA$13)^$AN119)</f>
        <v>0</v>
      </c>
      <c r="BB119" s="69">
        <f ca="1">$AO119*IF(Auswahllisten!$G$150,BB$25+BB$25*BB$13*$AN119,BB$25*(1+BB$13)^$AN119)</f>
        <v>0</v>
      </c>
      <c r="BC119" s="69">
        <f ca="1">$AO119*IF(Auswahllisten!$G$150,BC$25+BC$25*BC$13*$AN119,BC$25*(1+BC$13)^$AN119)</f>
        <v>0</v>
      </c>
      <c r="BD119" s="69">
        <f t="shared" ca="1" si="110"/>
        <v>0</v>
      </c>
      <c r="BE119" s="69">
        <f t="shared" ca="1" si="134"/>
        <v>0</v>
      </c>
      <c r="BF119" s="69">
        <f t="shared" ca="1" si="135"/>
        <v>0</v>
      </c>
      <c r="BG119" s="69">
        <f t="shared" ca="1" si="113"/>
        <v>0</v>
      </c>
      <c r="BI119" s="69">
        <f t="shared" ca="1" si="136"/>
        <v>0</v>
      </c>
      <c r="BJ119" s="69">
        <f t="shared" ca="1" si="136"/>
        <v>0</v>
      </c>
      <c r="BK119" s="69">
        <f t="shared" si="136"/>
        <v>0</v>
      </c>
      <c r="BL119" s="69">
        <f t="shared" ca="1" si="136"/>
        <v>0</v>
      </c>
      <c r="BM119" s="69">
        <f t="shared" ca="1" si="136"/>
        <v>0</v>
      </c>
      <c r="BN119" s="69">
        <f t="shared" ca="1" si="136"/>
        <v>0</v>
      </c>
      <c r="BO119" s="69">
        <f t="shared" si="136"/>
        <v>0</v>
      </c>
      <c r="BP119" s="69">
        <f t="shared" ca="1" si="137"/>
        <v>0</v>
      </c>
      <c r="BQ119" s="69">
        <f t="shared" ca="1" si="138"/>
        <v>0</v>
      </c>
      <c r="BR119" s="69">
        <f t="shared" ca="1" si="139"/>
        <v>0</v>
      </c>
      <c r="BS119" s="69">
        <f ca="1">$AO119*IF(Auswahllisten!$G$150,BS$25+BS$25*BS$13*$AN119,BS$25*(1+BS$13)^$AN119)</f>
        <v>0</v>
      </c>
      <c r="BT119" s="69">
        <f ca="1">$AO119*IF(Auswahllisten!$G$150,BT$25+BT$25*BT$13*$AN119,BT$25*(1+BT$13)^$AN119)</f>
        <v>0</v>
      </c>
      <c r="BU119" s="69">
        <f ca="1">$AO119*IF(Auswahllisten!$G$150,BU$25+BU$25*BU$13*$AN119,BU$25*(1+BU$13)^$AN119)</f>
        <v>0</v>
      </c>
      <c r="BV119" s="69">
        <f ca="1">$AO119*IF(Auswahllisten!$G$150,BV$25+BV$25*BV$13*$AN119,BV$25*(1+BV$13)^$AN119)</f>
        <v>0</v>
      </c>
      <c r="BW119" s="69">
        <f t="shared" ca="1" si="115"/>
        <v>0</v>
      </c>
      <c r="BX119" s="69">
        <f t="shared" ca="1" si="140"/>
        <v>0</v>
      </c>
      <c r="BY119" s="69">
        <f t="shared" ca="1" si="141"/>
        <v>0</v>
      </c>
      <c r="BZ119" s="69">
        <f t="shared" ca="1" si="106"/>
        <v>0</v>
      </c>
    </row>
    <row r="120" spans="1:78">
      <c r="A120" s="305" t="s">
        <v>1226</v>
      </c>
      <c r="B120" s="126" t="s">
        <v>948</v>
      </c>
      <c r="C120" s="126" t="s">
        <v>948</v>
      </c>
      <c r="D120" s="26" t="str" cm="1">
        <f t="array" aca="1" ref="D120" ca="1">INDIRECT("Vergleich!"&amp;$G$2&amp;Z120)</f>
        <v>keine</v>
      </c>
      <c r="E120" s="26" cm="1">
        <f t="array" aca="1" ref="E120" ca="1">INDIRECT("Investition_gewählt!"&amp;$I$5&amp;AA120)</f>
        <v>10000</v>
      </c>
      <c r="F120" s="25" cm="1">
        <f t="array" aca="1" ref="F120" ca="1">IF($C$5=0,0,INDEX(Faktoren!E103:GQ103,1,VLOOKUP($F$5,$L$2:$O$14,4,FALSE)+$C$9*5+VLOOKUP(D120,Auswahllisten!$E$25:$F$29,2,FALSE)))</f>
        <v>0</v>
      </c>
      <c r="G120" s="162">
        <f t="shared" ca="1" si="147"/>
        <v>0</v>
      </c>
      <c r="H120" s="26" cm="1">
        <f t="array" aca="1" ref="H120" ca="1">INDIRECT("Investition_gewählt!"&amp;$I$6&amp;AA120)</f>
        <v>10000</v>
      </c>
      <c r="I120" s="25" cm="1">
        <f t="array" aca="1" ref="I120" ca="1">IF($C$5=0,0,INDEX(Faktoren!E103:GQ103,1,VLOOKUP($F$6,$L$2:$O$14,4,FALSE)+$C$9*5+VLOOKUP(D120,Auswahllisten!$E$25:$F$29,2,FALSE)))</f>
        <v>0</v>
      </c>
      <c r="J120" s="162">
        <f t="shared" ca="1" si="148"/>
        <v>0</v>
      </c>
      <c r="K120" s="26">
        <f t="shared" ca="1" si="149"/>
        <v>0</v>
      </c>
      <c r="L120" s="26">
        <v>1</v>
      </c>
      <c r="M120" s="26">
        <f t="shared" ca="1" si="122"/>
        <v>0</v>
      </c>
      <c r="Z120" s="1">
        <v>77</v>
      </c>
      <c r="AA120" s="1">
        <v>103</v>
      </c>
      <c r="AB120" s="1">
        <v>-2</v>
      </c>
      <c r="AN120" s="1">
        <v>95</v>
      </c>
      <c r="AO120" s="1">
        <f t="shared" si="129"/>
        <v>0</v>
      </c>
      <c r="AP120" s="69">
        <f t="shared" ca="1" si="146"/>
        <v>0</v>
      </c>
      <c r="AQ120" s="69">
        <f t="shared" ca="1" si="146"/>
        <v>0</v>
      </c>
      <c r="AR120" s="69">
        <f t="shared" si="146"/>
        <v>0</v>
      </c>
      <c r="AS120" s="69">
        <f t="shared" ca="1" si="146"/>
        <v>0</v>
      </c>
      <c r="AT120" s="69">
        <f t="shared" ca="1" si="146"/>
        <v>0</v>
      </c>
      <c r="AU120" s="69">
        <f t="shared" ca="1" si="146"/>
        <v>0</v>
      </c>
      <c r="AV120" s="69">
        <f t="shared" si="146"/>
        <v>0</v>
      </c>
      <c r="AW120" s="69">
        <f t="shared" ca="1" si="131"/>
        <v>0</v>
      </c>
      <c r="AX120" s="69">
        <f t="shared" ca="1" si="132"/>
        <v>0</v>
      </c>
      <c r="AY120" s="69">
        <f t="shared" ca="1" si="133"/>
        <v>0</v>
      </c>
      <c r="AZ120" s="69">
        <f ca="1">$AO120*IF(Auswahllisten!$G$150,AZ$25+AZ$25*AZ$13*$AN120,AZ$25*(1+AZ$13)^$AN120)</f>
        <v>0</v>
      </c>
      <c r="BA120" s="69">
        <f ca="1">$AO120*IF(Auswahllisten!$G$150,BA$25+BA$25*BA$13*$AN120,BA$25*(1+BA$13)^$AN120)</f>
        <v>0</v>
      </c>
      <c r="BB120" s="69">
        <f ca="1">$AO120*IF(Auswahllisten!$G$150,BB$25+BB$25*BB$13*$AN120,BB$25*(1+BB$13)^$AN120)</f>
        <v>0</v>
      </c>
      <c r="BC120" s="69">
        <f ca="1">$AO120*IF(Auswahllisten!$G$150,BC$25+BC$25*BC$13*$AN120,BC$25*(1+BC$13)^$AN120)</f>
        <v>0</v>
      </c>
      <c r="BD120" s="69">
        <f t="shared" ca="1" si="110"/>
        <v>0</v>
      </c>
      <c r="BE120" s="69">
        <f t="shared" ca="1" si="134"/>
        <v>0</v>
      </c>
      <c r="BF120" s="69">
        <f t="shared" ca="1" si="135"/>
        <v>0</v>
      </c>
      <c r="BG120" s="69">
        <f t="shared" ca="1" si="113"/>
        <v>0</v>
      </c>
      <c r="BI120" s="69">
        <f t="shared" ca="1" si="136"/>
        <v>0</v>
      </c>
      <c r="BJ120" s="69">
        <f t="shared" ca="1" si="136"/>
        <v>0</v>
      </c>
      <c r="BK120" s="69">
        <f t="shared" si="136"/>
        <v>0</v>
      </c>
      <c r="BL120" s="69">
        <f t="shared" ca="1" si="136"/>
        <v>0</v>
      </c>
      <c r="BM120" s="69">
        <f t="shared" ca="1" si="136"/>
        <v>0</v>
      </c>
      <c r="BN120" s="69">
        <f t="shared" ca="1" si="136"/>
        <v>0</v>
      </c>
      <c r="BO120" s="69">
        <f t="shared" si="136"/>
        <v>0</v>
      </c>
      <c r="BP120" s="69">
        <f t="shared" ca="1" si="137"/>
        <v>0</v>
      </c>
      <c r="BQ120" s="69">
        <f t="shared" ca="1" si="138"/>
        <v>0</v>
      </c>
      <c r="BR120" s="69">
        <f t="shared" ca="1" si="139"/>
        <v>0</v>
      </c>
      <c r="BS120" s="69">
        <f ca="1">$AO120*IF(Auswahllisten!$G$150,BS$25+BS$25*BS$13*$AN120,BS$25*(1+BS$13)^$AN120)</f>
        <v>0</v>
      </c>
      <c r="BT120" s="69">
        <f ca="1">$AO120*IF(Auswahllisten!$G$150,BT$25+BT$25*BT$13*$AN120,BT$25*(1+BT$13)^$AN120)</f>
        <v>0</v>
      </c>
      <c r="BU120" s="69">
        <f ca="1">$AO120*IF(Auswahllisten!$G$150,BU$25+BU$25*BU$13*$AN120,BU$25*(1+BU$13)^$AN120)</f>
        <v>0</v>
      </c>
      <c r="BV120" s="69">
        <f ca="1">$AO120*IF(Auswahllisten!$G$150,BV$25+BV$25*BV$13*$AN120,BV$25*(1+BV$13)^$AN120)</f>
        <v>0</v>
      </c>
      <c r="BW120" s="69">
        <f t="shared" ca="1" si="115"/>
        <v>0</v>
      </c>
      <c r="BX120" s="69">
        <f t="shared" ca="1" si="140"/>
        <v>0</v>
      </c>
      <c r="BY120" s="69">
        <f t="shared" ca="1" si="141"/>
        <v>0</v>
      </c>
      <c r="BZ120" s="69">
        <f t="shared" ca="1" si="106"/>
        <v>0</v>
      </c>
    </row>
    <row r="121" spans="1:78">
      <c r="A121" s="305" t="s">
        <v>1228</v>
      </c>
      <c r="B121" s="126" t="s">
        <v>1013</v>
      </c>
      <c r="C121" s="126" t="s">
        <v>1014</v>
      </c>
      <c r="D121" s="26" t="str" cm="1">
        <f t="array" aca="1" ref="D121" ca="1">INDIRECT("Vergleich!"&amp;$G$2&amp;Z121)</f>
        <v>keine</v>
      </c>
      <c r="E121" s="26" cm="1">
        <f t="array" aca="1" ref="E121" ca="1">INDIRECT("Investition_gewählt!"&amp;$I$5&amp;AA121)</f>
        <v>0</v>
      </c>
      <c r="F121" s="25" cm="1">
        <f t="array" aca="1" ref="F121" ca="1">IF($C$5=0,0,INDEX(Faktoren!E104:GQ104,1,VLOOKUP($F$5,$L$2:$O$14,4,FALSE)+$C$9*5+VLOOKUP(D121,Auswahllisten!$E$25:$F$29,2,FALSE)))</f>
        <v>0</v>
      </c>
      <c r="G121" s="162">
        <f t="shared" ca="1" si="147"/>
        <v>0</v>
      </c>
      <c r="H121" s="26" cm="1">
        <f t="array" aca="1" ref="H121" ca="1">INDIRECT("Investition_gewählt!"&amp;$I$6&amp;AA121)</f>
        <v>0</v>
      </c>
      <c r="I121" s="25" cm="1">
        <f t="array" aca="1" ref="I121" ca="1">IF($C$5=0,0,INDEX(Faktoren!E104:GQ104,1,VLOOKUP($F$6,$L$2:$O$14,4,FALSE)+$C$9*5+VLOOKUP(D121,Auswahllisten!$E$25:$F$29,2,FALSE)))</f>
        <v>0</v>
      </c>
      <c r="J121" s="162">
        <f t="shared" ca="1" si="148"/>
        <v>0</v>
      </c>
      <c r="K121" s="26">
        <f t="shared" ca="1" si="149"/>
        <v>0</v>
      </c>
      <c r="L121" s="26">
        <v>1</v>
      </c>
      <c r="M121" s="26">
        <f t="shared" ca="1" si="122"/>
        <v>0</v>
      </c>
      <c r="Z121" s="1">
        <v>78</v>
      </c>
      <c r="AA121" s="1">
        <v>104</v>
      </c>
      <c r="AB121" s="1">
        <v>-2</v>
      </c>
      <c r="AN121" s="1">
        <v>96</v>
      </c>
      <c r="AO121" s="1">
        <f t="shared" si="129"/>
        <v>0</v>
      </c>
      <c r="AP121" s="69">
        <f t="shared" ca="1" si="146"/>
        <v>0</v>
      </c>
      <c r="AQ121" s="69">
        <f t="shared" ca="1" si="146"/>
        <v>0</v>
      </c>
      <c r="AR121" s="69">
        <f t="shared" si="146"/>
        <v>0</v>
      </c>
      <c r="AS121" s="69">
        <f t="shared" ca="1" si="146"/>
        <v>0</v>
      </c>
      <c r="AT121" s="69">
        <f t="shared" ca="1" si="146"/>
        <v>0</v>
      </c>
      <c r="AU121" s="69">
        <f t="shared" ca="1" si="146"/>
        <v>0</v>
      </c>
      <c r="AV121" s="69">
        <f t="shared" si="146"/>
        <v>0</v>
      </c>
      <c r="AW121" s="69">
        <f t="shared" ca="1" si="131"/>
        <v>0</v>
      </c>
      <c r="AX121" s="69">
        <f t="shared" ca="1" si="132"/>
        <v>0</v>
      </c>
      <c r="AY121" s="69">
        <f t="shared" ca="1" si="133"/>
        <v>0</v>
      </c>
      <c r="AZ121" s="69">
        <f ca="1">$AO121*IF(Auswahllisten!$G$150,AZ$25+AZ$25*AZ$13*$AN121,AZ$25*(1+AZ$13)^$AN121)</f>
        <v>0</v>
      </c>
      <c r="BA121" s="69">
        <f ca="1">$AO121*IF(Auswahllisten!$G$150,BA$25+BA$25*BA$13*$AN121,BA$25*(1+BA$13)^$AN121)</f>
        <v>0</v>
      </c>
      <c r="BB121" s="69">
        <f ca="1">$AO121*IF(Auswahllisten!$G$150,BB$25+BB$25*BB$13*$AN121,BB$25*(1+BB$13)^$AN121)</f>
        <v>0</v>
      </c>
      <c r="BC121" s="69">
        <f ca="1">$AO121*IF(Auswahllisten!$G$150,BC$25+BC$25*BC$13*$AN121,BC$25*(1+BC$13)^$AN121)</f>
        <v>0</v>
      </c>
      <c r="BD121" s="69">
        <f t="shared" ca="1" si="110"/>
        <v>0</v>
      </c>
      <c r="BE121" s="69">
        <f t="shared" ca="1" si="134"/>
        <v>0</v>
      </c>
      <c r="BF121" s="69">
        <f t="shared" ca="1" si="135"/>
        <v>0</v>
      </c>
      <c r="BG121" s="69">
        <f t="shared" ca="1" si="113"/>
        <v>0</v>
      </c>
      <c r="BI121" s="69">
        <f t="shared" ca="1" si="136"/>
        <v>0</v>
      </c>
      <c r="BJ121" s="69">
        <f t="shared" ca="1" si="136"/>
        <v>0</v>
      </c>
      <c r="BK121" s="69">
        <f t="shared" si="136"/>
        <v>0</v>
      </c>
      <c r="BL121" s="69">
        <f t="shared" ca="1" si="136"/>
        <v>0</v>
      </c>
      <c r="BM121" s="69">
        <f t="shared" ca="1" si="136"/>
        <v>0</v>
      </c>
      <c r="BN121" s="69">
        <f t="shared" ca="1" si="136"/>
        <v>0</v>
      </c>
      <c r="BO121" s="69">
        <f t="shared" si="136"/>
        <v>0</v>
      </c>
      <c r="BP121" s="69">
        <f t="shared" ca="1" si="137"/>
        <v>0</v>
      </c>
      <c r="BQ121" s="69">
        <f t="shared" ca="1" si="138"/>
        <v>0</v>
      </c>
      <c r="BR121" s="69">
        <f t="shared" ca="1" si="139"/>
        <v>0</v>
      </c>
      <c r="BS121" s="69">
        <f ca="1">$AO121*IF(Auswahllisten!$G$150,BS$25+BS$25*BS$13*$AN121,BS$25*(1+BS$13)^$AN121)</f>
        <v>0</v>
      </c>
      <c r="BT121" s="69">
        <f ca="1">$AO121*IF(Auswahllisten!$G$150,BT$25+BT$25*BT$13*$AN121,BT$25*(1+BT$13)^$AN121)</f>
        <v>0</v>
      </c>
      <c r="BU121" s="69">
        <f ca="1">$AO121*IF(Auswahllisten!$G$150,BU$25+BU$25*BU$13*$AN121,BU$25*(1+BU$13)^$AN121)</f>
        <v>0</v>
      </c>
      <c r="BV121" s="69">
        <f ca="1">$AO121*IF(Auswahllisten!$G$150,BV$25+BV$25*BV$13*$AN121,BV$25*(1+BV$13)^$AN121)</f>
        <v>0</v>
      </c>
      <c r="BW121" s="69">
        <f t="shared" ca="1" si="115"/>
        <v>0</v>
      </c>
      <c r="BX121" s="69">
        <f t="shared" ca="1" si="140"/>
        <v>0</v>
      </c>
      <c r="BY121" s="69">
        <f t="shared" ca="1" si="141"/>
        <v>0</v>
      </c>
      <c r="BZ121" s="69">
        <f t="shared" ca="1" si="106"/>
        <v>0</v>
      </c>
    </row>
    <row r="122" spans="1:78">
      <c r="A122" s="305" t="s">
        <v>1228</v>
      </c>
      <c r="B122" s="126" t="s">
        <v>1013</v>
      </c>
      <c r="C122" s="126" t="s">
        <v>1016</v>
      </c>
      <c r="D122" s="26" t="str" cm="1">
        <f t="array" aca="1" ref="D122" ca="1">INDIRECT("Vergleich!"&amp;$G$2&amp;Z122)</f>
        <v>keine</v>
      </c>
      <c r="E122" s="26" cm="1">
        <f t="array" aca="1" ref="E122" ca="1">INDIRECT("Investition_gewählt!"&amp;$I$5&amp;AA122)</f>
        <v>500</v>
      </c>
      <c r="F122" s="25" cm="1">
        <f t="array" aca="1" ref="F122" ca="1">IF($C$5=0,0,INDEX(Faktoren!E105:GQ105,1,VLOOKUP($F$5,$L$2:$O$14,4,FALSE)+$C$9*5+VLOOKUP(D122,Auswahllisten!$E$25:$F$29,2,FALSE)))</f>
        <v>0</v>
      </c>
      <c r="G122" s="162">
        <f t="shared" ca="1" si="147"/>
        <v>0</v>
      </c>
      <c r="H122" s="26" cm="1">
        <f t="array" aca="1" ref="H122" ca="1">INDIRECT("Investition_gewählt!"&amp;$I$6&amp;AA122)</f>
        <v>500</v>
      </c>
      <c r="I122" s="25" cm="1">
        <f t="array" aca="1" ref="I122" ca="1">IF($C$5=0,0,INDEX(Faktoren!E105:GQ105,1,VLOOKUP($F$6,$L$2:$O$14,4,FALSE)+$C$9*5+VLOOKUP(D122,Auswahllisten!$E$25:$F$29,2,FALSE)))</f>
        <v>0</v>
      </c>
      <c r="J122" s="162">
        <f t="shared" ca="1" si="148"/>
        <v>0</v>
      </c>
      <c r="K122" s="26">
        <f t="shared" ca="1" si="149"/>
        <v>0</v>
      </c>
      <c r="L122" s="26">
        <v>1</v>
      </c>
      <c r="M122" s="26">
        <f t="shared" ca="1" si="122"/>
        <v>0</v>
      </c>
      <c r="Z122" s="1">
        <v>79</v>
      </c>
      <c r="AA122" s="1">
        <v>105</v>
      </c>
      <c r="AB122" s="1">
        <v>-2</v>
      </c>
      <c r="AN122" s="1">
        <v>97</v>
      </c>
      <c r="AO122" s="1">
        <f t="shared" si="129"/>
        <v>0</v>
      </c>
      <c r="AP122" s="69">
        <f t="shared" ca="1" si="146"/>
        <v>0</v>
      </c>
      <c r="AQ122" s="69">
        <f t="shared" ca="1" si="146"/>
        <v>0</v>
      </c>
      <c r="AR122" s="69">
        <f t="shared" si="146"/>
        <v>0</v>
      </c>
      <c r="AS122" s="69">
        <f t="shared" ca="1" si="146"/>
        <v>0</v>
      </c>
      <c r="AT122" s="69">
        <f t="shared" ca="1" si="146"/>
        <v>0</v>
      </c>
      <c r="AU122" s="69">
        <f t="shared" ca="1" si="146"/>
        <v>0</v>
      </c>
      <c r="AV122" s="69">
        <f t="shared" si="146"/>
        <v>0</v>
      </c>
      <c r="AW122" s="69">
        <f t="shared" ca="1" si="131"/>
        <v>0</v>
      </c>
      <c r="AX122" s="69">
        <f t="shared" ca="1" si="132"/>
        <v>0</v>
      </c>
      <c r="AY122" s="69">
        <f t="shared" ca="1" si="133"/>
        <v>0</v>
      </c>
      <c r="AZ122" s="69">
        <f ca="1">$AO122*IF(Auswahllisten!$G$150,AZ$25+AZ$25*AZ$13*$AN122,AZ$25*(1+AZ$13)^$AN122)</f>
        <v>0</v>
      </c>
      <c r="BA122" s="69">
        <f ca="1">$AO122*IF(Auswahllisten!$G$150,BA$25+BA$25*BA$13*$AN122,BA$25*(1+BA$13)^$AN122)</f>
        <v>0</v>
      </c>
      <c r="BB122" s="69">
        <f ca="1">$AO122*IF(Auswahllisten!$G$150,BB$25+BB$25*BB$13*$AN122,BB$25*(1+BB$13)^$AN122)</f>
        <v>0</v>
      </c>
      <c r="BC122" s="69">
        <f ca="1">$AO122*IF(Auswahllisten!$G$150,BC$25+BC$25*BC$13*$AN122,BC$25*(1+BC$13)^$AN122)</f>
        <v>0</v>
      </c>
      <c r="BD122" s="69">
        <f t="shared" ca="1" si="110"/>
        <v>0</v>
      </c>
      <c r="BE122" s="69">
        <f t="shared" ca="1" si="134"/>
        <v>0</v>
      </c>
      <c r="BF122" s="69">
        <f t="shared" ca="1" si="135"/>
        <v>0</v>
      </c>
      <c r="BG122" s="69">
        <f t="shared" ca="1" si="113"/>
        <v>0</v>
      </c>
      <c r="BI122" s="69">
        <f t="shared" ca="1" si="136"/>
        <v>0</v>
      </c>
      <c r="BJ122" s="69">
        <f t="shared" ca="1" si="136"/>
        <v>0</v>
      </c>
      <c r="BK122" s="69">
        <f t="shared" si="136"/>
        <v>0</v>
      </c>
      <c r="BL122" s="69">
        <f t="shared" ca="1" si="136"/>
        <v>0</v>
      </c>
      <c r="BM122" s="69">
        <f t="shared" ca="1" si="136"/>
        <v>0</v>
      </c>
      <c r="BN122" s="69">
        <f t="shared" ca="1" si="136"/>
        <v>0</v>
      </c>
      <c r="BO122" s="69">
        <f t="shared" si="136"/>
        <v>0</v>
      </c>
      <c r="BP122" s="69">
        <f t="shared" ca="1" si="137"/>
        <v>0</v>
      </c>
      <c r="BQ122" s="69">
        <f t="shared" ca="1" si="138"/>
        <v>0</v>
      </c>
      <c r="BR122" s="69">
        <f t="shared" ca="1" si="139"/>
        <v>0</v>
      </c>
      <c r="BS122" s="69">
        <f ca="1">$AO122*IF(Auswahllisten!$G$150,BS$25+BS$25*BS$13*$AN122,BS$25*(1+BS$13)^$AN122)</f>
        <v>0</v>
      </c>
      <c r="BT122" s="69">
        <f ca="1">$AO122*IF(Auswahllisten!$G$150,BT$25+BT$25*BT$13*$AN122,BT$25*(1+BT$13)^$AN122)</f>
        <v>0</v>
      </c>
      <c r="BU122" s="69">
        <f ca="1">$AO122*IF(Auswahllisten!$G$150,BU$25+BU$25*BU$13*$AN122,BU$25*(1+BU$13)^$AN122)</f>
        <v>0</v>
      </c>
      <c r="BV122" s="69">
        <f ca="1">$AO122*IF(Auswahllisten!$G$150,BV$25+BV$25*BV$13*$AN122,BV$25*(1+BV$13)^$AN122)</f>
        <v>0</v>
      </c>
      <c r="BW122" s="69">
        <f t="shared" ca="1" si="115"/>
        <v>0</v>
      </c>
      <c r="BX122" s="69">
        <f t="shared" ca="1" si="140"/>
        <v>0</v>
      </c>
      <c r="BY122" s="69">
        <f t="shared" ca="1" si="141"/>
        <v>0</v>
      </c>
      <c r="BZ122" s="69">
        <f t="shared" ca="1" si="106"/>
        <v>0</v>
      </c>
    </row>
    <row r="123" spans="1:78">
      <c r="A123" s="305" t="s">
        <v>1228</v>
      </c>
      <c r="B123" s="126" t="s">
        <v>1013</v>
      </c>
      <c r="C123" s="126" t="s">
        <v>1018</v>
      </c>
      <c r="D123" s="26" t="str" cm="1">
        <f t="array" aca="1" ref="D123" ca="1">INDIRECT("Vergleich!"&amp;$G$2&amp;Z123)</f>
        <v>keine</v>
      </c>
      <c r="E123" s="26" cm="1">
        <f t="array" aca="1" ref="E123" ca="1">INDIRECT("Investition_gewählt!"&amp;$I$5&amp;AA123)</f>
        <v>750</v>
      </c>
      <c r="F123" s="25" cm="1">
        <f t="array" aca="1" ref="F123" ca="1">IF($C$5=0,0,INDEX(Faktoren!E106:GQ106,1,VLOOKUP($F$5,$L$2:$O$14,4,FALSE)+$C$9*5+VLOOKUP(D123,Auswahllisten!$E$25:$F$29,2,FALSE)))</f>
        <v>0</v>
      </c>
      <c r="G123" s="162">
        <f t="shared" ca="1" si="147"/>
        <v>0</v>
      </c>
      <c r="H123" s="26" cm="1">
        <f t="array" aca="1" ref="H123" ca="1">INDIRECT("Investition_gewählt!"&amp;$I$6&amp;AA123)</f>
        <v>750</v>
      </c>
      <c r="I123" s="25" cm="1">
        <f t="array" aca="1" ref="I123" ca="1">IF($C$5=0,0,INDEX(Faktoren!E106:GQ106,1,VLOOKUP($F$6,$L$2:$O$14,4,FALSE)+$C$9*5+VLOOKUP(D123,Auswahllisten!$E$25:$F$29,2,FALSE)))</f>
        <v>0</v>
      </c>
      <c r="J123" s="162">
        <f t="shared" ca="1" si="148"/>
        <v>0</v>
      </c>
      <c r="K123" s="26">
        <f t="shared" ca="1" si="149"/>
        <v>0</v>
      </c>
      <c r="L123" s="26">
        <v>1</v>
      </c>
      <c r="M123" s="26">
        <f t="shared" ca="1" si="122"/>
        <v>0</v>
      </c>
      <c r="Z123" s="1">
        <v>80</v>
      </c>
      <c r="AA123" s="1">
        <v>106</v>
      </c>
      <c r="AB123" s="1">
        <v>-2</v>
      </c>
      <c r="AN123" s="1">
        <v>98</v>
      </c>
      <c r="AO123" s="1">
        <f t="shared" si="129"/>
        <v>0</v>
      </c>
      <c r="AP123" s="69">
        <f t="shared" ca="1" si="146"/>
        <v>0</v>
      </c>
      <c r="AQ123" s="69">
        <f t="shared" ca="1" si="146"/>
        <v>0</v>
      </c>
      <c r="AR123" s="69">
        <f t="shared" si="146"/>
        <v>0</v>
      </c>
      <c r="AS123" s="69">
        <f t="shared" ca="1" si="146"/>
        <v>0</v>
      </c>
      <c r="AT123" s="69">
        <f t="shared" ca="1" si="146"/>
        <v>0</v>
      </c>
      <c r="AU123" s="69">
        <f t="shared" ca="1" si="146"/>
        <v>0</v>
      </c>
      <c r="AV123" s="69">
        <f t="shared" si="146"/>
        <v>0</v>
      </c>
      <c r="AW123" s="69">
        <f t="shared" ca="1" si="131"/>
        <v>0</v>
      </c>
      <c r="AX123" s="69">
        <f t="shared" ca="1" si="132"/>
        <v>0</v>
      </c>
      <c r="AY123" s="69">
        <f t="shared" ca="1" si="133"/>
        <v>0</v>
      </c>
      <c r="AZ123" s="69">
        <f ca="1">$AO123*IF(Auswahllisten!$G$150,AZ$25+AZ$25*AZ$13*$AN123,AZ$25*(1+AZ$13)^$AN123)</f>
        <v>0</v>
      </c>
      <c r="BA123" s="69">
        <f ca="1">$AO123*IF(Auswahllisten!$G$150,BA$25+BA$25*BA$13*$AN123,BA$25*(1+BA$13)^$AN123)</f>
        <v>0</v>
      </c>
      <c r="BB123" s="69">
        <f ca="1">$AO123*IF(Auswahllisten!$G$150,BB$25+BB$25*BB$13*$AN123,BB$25*(1+BB$13)^$AN123)</f>
        <v>0</v>
      </c>
      <c r="BC123" s="69">
        <f ca="1">$AO123*IF(Auswahllisten!$G$150,BC$25+BC$25*BC$13*$AN123,BC$25*(1+BC$13)^$AN123)</f>
        <v>0</v>
      </c>
      <c r="BD123" s="69">
        <f t="shared" ca="1" si="110"/>
        <v>0</v>
      </c>
      <c r="BE123" s="69">
        <f t="shared" ca="1" si="134"/>
        <v>0</v>
      </c>
      <c r="BF123" s="69">
        <f t="shared" ca="1" si="135"/>
        <v>0</v>
      </c>
      <c r="BG123" s="69">
        <f t="shared" ca="1" si="113"/>
        <v>0</v>
      </c>
      <c r="BI123" s="69">
        <f t="shared" ca="1" si="136"/>
        <v>0</v>
      </c>
      <c r="BJ123" s="69">
        <f t="shared" ca="1" si="136"/>
        <v>0</v>
      </c>
      <c r="BK123" s="69">
        <f t="shared" si="136"/>
        <v>0</v>
      </c>
      <c r="BL123" s="69">
        <f t="shared" ca="1" si="136"/>
        <v>0</v>
      </c>
      <c r="BM123" s="69">
        <f t="shared" ca="1" si="136"/>
        <v>0</v>
      </c>
      <c r="BN123" s="69">
        <f t="shared" ca="1" si="136"/>
        <v>0</v>
      </c>
      <c r="BO123" s="69">
        <f t="shared" si="136"/>
        <v>0</v>
      </c>
      <c r="BP123" s="69">
        <f t="shared" ref="BP123:BP125" ca="1" si="150">SUM(BI123:BO123)/(1+$AS$11)^AN123</f>
        <v>0</v>
      </c>
      <c r="BQ123" s="69">
        <f t="shared" ca="1" si="138"/>
        <v>0</v>
      </c>
      <c r="BR123" s="69">
        <f t="shared" ca="1" si="139"/>
        <v>0</v>
      </c>
      <c r="BS123" s="69">
        <f ca="1">$AO123*IF(Auswahllisten!$G$150,BS$25+BS$25*BS$13*$AN123,BS$25*(1+BS$13)^$AN123)</f>
        <v>0</v>
      </c>
      <c r="BT123" s="69">
        <f ca="1">$AO123*IF(Auswahllisten!$G$150,BT$25+BT$25*BT$13*$AN123,BT$25*(1+BT$13)^$AN123)</f>
        <v>0</v>
      </c>
      <c r="BU123" s="69">
        <f ca="1">$AO123*IF(Auswahllisten!$G$150,BU$25+BU$25*BU$13*$AN123,BU$25*(1+BU$13)^$AN123)</f>
        <v>0</v>
      </c>
      <c r="BV123" s="69">
        <f ca="1">$AO123*IF(Auswahllisten!$G$150,BV$25+BV$25*BV$13*$AN123,BV$25*(1+BV$13)^$AN123)</f>
        <v>0</v>
      </c>
      <c r="BW123" s="69">
        <f t="shared" ca="1" si="115"/>
        <v>0</v>
      </c>
      <c r="BX123" s="69">
        <f t="shared" ca="1" si="140"/>
        <v>0</v>
      </c>
      <c r="BY123" s="69">
        <f t="shared" ca="1" si="141"/>
        <v>0</v>
      </c>
      <c r="BZ123" s="69">
        <f t="shared" ca="1" si="106"/>
        <v>0</v>
      </c>
    </row>
    <row r="124" spans="1:78">
      <c r="A124" s="305" t="s">
        <v>1228</v>
      </c>
      <c r="B124" s="126" t="s">
        <v>1013</v>
      </c>
      <c r="C124" s="126" t="s">
        <v>1019</v>
      </c>
      <c r="D124" s="26" t="str" cm="1">
        <f t="array" aca="1" ref="D124" ca="1">INDIRECT("Vergleich!"&amp;$G$2&amp;Z124)</f>
        <v>keine</v>
      </c>
      <c r="E124" s="26" cm="1">
        <f t="array" aca="1" ref="E124" ca="1">INDIRECT("Investition_gewählt!"&amp;$I$5&amp;AA124)</f>
        <v>1000</v>
      </c>
      <c r="F124" s="25" cm="1">
        <f t="array" aca="1" ref="F124" ca="1">IF($C$5=0,0,INDEX(Faktoren!E107:GQ107,1,VLOOKUP($F$5,$L$2:$O$14,4,FALSE)+$C$9*5+VLOOKUP(D124,Auswahllisten!$E$25:$F$29,2,FALSE)))</f>
        <v>0</v>
      </c>
      <c r="G124" s="162">
        <f t="shared" ca="1" si="147"/>
        <v>0</v>
      </c>
      <c r="H124" s="26" cm="1">
        <f t="array" aca="1" ref="H124" ca="1">INDIRECT("Investition_gewählt!"&amp;$I$6&amp;AA124)</f>
        <v>1000</v>
      </c>
      <c r="I124" s="25" cm="1">
        <f t="array" aca="1" ref="I124" ca="1">IF($C$5=0,0,INDEX(Faktoren!E107:GQ107,1,VLOOKUP($F$6,$L$2:$O$14,4,FALSE)+$C$9*5+VLOOKUP(D124,Auswahllisten!$E$25:$F$29,2,FALSE)))</f>
        <v>0</v>
      </c>
      <c r="J124" s="162">
        <f t="shared" ca="1" si="148"/>
        <v>0</v>
      </c>
      <c r="K124" s="26">
        <f t="shared" ca="1" si="149"/>
        <v>0</v>
      </c>
      <c r="L124" s="26">
        <v>1</v>
      </c>
      <c r="M124" s="26">
        <f t="shared" ca="1" si="122"/>
        <v>0</v>
      </c>
      <c r="Z124" s="1">
        <v>81</v>
      </c>
      <c r="AA124" s="1">
        <v>107</v>
      </c>
      <c r="AB124" s="1">
        <v>-2</v>
      </c>
      <c r="AN124" s="1">
        <v>99</v>
      </c>
      <c r="AO124" s="1">
        <f t="shared" si="129"/>
        <v>0</v>
      </c>
      <c r="AP124" s="69">
        <f t="shared" ca="1" si="146"/>
        <v>0</v>
      </c>
      <c r="AQ124" s="69">
        <f t="shared" ca="1" si="146"/>
        <v>0</v>
      </c>
      <c r="AR124" s="69">
        <f t="shared" si="146"/>
        <v>0</v>
      </c>
      <c r="AS124" s="69">
        <f t="shared" ca="1" si="146"/>
        <v>0</v>
      </c>
      <c r="AT124" s="69">
        <f t="shared" ca="1" si="146"/>
        <v>0</v>
      </c>
      <c r="AU124" s="69">
        <f t="shared" ca="1" si="146"/>
        <v>0</v>
      </c>
      <c r="AV124" s="69">
        <f t="shared" si="146"/>
        <v>0</v>
      </c>
      <c r="AW124" s="69">
        <f t="shared" ca="1" si="131"/>
        <v>0</v>
      </c>
      <c r="AX124" s="69">
        <f t="shared" ca="1" si="132"/>
        <v>0</v>
      </c>
      <c r="AY124" s="69">
        <f t="shared" ca="1" si="133"/>
        <v>0</v>
      </c>
      <c r="AZ124" s="69">
        <f ca="1">$AO124*IF(Auswahllisten!$G$150,AZ$25+AZ$25*AZ$13*$AN124,AZ$25*(1+AZ$13)^$AN124)</f>
        <v>0</v>
      </c>
      <c r="BA124" s="69">
        <f ca="1">$AO124*IF(Auswahllisten!$G$150,BA$25+BA$25*BA$13*$AN124,BA$25*(1+BA$13)^$AN124)</f>
        <v>0</v>
      </c>
      <c r="BB124" s="69">
        <f ca="1">$AO124*IF(Auswahllisten!$G$150,BB$25+BB$25*BB$13*$AN124,BB$25*(1+BB$13)^$AN124)</f>
        <v>0</v>
      </c>
      <c r="BC124" s="69">
        <f ca="1">$AO124*IF(Auswahllisten!$G$150,BC$25+BC$25*BC$13*$AN124,BC$25*(1+BC$13)^$AN124)</f>
        <v>0</v>
      </c>
      <c r="BD124" s="69">
        <f t="shared" ca="1" si="110"/>
        <v>0</v>
      </c>
      <c r="BE124" s="69">
        <f t="shared" ca="1" si="134"/>
        <v>0</v>
      </c>
      <c r="BF124" s="69">
        <f t="shared" ca="1" si="135"/>
        <v>0</v>
      </c>
      <c r="BG124" s="69">
        <f t="shared" ca="1" si="113"/>
        <v>0</v>
      </c>
      <c r="BI124" s="69">
        <f t="shared" ca="1" si="136"/>
        <v>0</v>
      </c>
      <c r="BJ124" s="69">
        <f t="shared" ca="1" si="136"/>
        <v>0</v>
      </c>
      <c r="BK124" s="69">
        <f t="shared" si="136"/>
        <v>0</v>
      </c>
      <c r="BL124" s="69">
        <f t="shared" ca="1" si="136"/>
        <v>0</v>
      </c>
      <c r="BM124" s="69">
        <f t="shared" ca="1" si="136"/>
        <v>0</v>
      </c>
      <c r="BN124" s="69">
        <f t="shared" ca="1" si="136"/>
        <v>0</v>
      </c>
      <c r="BO124" s="69">
        <f t="shared" si="136"/>
        <v>0</v>
      </c>
      <c r="BP124" s="69">
        <f t="shared" ca="1" si="150"/>
        <v>0</v>
      </c>
      <c r="BQ124" s="69">
        <f t="shared" ca="1" si="138"/>
        <v>0</v>
      </c>
      <c r="BR124" s="69">
        <f t="shared" ca="1" si="139"/>
        <v>0</v>
      </c>
      <c r="BS124" s="69">
        <f ca="1">$AO124*IF(Auswahllisten!$G$150,BS$25+BS$25*BS$13*$AN124,BS$25*(1+BS$13)^$AN124)</f>
        <v>0</v>
      </c>
      <c r="BT124" s="69">
        <f ca="1">$AO124*IF(Auswahllisten!$G$150,BT$25+BT$25*BT$13*$AN124,BT$25*(1+BT$13)^$AN124)</f>
        <v>0</v>
      </c>
      <c r="BU124" s="69">
        <f ca="1">$AO124*IF(Auswahllisten!$G$150,BU$25+BU$25*BU$13*$AN124,BU$25*(1+BU$13)^$AN124)</f>
        <v>0</v>
      </c>
      <c r="BV124" s="69">
        <f ca="1">$AO124*IF(Auswahllisten!$G$150,BV$25+BV$25*BV$13*$AN124,BV$25*(1+BV$13)^$AN124)</f>
        <v>0</v>
      </c>
      <c r="BW124" s="69">
        <f t="shared" ca="1" si="115"/>
        <v>0</v>
      </c>
      <c r="BX124" s="69">
        <f t="shared" ca="1" si="140"/>
        <v>0</v>
      </c>
      <c r="BY124" s="69">
        <f t="shared" ca="1" si="141"/>
        <v>0</v>
      </c>
      <c r="BZ124" s="69">
        <f t="shared" ca="1" si="106"/>
        <v>0</v>
      </c>
    </row>
    <row r="125" spans="1:78">
      <c r="A125" s="306" t="s">
        <v>1228</v>
      </c>
      <c r="B125" s="297" t="s">
        <v>1013</v>
      </c>
      <c r="C125" s="134" t="s">
        <v>1021</v>
      </c>
      <c r="D125" s="163" t="str" cm="1">
        <f t="array" aca="1" ref="D125" ca="1">INDIRECT("Vergleich!"&amp;$G$2&amp;Z125)</f>
        <v>keine</v>
      </c>
      <c r="E125" s="163" cm="1">
        <f t="array" aca="1" ref="E125" ca="1">INDIRECT("Investition_gewählt!"&amp;$I$5&amp;AA125)</f>
        <v>0</v>
      </c>
      <c r="F125" s="61" cm="1">
        <f t="array" aca="1" ref="F125" ca="1">IF($C$5=0,0,INDEX(Faktoren!E108:GQ108,1,VLOOKUP($F$5,$L$2:$O$14,4,FALSE)+$C$9*5+VLOOKUP(D125,Auswahllisten!$E$25:$F$29,2,FALSE)))</f>
        <v>0</v>
      </c>
      <c r="G125" s="216">
        <f t="shared" ca="1" si="147"/>
        <v>0</v>
      </c>
      <c r="H125" s="163" cm="1">
        <f t="array" aca="1" ref="H125" ca="1">INDIRECT("Investition_gewählt!"&amp;$I$6&amp;AA125)</f>
        <v>0</v>
      </c>
      <c r="I125" s="61" cm="1">
        <f t="array" aca="1" ref="I125" ca="1">IF($C$5=0,0,INDEX(Faktoren!E108:GQ108,1,VLOOKUP($F$6,$L$2:$O$14,4,FALSE)+$C$9*5+VLOOKUP(D125,Auswahllisten!$E$25:$F$29,2,FALSE)))</f>
        <v>0</v>
      </c>
      <c r="J125" s="216">
        <f t="shared" ca="1" si="148"/>
        <v>0</v>
      </c>
      <c r="K125" s="163">
        <f t="shared" ca="1" si="149"/>
        <v>0</v>
      </c>
      <c r="L125" s="163">
        <v>1</v>
      </c>
      <c r="M125" s="163">
        <f t="shared" ca="1" si="122"/>
        <v>0</v>
      </c>
      <c r="Z125" s="1">
        <v>82</v>
      </c>
      <c r="AA125" s="1">
        <v>108</v>
      </c>
      <c r="AB125" s="1">
        <v>-2</v>
      </c>
      <c r="AN125" s="1">
        <v>100</v>
      </c>
      <c r="AO125" s="1">
        <f t="shared" si="129"/>
        <v>0</v>
      </c>
      <c r="AP125" s="69">
        <f t="shared" ca="1" si="146"/>
        <v>0</v>
      </c>
      <c r="AQ125" s="69">
        <f t="shared" ca="1" si="146"/>
        <v>0</v>
      </c>
      <c r="AR125" s="69">
        <f t="shared" ca="1" si="146"/>
        <v>0</v>
      </c>
      <c r="AS125" s="69">
        <f t="shared" ca="1" si="146"/>
        <v>0</v>
      </c>
      <c r="AT125" s="69">
        <f t="shared" ca="1" si="146"/>
        <v>0</v>
      </c>
      <c r="AU125" s="69">
        <f t="shared" ca="1" si="146"/>
        <v>0</v>
      </c>
      <c r="AV125" s="69">
        <f t="shared" ca="1" si="146"/>
        <v>0</v>
      </c>
      <c r="AW125" s="69">
        <f t="shared" ca="1" si="131"/>
        <v>0</v>
      </c>
      <c r="AX125" s="69">
        <f t="shared" ca="1" si="132"/>
        <v>0</v>
      </c>
      <c r="AY125" s="69">
        <f t="shared" ca="1" si="133"/>
        <v>0</v>
      </c>
      <c r="AZ125" s="69">
        <f ca="1">$AO125*IF(Auswahllisten!$G$150,AZ$25+AZ$25*AZ$13*$AN125,AZ$25*(1+AZ$13)^$AN125)</f>
        <v>0</v>
      </c>
      <c r="BA125" s="69">
        <f ca="1">$AO125*IF(Auswahllisten!$G$150,BA$25+BA$25*BA$13*$AN125,BA$25*(1+BA$13)^$AN125)</f>
        <v>0</v>
      </c>
      <c r="BB125" s="69">
        <f ca="1">$AO125*IF(Auswahllisten!$G$150,BB$25+BB$25*BB$13*$AN125,BB$25*(1+BB$13)^$AN125)</f>
        <v>0</v>
      </c>
      <c r="BC125" s="69">
        <f ca="1">$AO125*IF(Auswahllisten!$G$150,BC$25+BC$25*BC$13*$AN125,BC$25*(1+BC$13)^$AN125)</f>
        <v>0</v>
      </c>
      <c r="BD125" s="69">
        <f t="shared" ca="1" si="110"/>
        <v>0</v>
      </c>
      <c r="BE125" s="69">
        <f t="shared" ca="1" si="134"/>
        <v>0</v>
      </c>
      <c r="BF125" s="69">
        <f t="shared" ca="1" si="135"/>
        <v>0</v>
      </c>
      <c r="BG125" s="69">
        <f t="shared" ca="1" si="113"/>
        <v>0</v>
      </c>
      <c r="BI125" s="69">
        <f t="shared" ca="1" si="136"/>
        <v>0</v>
      </c>
      <c r="BJ125" s="69">
        <f t="shared" ca="1" si="136"/>
        <v>0</v>
      </c>
      <c r="BK125" s="69">
        <f t="shared" si="136"/>
        <v>0</v>
      </c>
      <c r="BL125" s="69">
        <f t="shared" ca="1" si="136"/>
        <v>0</v>
      </c>
      <c r="BM125" s="69">
        <f t="shared" ca="1" si="136"/>
        <v>0</v>
      </c>
      <c r="BN125" s="69">
        <f t="shared" ca="1" si="136"/>
        <v>0</v>
      </c>
      <c r="BO125" s="69">
        <f t="shared" si="136"/>
        <v>0</v>
      </c>
      <c r="BP125" s="69">
        <f t="shared" ca="1" si="150"/>
        <v>0</v>
      </c>
      <c r="BQ125" s="69">
        <f t="shared" ca="1" si="138"/>
        <v>0</v>
      </c>
      <c r="BR125" s="69">
        <f t="shared" ca="1" si="139"/>
        <v>0</v>
      </c>
      <c r="BS125" s="69">
        <f ca="1">$AO125*IF(Auswahllisten!$G$150,BS$25+BS$25*BS$13*$AN125,BS$25*(1+BS$13)^$AN125)</f>
        <v>0</v>
      </c>
      <c r="BT125" s="69">
        <f ca="1">$AO125*IF(Auswahllisten!$G$150,BT$25+BT$25*BT$13*$AN125,BT$25*(1+BT$13)^$AN125)</f>
        <v>0</v>
      </c>
      <c r="BU125" s="69">
        <f ca="1">$AO125*IF(Auswahllisten!$G$150,BU$25+BU$25*BU$13*$AN125,BU$25*(1+BU$13)^$AN125)</f>
        <v>0</v>
      </c>
      <c r="BV125" s="69">
        <f ca="1">$AO125*IF(Auswahllisten!$G$150,BV$25+BV$25*BV$13*$AN125,BV$25*(1+BV$13)^$AN125)</f>
        <v>0</v>
      </c>
      <c r="BW125" s="69">
        <f t="shared" ca="1" si="115"/>
        <v>0</v>
      </c>
      <c r="BX125" s="69">
        <f t="shared" ca="1" si="140"/>
        <v>0</v>
      </c>
      <c r="BY125" s="69">
        <f t="shared" ca="1" si="141"/>
        <v>0</v>
      </c>
      <c r="BZ125" s="69">
        <f t="shared" ca="1" si="106"/>
        <v>0</v>
      </c>
    </row>
    <row r="126" spans="1:78">
      <c r="A126" s="125"/>
      <c r="B126" s="64"/>
      <c r="C126" s="64"/>
      <c r="D126" s="69"/>
      <c r="E126" s="69"/>
      <c r="G126" s="69"/>
      <c r="H126" s="69"/>
      <c r="J126" s="69"/>
      <c r="K126" s="69"/>
      <c r="L126" s="69"/>
      <c r="M126" s="69"/>
      <c r="AA126" s="1">
        <v>109</v>
      </c>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A127" s="125"/>
      <c r="B127" s="125" t="s">
        <v>968</v>
      </c>
      <c r="C127" s="64"/>
      <c r="D127" s="393"/>
      <c r="E127" s="393"/>
      <c r="F127" s="394"/>
      <c r="G127" s="393"/>
      <c r="H127" s="393"/>
      <c r="I127" s="394"/>
      <c r="J127" s="393"/>
      <c r="K127" s="393"/>
      <c r="L127" s="393"/>
      <c r="M127" s="393"/>
      <c r="O127" s="394"/>
      <c r="P127" s="394"/>
      <c r="Q127" s="394"/>
      <c r="R127" s="394"/>
      <c r="S127" s="394"/>
      <c r="T127" s="394"/>
      <c r="U127" s="394"/>
      <c r="V127" s="394"/>
      <c r="W127" s="394"/>
      <c r="X127" s="394"/>
      <c r="AA127" s="1">
        <v>110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A128" s="304" t="s">
        <v>1229</v>
      </c>
      <c r="B128" s="131" t="s">
        <v>1246</v>
      </c>
      <c r="C128" s="131" t="s">
        <v>1025</v>
      </c>
      <c r="D128" s="162" t="str" cm="1">
        <f t="array" aca="1" ref="D128" ca="1">INDIRECT("Vergleich!"&amp;$G$2&amp;Z128)</f>
        <v>mittel</v>
      </c>
      <c r="E128" s="162" cm="1">
        <f t="array" aca="1" ref="E128" ca="1">INDIRECT("Investition_gewählt!"&amp;$I$5&amp;AA128)</f>
        <v>3000</v>
      </c>
      <c r="F128" s="25" cm="1">
        <f t="array" aca="1" ref="F128" ca="1">IF($C$5=0,0,INDEX(Faktoren!E111:GQ111,1,VLOOKUP($F$5,$L$2:$O$14,4,FALSE)+$C$9*5+VLOOKUP(D128,Auswahllisten!$E$25:$F$29,2,FALSE)))</f>
        <v>0</v>
      </c>
      <c r="G128" s="162">
        <f t="shared" ref="G128:G134" ca="1" si="151">E128*F128</f>
        <v>0</v>
      </c>
      <c r="H128" s="162" cm="1">
        <f t="array" aca="1" ref="H128" ca="1">INDIRECT("Investition_gewählt!"&amp;$I$6&amp;AA128)</f>
        <v>3000</v>
      </c>
      <c r="I128" s="25" cm="1">
        <f t="array" aca="1" ref="I128" ca="1">IF($C$5=0,0,INDEX(Faktoren!E111:GQ111,1,VLOOKUP($F$6,$L$2:$O$14,4,FALSE)+$C$9*5+VLOOKUP(D128,Auswahllisten!$E$25:$F$29,2,FALSE)))</f>
        <v>0</v>
      </c>
      <c r="J128" s="162">
        <f t="shared" ref="J128:J134" ca="1" si="152">H128*I128</f>
        <v>0</v>
      </c>
      <c r="K128" s="162">
        <f t="shared" ref="K128:K133" ca="1" si="153">IF($C$5=0,0,G128+(J128-G128)*($C$6-$F$5)/($F$6-$F$5))</f>
        <v>0</v>
      </c>
      <c r="L128" s="162" t="b">
        <f ca="1">OR(C5=2,C5=10,C5=11,C5=12,C5=13)</f>
        <v>0</v>
      </c>
      <c r="M128" s="162">
        <f t="shared" ca="1" si="122"/>
        <v>0</v>
      </c>
      <c r="O128" s="25" t="str" cm="1">
        <f t="array" aca="1" ref="O128" ca="1">INDIRECT("Vergleich!"&amp;$Y$2&amp;Z128)</f>
        <v>gering</v>
      </c>
      <c r="P128" s="162" cm="1">
        <f t="array" aca="1" ref="P128" ca="1">INDIRECT("Investition_gewählt!"&amp;$AA$5&amp;AA128)</f>
        <v>3000</v>
      </c>
      <c r="Q128" s="25" cm="1">
        <f t="array" aca="1" ref="Q128" ca="1">IF($U$5=0,0,INDEX(Faktoren!T111:GQ111,1,VLOOKUP($X$5,$L$2:$O$14,4,FALSE)+$U$9*5+VLOOKUP(O128,Auswahllisten!$E$25:$F$28,2,FALSE)))</f>
        <v>0</v>
      </c>
      <c r="R128" s="162">
        <f t="shared" ref="R128:R134" ca="1" si="154">P128*Q128</f>
        <v>0</v>
      </c>
      <c r="S128" s="162" cm="1">
        <f t="array" aca="1" ref="S128" ca="1">INDIRECT("Investition_gewählt!"&amp;$AA$6&amp;AA128)</f>
        <v>3000</v>
      </c>
      <c r="T128" s="25" cm="1">
        <f t="array" aca="1" ref="T128" ca="1">IF($U$5=0,0,INDEX(Faktoren!T111:GQ111,1,VLOOKUP($X$6,$L$2:$O$14,4,FALSE)+$U$9*5+VLOOKUP(O128,Auswahllisten!$E$25:$F$28,2,FALSE)))</f>
        <v>0</v>
      </c>
      <c r="U128" s="162">
        <f t="shared" ref="U128:U134" ca="1" si="155">S128*T128</f>
        <v>0</v>
      </c>
      <c r="V128" s="162">
        <f ca="1">IF($U$5=0,0,R128+(U128-R128)*($U$6-$X$5)/($X$6-$X$5))</f>
        <v>0</v>
      </c>
      <c r="W128" s="162" t="b">
        <f ca="1">OR(U5=2,U5=10,U5=11,U5=12,U5=13)</f>
        <v>0</v>
      </c>
      <c r="X128" s="162">
        <f t="shared" ca="1" si="123"/>
        <v>0</v>
      </c>
      <c r="Z128" s="1">
        <v>57</v>
      </c>
      <c r="AA128" s="1">
        <v>111</v>
      </c>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305" t="s">
        <v>1230</v>
      </c>
      <c r="B129" s="126" t="s">
        <v>1247</v>
      </c>
      <c r="C129" s="126" t="s">
        <v>1027</v>
      </c>
      <c r="D129" s="26" t="str" cm="1">
        <f t="array" aca="1" ref="D129" ca="1">INDIRECT("Vergleich!"&amp;$G$2&amp;Z129)</f>
        <v>mittel</v>
      </c>
      <c r="E129" s="26" cm="1">
        <f t="array" aca="1" ref="E129" ca="1">INDIRECT("Investition_gewählt!"&amp;$I$5&amp;AA129)</f>
        <v>2500</v>
      </c>
      <c r="F129" s="25" cm="1">
        <f t="array" aca="1" ref="F129" ca="1">IF($C$5=0,0,INDEX(Faktoren!E112:GQ112,1,VLOOKUP($F$5,$L$2:$O$14,4,FALSE)+$C$9*5+VLOOKUP(D129,Auswahllisten!$E$25:$F$29,2,FALSE)))</f>
        <v>0</v>
      </c>
      <c r="G129" s="162">
        <f t="shared" ca="1" si="151"/>
        <v>0</v>
      </c>
      <c r="H129" s="26" cm="1">
        <f t="array" aca="1" ref="H129" ca="1">INDIRECT("Investition_gewählt!"&amp;$I$6&amp;AA129)</f>
        <v>2500</v>
      </c>
      <c r="I129" s="25" cm="1">
        <f t="array" aca="1" ref="I129" ca="1">IF($C$5=0,0,INDEX(Faktoren!E112:GQ112,1,VLOOKUP($F$6,$L$2:$O$14,4,FALSE)+$C$9*5+VLOOKUP(D129,Auswahllisten!$E$25:$F$29,2,FALSE)))</f>
        <v>0</v>
      </c>
      <c r="J129" s="162">
        <f t="shared" ca="1" si="152"/>
        <v>0</v>
      </c>
      <c r="K129" s="26">
        <f t="shared" ca="1" si="153"/>
        <v>0</v>
      </c>
      <c r="L129" s="26" t="b">
        <f ca="1">OR(C5=1,C5=3,C5=4)</f>
        <v>0</v>
      </c>
      <c r="M129" s="26">
        <f t="shared" ca="1" si="122"/>
        <v>0</v>
      </c>
      <c r="O129" s="16" t="str" cm="1">
        <f t="array" aca="1" ref="O129" ca="1">INDIRECT("Vergleich!"&amp;$Y$2&amp;Z129)</f>
        <v>gering</v>
      </c>
      <c r="P129" s="26" cm="1">
        <f t="array" aca="1" ref="P129" ca="1">INDIRECT("Investition_gewählt!"&amp;$AA$5&amp;AA129)</f>
        <v>2500</v>
      </c>
      <c r="Q129" s="16" cm="1">
        <f t="array" aca="1" ref="Q129" ca="1">IF($U$5=0,0,INDEX(Faktoren!T112:GQ112,1,VLOOKUP($X$5,$L$2:$O$14,4,FALSE)+$U$9*5+VLOOKUP(O129,Auswahllisten!$E$25:$F$28,2,FALSE)))</f>
        <v>0</v>
      </c>
      <c r="R129" s="26">
        <f t="shared" ca="1" si="154"/>
        <v>0</v>
      </c>
      <c r="S129" s="26" cm="1">
        <f t="array" aca="1" ref="S129" ca="1">INDIRECT("Investition_gewählt!"&amp;$AA$6&amp;AA129)</f>
        <v>2500</v>
      </c>
      <c r="T129" s="16" cm="1">
        <f t="array" aca="1" ref="T129" ca="1">IF($U$5=0,0,INDEX(Faktoren!T112:GQ112,1,VLOOKUP($X$6,$L$2:$O$14,4,FALSE)+$U$9*5+VLOOKUP(O129,Auswahllisten!$E$25:$F$28,2,FALSE)))</f>
        <v>0</v>
      </c>
      <c r="U129" s="26">
        <f t="shared" ca="1" si="155"/>
        <v>0</v>
      </c>
      <c r="V129" s="26">
        <f t="shared" ref="V129:V134" ca="1" si="156">IF($U$5=0,0,R129+(U129-R129)*($U$6-$X$5)/($X$6-$X$5))</f>
        <v>0</v>
      </c>
      <c r="W129" s="26" t="b">
        <f ca="1">OR(U5=1,U5=3,U5=4)</f>
        <v>0</v>
      </c>
      <c r="X129" s="26">
        <f t="shared" ca="1" si="123"/>
        <v>0</v>
      </c>
      <c r="Z129" s="1">
        <v>58</v>
      </c>
      <c r="AA129" s="1">
        <v>112</v>
      </c>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305" t="s">
        <v>1230</v>
      </c>
      <c r="B130" s="126" t="s">
        <v>1247</v>
      </c>
      <c r="C130" s="126" t="s">
        <v>1028</v>
      </c>
      <c r="D130" s="26" t="str" cm="1">
        <f t="array" aca="1" ref="D130" ca="1">INDIRECT("Vergleich!"&amp;$G$2&amp;Z130)</f>
        <v>mittel</v>
      </c>
      <c r="E130" s="26" cm="1">
        <f t="array" aca="1" ref="E130" ca="1">INDIRECT("Investition_gewählt!"&amp;$I$5&amp;AA130)</f>
        <v>3600</v>
      </c>
      <c r="F130" s="25" cm="1">
        <f t="array" aca="1" ref="F130" ca="1">IF($C$5=0,0,INDEX(Faktoren!E113:GQ113,1,VLOOKUP($F$5,$L$2:$O$14,4,FALSE)+$C$9*5+VLOOKUP(D130,Auswahllisten!$E$25:$F$29,2,FALSE)))</f>
        <v>0</v>
      </c>
      <c r="G130" s="162">
        <f t="shared" ca="1" si="151"/>
        <v>0</v>
      </c>
      <c r="H130" s="26" cm="1">
        <f t="array" aca="1" ref="H130" ca="1">INDIRECT("Investition_gewählt!"&amp;$I$6&amp;AA130)</f>
        <v>3600</v>
      </c>
      <c r="I130" s="25" cm="1">
        <f t="array" aca="1" ref="I130" ca="1">IF($C$5=0,0,INDEX(Faktoren!E113:GQ113,1,VLOOKUP($F$6,$L$2:$O$14,4,FALSE)+$C$9*5+VLOOKUP(D130,Auswahllisten!$E$25:$F$29,2,FALSE)))</f>
        <v>0</v>
      </c>
      <c r="J130" s="162">
        <f t="shared" ca="1" si="152"/>
        <v>0</v>
      </c>
      <c r="K130" s="26">
        <f t="shared" ca="1" si="153"/>
        <v>0</v>
      </c>
      <c r="L130" s="26" t="b">
        <f ca="1">(C5=5)</f>
        <v>0</v>
      </c>
      <c r="M130" s="26">
        <f t="shared" ca="1" si="122"/>
        <v>0</v>
      </c>
      <c r="O130" s="16" t="str" cm="1">
        <f t="array" aca="1" ref="O130" ca="1">INDIRECT("Vergleich!"&amp;$Y$2&amp;Z130)</f>
        <v>gering</v>
      </c>
      <c r="P130" s="26" cm="1">
        <f t="array" aca="1" ref="P130" ca="1">INDIRECT("Investition_gewählt!"&amp;$AA$5&amp;AA130)</f>
        <v>3600</v>
      </c>
      <c r="Q130" s="16" cm="1">
        <f t="array" aca="1" ref="Q130" ca="1">IF($U$5=0,0,INDEX(Faktoren!T113:GQ113,1,VLOOKUP($X$5,$L$2:$O$14,4,FALSE)+$U$9*5+VLOOKUP(O130,Auswahllisten!$E$25:$F$28,2,FALSE)))</f>
        <v>0</v>
      </c>
      <c r="R130" s="26">
        <f t="shared" ca="1" si="154"/>
        <v>0</v>
      </c>
      <c r="S130" s="26" cm="1">
        <f t="array" aca="1" ref="S130" ca="1">INDIRECT("Investition_gewählt!"&amp;$AA$6&amp;AA130)</f>
        <v>3600</v>
      </c>
      <c r="T130" s="16" cm="1">
        <f t="array" aca="1" ref="T130" ca="1">IF($U$5=0,0,INDEX(Faktoren!T113:GQ113,1,VLOOKUP($X$6,$L$2:$O$14,4,FALSE)+$U$9*5+VLOOKUP(O130,Auswahllisten!$E$25:$F$28,2,FALSE)))</f>
        <v>0</v>
      </c>
      <c r="U130" s="26">
        <f t="shared" ca="1" si="155"/>
        <v>0</v>
      </c>
      <c r="V130" s="26">
        <f t="shared" ca="1" si="156"/>
        <v>0</v>
      </c>
      <c r="W130" s="26" t="b">
        <f ca="1">(U5=5)</f>
        <v>0</v>
      </c>
      <c r="X130" s="26">
        <f t="shared" ca="1" si="123"/>
        <v>0</v>
      </c>
      <c r="Z130" s="1">
        <v>59</v>
      </c>
      <c r="AA130" s="1">
        <v>113</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305" t="s">
        <v>1230</v>
      </c>
      <c r="B131" s="126" t="s">
        <v>1247</v>
      </c>
      <c r="C131" s="126" t="s">
        <v>969</v>
      </c>
      <c r="D131" s="26" t="str" cm="1">
        <f t="array" aca="1" ref="D131" ca="1">INDIRECT("Vergleich!"&amp;$G$2&amp;Z131)</f>
        <v>keine</v>
      </c>
      <c r="E131" s="26" cm="1">
        <f t="array" aca="1" ref="E131" ca="1">INDIRECT("Investition_gewählt!"&amp;$I$5&amp;AA131)</f>
        <v>4000</v>
      </c>
      <c r="F131" s="25" cm="1">
        <f t="array" aca="1" ref="F131" ca="1">IF($C$5=0,0,INDEX(Faktoren!E114:GQ114,1,VLOOKUP($F$5,$L$2:$O$14,4,FALSE)+$C$9*5+VLOOKUP(D131,Auswahllisten!$E$25:$F$29,2,FALSE)))</f>
        <v>0</v>
      </c>
      <c r="G131" s="162">
        <f t="shared" ca="1" si="151"/>
        <v>0</v>
      </c>
      <c r="H131" s="26" cm="1">
        <f t="array" aca="1" ref="H131" ca="1">INDIRECT("Investition_gewählt!"&amp;$I$6&amp;AA131)</f>
        <v>4000</v>
      </c>
      <c r="I131" s="25" cm="1">
        <f t="array" aca="1" ref="I131" ca="1">IF($C$5=0,0,INDEX(Faktoren!E114:GQ114,1,VLOOKUP($F$6,$L$2:$O$14,4,FALSE)+$C$9*5+VLOOKUP(D131,Auswahllisten!$E$25:$F$29,2,FALSE)))</f>
        <v>0</v>
      </c>
      <c r="J131" s="162">
        <f t="shared" ca="1" si="152"/>
        <v>0</v>
      </c>
      <c r="K131" s="26">
        <f t="shared" ca="1" si="153"/>
        <v>0</v>
      </c>
      <c r="L131" s="26" t="b">
        <f ca="1">(C5=5)</f>
        <v>0</v>
      </c>
      <c r="M131" s="26">
        <f t="shared" ca="1" si="122"/>
        <v>0</v>
      </c>
      <c r="O131" s="16" t="str" cm="1">
        <f t="array" aca="1" ref="O131" ca="1">INDIRECT("Vergleich!"&amp;$Y$2&amp;Z131)</f>
        <v>keine</v>
      </c>
      <c r="P131" s="26" cm="1">
        <f t="array" aca="1" ref="P131" ca="1">INDIRECT("Investition_gewählt!"&amp;$AA$5&amp;AA131)</f>
        <v>4000</v>
      </c>
      <c r="Q131" s="16" cm="1">
        <f t="array" aca="1" ref="Q131" ca="1">IF($U$5=0,0,INDEX(Faktoren!T114:GQ114,1,VLOOKUP($X$5,$L$2:$O$14,4,FALSE)+$U$9*5+VLOOKUP(O131,Auswahllisten!$E$25:$F$28,2,FALSE)))</f>
        <v>0</v>
      </c>
      <c r="R131" s="26">
        <f t="shared" ca="1" si="154"/>
        <v>0</v>
      </c>
      <c r="S131" s="26" cm="1">
        <f t="array" aca="1" ref="S131" ca="1">INDIRECT("Investition_gewählt!"&amp;$AA$6&amp;AA131)</f>
        <v>4000</v>
      </c>
      <c r="T131" s="16" cm="1">
        <f t="array" aca="1" ref="T131" ca="1">IF($U$5=0,0,INDEX(Faktoren!T114:GQ114,1,VLOOKUP($X$6,$L$2:$O$14,4,FALSE)+$U$9*5+VLOOKUP(O131,Auswahllisten!$E$25:$F$28,2,FALSE)))</f>
        <v>0</v>
      </c>
      <c r="U131" s="26">
        <f t="shared" ca="1" si="155"/>
        <v>0</v>
      </c>
      <c r="V131" s="26">
        <f t="shared" ca="1" si="156"/>
        <v>0</v>
      </c>
      <c r="W131" s="26" t="b">
        <f ca="1">(U5=5)</f>
        <v>0</v>
      </c>
      <c r="X131" s="26">
        <f t="shared" ca="1" si="123"/>
        <v>0</v>
      </c>
      <c r="Z131" s="1">
        <v>60</v>
      </c>
      <c r="AA131" s="1">
        <v>114</v>
      </c>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05" t="s">
        <v>1230</v>
      </c>
      <c r="B132" s="126" t="s">
        <v>1247</v>
      </c>
      <c r="C132" s="126" t="s">
        <v>1031</v>
      </c>
      <c r="D132" s="26" t="str" cm="1">
        <f t="array" aca="1" ref="D132" ca="1">INDIRECT("Vergleich!"&amp;$G$2&amp;Z132)</f>
        <v>keine</v>
      </c>
      <c r="E132" s="26" cm="1">
        <f t="array" aca="1" ref="E132" ca="1">INDIRECT("Investition_gewählt!"&amp;$I$5&amp;AA132)</f>
        <v>3500</v>
      </c>
      <c r="F132" s="25" cm="1">
        <f t="array" aca="1" ref="F132" ca="1">IF($C$5=0,0,INDEX(Faktoren!E115:GQ115,1,VLOOKUP($F$5,$L$2:$O$14,4,FALSE)+$C$9*5+VLOOKUP(D132,Auswahllisten!$E$25:$F$29,2,FALSE)))</f>
        <v>0</v>
      </c>
      <c r="G132" s="162">
        <f t="shared" ca="1" si="151"/>
        <v>0</v>
      </c>
      <c r="H132" s="26" cm="1">
        <f t="array" aca="1" ref="H132" ca="1">INDIRECT("Investition_gewählt!"&amp;$I$6&amp;AA132)</f>
        <v>3500</v>
      </c>
      <c r="I132" s="25" cm="1">
        <f t="array" aca="1" ref="I132" ca="1">IF($C$5=0,0,INDEX(Faktoren!E115:GQ115,1,VLOOKUP($F$6,$L$2:$O$14,4,FALSE)+$C$9*5+VLOOKUP(D132,Auswahllisten!$E$25:$F$29,2,FALSE)))</f>
        <v>0</v>
      </c>
      <c r="J132" s="162">
        <f t="shared" ca="1" si="152"/>
        <v>0</v>
      </c>
      <c r="K132" s="26">
        <f t="shared" ca="1" si="153"/>
        <v>0</v>
      </c>
      <c r="L132" s="26" t="b">
        <f ca="1">(C5=5)</f>
        <v>0</v>
      </c>
      <c r="M132" s="26">
        <f t="shared" ca="1" si="122"/>
        <v>0</v>
      </c>
      <c r="O132" s="16" t="str" cm="1">
        <f t="array" aca="1" ref="O132" ca="1">INDIRECT("Vergleich!"&amp;$Y$2&amp;Z132)</f>
        <v>keine</v>
      </c>
      <c r="P132" s="26" cm="1">
        <f t="array" aca="1" ref="P132" ca="1">INDIRECT("Investition_gewählt!"&amp;$AA$5&amp;AA132)</f>
        <v>3500</v>
      </c>
      <c r="Q132" s="16" cm="1">
        <f t="array" aca="1" ref="Q132" ca="1">IF($U$5=0,0,INDEX(Faktoren!T115:GQ115,1,VLOOKUP($X$5,$L$2:$O$14,4,FALSE)+$U$9*5+VLOOKUP(O132,Auswahllisten!$E$25:$F$28,2,FALSE)))</f>
        <v>0</v>
      </c>
      <c r="R132" s="26">
        <f t="shared" ca="1" si="154"/>
        <v>0</v>
      </c>
      <c r="S132" s="26" cm="1">
        <f t="array" aca="1" ref="S132" ca="1">INDIRECT("Investition_gewählt!"&amp;$AA$6&amp;AA132)</f>
        <v>3500</v>
      </c>
      <c r="T132" s="16" cm="1">
        <f t="array" aca="1" ref="T132" ca="1">IF($U$5=0,0,INDEX(Faktoren!T115:GQ115,1,VLOOKUP($X$6,$L$2:$O$14,4,FALSE)+$U$9*5+VLOOKUP(O132,Auswahllisten!$E$25:$F$28,2,FALSE)))</f>
        <v>0</v>
      </c>
      <c r="U132" s="26">
        <f t="shared" ca="1" si="155"/>
        <v>0</v>
      </c>
      <c r="V132" s="26">
        <f t="shared" ca="1" si="156"/>
        <v>0</v>
      </c>
      <c r="W132" s="26" t="b">
        <f ca="1">(U5=5)</f>
        <v>0</v>
      </c>
      <c r="X132" s="26">
        <f t="shared" ca="1" si="123"/>
        <v>0</v>
      </c>
      <c r="Z132" s="1">
        <v>61</v>
      </c>
      <c r="AA132" s="1">
        <v>115</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305" t="s">
        <v>1230</v>
      </c>
      <c r="B133" s="126" t="s">
        <v>1033</v>
      </c>
      <c r="C133" s="126" t="s">
        <v>970</v>
      </c>
      <c r="D133" s="26" t="str" cm="1">
        <f t="array" aca="1" ref="D133" ca="1">INDIRECT("Vergleich!"&amp;$G$2&amp;Z133)</f>
        <v>keine</v>
      </c>
      <c r="E133" s="26" cm="1">
        <f t="array" aca="1" ref="E133" ca="1">INDIRECT("Investition_gewählt!"&amp;$I$5&amp;AA133)</f>
        <v>0</v>
      </c>
      <c r="F133" s="25" cm="1">
        <f t="array" aca="1" ref="F133" ca="1">IF($C$5=0,0,INDEX(Faktoren!E116:GQ116,1,VLOOKUP($F$5,$L$2:$O$14,4,FALSE)+$C$9*5+VLOOKUP(D133,Auswahllisten!$E$25:$F$29,2,FALSE)))</f>
        <v>0</v>
      </c>
      <c r="G133" s="162">
        <f t="shared" ca="1" si="151"/>
        <v>0</v>
      </c>
      <c r="H133" s="26" cm="1">
        <f t="array" aca="1" ref="H133" ca="1">INDIRECT("Investition_gewählt!"&amp;$I$6&amp;AA133)</f>
        <v>0</v>
      </c>
      <c r="I133" s="25" cm="1">
        <f t="array" aca="1" ref="I133" ca="1">IF($C$5=0,0,INDEX(Faktoren!E116:GQ116,1,VLOOKUP($F$6,$L$2:$O$14,4,FALSE)+$C$9*5+VLOOKUP(D133,Auswahllisten!$E$25:$F$29,2,FALSE)))</f>
        <v>0</v>
      </c>
      <c r="J133" s="162">
        <f t="shared" ca="1" si="152"/>
        <v>0</v>
      </c>
      <c r="K133" s="26">
        <f t="shared" ca="1" si="153"/>
        <v>0</v>
      </c>
      <c r="L133" s="26" t="b">
        <f ca="1">(C5=5)</f>
        <v>0</v>
      </c>
      <c r="M133" s="26">
        <f t="shared" ca="1" si="122"/>
        <v>0</v>
      </c>
      <c r="O133" s="16" t="str" cm="1">
        <f t="array" aca="1" ref="O133" ca="1">INDIRECT("Vergleich!"&amp;$Y$2&amp;Z133)</f>
        <v>keine</v>
      </c>
      <c r="P133" s="26" cm="1">
        <f t="array" aca="1" ref="P133" ca="1">INDIRECT("Investition_gewählt!"&amp;$AA$5&amp;AA133)</f>
        <v>0</v>
      </c>
      <c r="Q133" s="16" cm="1">
        <f t="array" aca="1" ref="Q133" ca="1">IF($U$5=0,0,INDEX(Faktoren!T116:GQ116,1,VLOOKUP($X$5,$L$2:$O$14,4,FALSE)+$U$9*5+VLOOKUP(O133,Auswahllisten!$E$25:$F$28,2,FALSE)))</f>
        <v>0</v>
      </c>
      <c r="R133" s="26">
        <f t="shared" ca="1" si="154"/>
        <v>0</v>
      </c>
      <c r="S133" s="26" cm="1">
        <f t="array" aca="1" ref="S133" ca="1">INDIRECT("Investition_gewählt!"&amp;$AA$6&amp;AA133)</f>
        <v>0</v>
      </c>
      <c r="T133" s="16" cm="1">
        <f t="array" aca="1" ref="T133" ca="1">IF($U$5=0,0,INDEX(Faktoren!T116:GQ116,1,VLOOKUP($X$6,$L$2:$O$14,4,FALSE)+$U$9*5+VLOOKUP(O133,Auswahllisten!$E$25:$F$28,2,FALSE)))</f>
        <v>0</v>
      </c>
      <c r="U133" s="26">
        <f t="shared" ca="1" si="155"/>
        <v>0</v>
      </c>
      <c r="V133" s="26">
        <f t="shared" ca="1" si="156"/>
        <v>0</v>
      </c>
      <c r="W133" s="26" t="b">
        <f ca="1">(U5=5)</f>
        <v>0</v>
      </c>
      <c r="X133" s="26">
        <f t="shared" ca="1" si="123"/>
        <v>0</v>
      </c>
      <c r="Z133" s="1">
        <v>62</v>
      </c>
      <c r="AA133" s="1">
        <v>116</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A134" s="82" t="s">
        <v>1229</v>
      </c>
      <c r="B134" s="64" t="s">
        <v>1246</v>
      </c>
      <c r="C134" s="134" t="s">
        <v>1036</v>
      </c>
      <c r="D134" s="163" t="str" cm="1">
        <f t="array" aca="1" ref="D134" ca="1">INDIRECT("Vergleich!"&amp;$G$2&amp;Z134)</f>
        <v>mittel</v>
      </c>
      <c r="E134" s="163" cm="1">
        <f t="array" aca="1" ref="E134" ca="1">INDIRECT("Investition_gewählt!"&amp;$I$5&amp;AA134)</f>
        <v>1800</v>
      </c>
      <c r="F134" s="61" cm="1">
        <f t="array" aca="1" ref="F134" ca="1">IF($C$5=0,0,INDEX(Faktoren!E117:GQ117,1,VLOOKUP($F$5,$L$2:$O$14,4,FALSE)+$C$9*5+VLOOKUP(D134,Auswahllisten!$E$25:$F$29,2,FALSE)))</f>
        <v>0</v>
      </c>
      <c r="G134" s="216">
        <f t="shared" ca="1" si="151"/>
        <v>0</v>
      </c>
      <c r="H134" s="296" cm="1">
        <f t="array" aca="1" ref="H134" ca="1">INDIRECT("Investition_gewählt!"&amp;$I$6&amp;AA134)</f>
        <v>1800</v>
      </c>
      <c r="I134" s="61" cm="1">
        <f t="array" aca="1" ref="I134" ca="1">IF($C$5=0,0,INDEX(Faktoren!E117:GQ117,1,VLOOKUP($F$6,$L$2:$O$14,4,FALSE)+$C$9*5+VLOOKUP(D134,Auswahllisten!$E$25:$F$29,2,FALSE)))</f>
        <v>0</v>
      </c>
      <c r="J134" s="216">
        <f t="shared" ca="1" si="152"/>
        <v>0</v>
      </c>
      <c r="K134" s="163">
        <f ca="1">IF($C$5=0,0,G134+(J134-G134)*($C$6-$F$5)/($F$6-$F$5))</f>
        <v>0</v>
      </c>
      <c r="L134" s="163" t="b">
        <f ca="1">OR(C5=6,C5=7,C5=14)</f>
        <v>0</v>
      </c>
      <c r="M134" s="163">
        <f t="shared" ca="1" si="122"/>
        <v>0</v>
      </c>
      <c r="O134" s="93" t="str" cm="1">
        <f t="array" aca="1" ref="O134" ca="1">INDIRECT("Vergleich!"&amp;$Y$2&amp;Z134)</f>
        <v>gering</v>
      </c>
      <c r="P134" s="163" cm="1">
        <f t="array" aca="1" ref="P134" ca="1">INDIRECT("Investition_gewählt!"&amp;$AA$5&amp;AA134)</f>
        <v>1800</v>
      </c>
      <c r="Q134" s="93" cm="1">
        <f t="array" aca="1" ref="Q134" ca="1">IF($U$5=0,0,INDEX(Faktoren!T117:GQ117,1,VLOOKUP($X$5,$L$2:$O$14,4,FALSE)+$U$9*5+VLOOKUP(O134,Auswahllisten!$E$25:$F$28,2,FALSE)))</f>
        <v>0</v>
      </c>
      <c r="R134" s="163">
        <f t="shared" ca="1" si="154"/>
        <v>0</v>
      </c>
      <c r="S134" s="163" cm="1">
        <f t="array" aca="1" ref="S134" ca="1">INDIRECT("Investition_gewählt!"&amp;$AA$6&amp;AA134)</f>
        <v>1800</v>
      </c>
      <c r="T134" s="93" cm="1">
        <f t="array" aca="1" ref="T134" ca="1">IF($U$5=0,0,INDEX(Faktoren!T117:GQ117,1,VLOOKUP($X$6,$L$2:$O$14,4,FALSE)+$U$9*5+VLOOKUP(O134,Auswahllisten!$E$25:$F$28,2,FALSE)))</f>
        <v>0</v>
      </c>
      <c r="U134" s="163">
        <f t="shared" ca="1" si="155"/>
        <v>0</v>
      </c>
      <c r="V134" s="163">
        <f t="shared" ca="1" si="156"/>
        <v>0</v>
      </c>
      <c r="W134" s="163" t="b">
        <f ca="1">OR(U5=6,U5=7,U5=14)</f>
        <v>0</v>
      </c>
      <c r="X134" s="163">
        <f t="shared" ca="1" si="123"/>
        <v>0</v>
      </c>
      <c r="Z134" s="1">
        <v>63</v>
      </c>
      <c r="AA134" s="1">
        <v>117</v>
      </c>
      <c r="AB134" s="1">
        <v>-2</v>
      </c>
    </row>
    <row r="135" spans="1:78">
      <c r="M135" s="69"/>
      <c r="AB135" s="1">
        <v>-2</v>
      </c>
    </row>
    <row r="136" spans="1:78">
      <c r="B136" s="125"/>
      <c r="C136" s="64"/>
      <c r="D136" s="69"/>
      <c r="E136" s="69"/>
      <c r="M136" s="69"/>
      <c r="AB136" s="1">
        <v>-2</v>
      </c>
    </row>
    <row r="137" spans="1:78">
      <c r="B137" s="64"/>
      <c r="C137" s="64"/>
      <c r="E137" s="69"/>
      <c r="M137" s="69"/>
      <c r="Z137" s="1">
        <v>0</v>
      </c>
      <c r="AB137" s="1">
        <v>-2</v>
      </c>
    </row>
    <row r="138" spans="1:78">
      <c r="M138" s="69"/>
      <c r="AB138" s="1">
        <v>-2</v>
      </c>
    </row>
    <row r="139" spans="1:78">
      <c r="A139" s="8" t="s">
        <v>1008</v>
      </c>
      <c r="B139" s="8" t="s">
        <v>337</v>
      </c>
      <c r="M139" s="69"/>
      <c r="AB139" s="1">
        <v>-2</v>
      </c>
    </row>
    <row r="140" spans="1:78">
      <c r="A140" s="55"/>
      <c r="B140" s="55"/>
      <c r="C140" s="55" t="s">
        <v>851</v>
      </c>
      <c r="D140" s="25" t="s">
        <v>695</v>
      </c>
      <c r="E140" s="25" cm="1">
        <f t="array" aca="1" ref="E140" ca="1">IF($C$5=0,0,INDIRECT("Vergleich!"&amp;$G$2&amp;Z140))</f>
        <v>0</v>
      </c>
      <c r="M140" s="69"/>
      <c r="Z140" s="1">
        <v>11</v>
      </c>
      <c r="AB140" s="1">
        <v>-2</v>
      </c>
    </row>
    <row r="141" spans="1:78">
      <c r="A141" s="91"/>
      <c r="B141" s="91"/>
      <c r="C141" s="91" t="s">
        <v>850</v>
      </c>
      <c r="D141" s="16" t="s">
        <v>858</v>
      </c>
      <c r="E141" s="26">
        <f ca="1">IF(E140&lt;10,Standardwerte!I60,IF(E140&lt;32,Standardwerte!I61,Standardwerte!I62))</f>
        <v>1950</v>
      </c>
      <c r="M141" s="69"/>
      <c r="AB141" s="1">
        <v>-2</v>
      </c>
    </row>
    <row r="142" spans="1:78">
      <c r="A142" s="35" t="s">
        <v>1254</v>
      </c>
      <c r="B142" s="1" t="s">
        <v>1255</v>
      </c>
      <c r="C142" s="91" t="s">
        <v>854</v>
      </c>
      <c r="D142" s="16" t="s">
        <v>175</v>
      </c>
      <c r="E142" s="26">
        <f ca="1">E140*E141</f>
        <v>0</v>
      </c>
      <c r="F142" s="51"/>
      <c r="G142" s="55"/>
      <c r="H142" s="55"/>
      <c r="I142" s="55"/>
      <c r="J142" s="55"/>
      <c r="K142" s="55"/>
      <c r="L142" s="55"/>
      <c r="M142" s="162">
        <f ca="1">ROUND(IF($C$5=0,0,E142),AB142)*I12</f>
        <v>0</v>
      </c>
      <c r="AB142" s="1">
        <v>-2</v>
      </c>
    </row>
    <row r="143" spans="1:78">
      <c r="A143" s="94"/>
      <c r="B143" s="94"/>
      <c r="C143" s="94" t="s">
        <v>672</v>
      </c>
      <c r="D143" s="93" t="s">
        <v>175</v>
      </c>
      <c r="E143" s="163" cm="1">
        <f t="array" aca="1" ref="E143" ca="1">INDIRECT("Vergleich!"&amp;$G$2&amp;Z143)</f>
        <v>0</v>
      </c>
      <c r="M143" s="69"/>
      <c r="Z143" s="1">
        <v>15</v>
      </c>
      <c r="AB143" s="1">
        <v>-2</v>
      </c>
    </row>
    <row r="144" spans="1:78">
      <c r="E144" s="166"/>
      <c r="M144" s="69"/>
      <c r="AB144" s="1">
        <v>-2</v>
      </c>
    </row>
    <row r="145" spans="1:28">
      <c r="A145" s="8" t="s">
        <v>1023</v>
      </c>
      <c r="B145" s="8" t="s">
        <v>677</v>
      </c>
      <c r="C145" s="7"/>
      <c r="M145" s="69"/>
      <c r="AB145" s="1">
        <v>-2</v>
      </c>
    </row>
    <row r="146" spans="1:28">
      <c r="A146" s="55"/>
      <c r="B146" s="55"/>
      <c r="C146" s="55" t="s">
        <v>1104</v>
      </c>
      <c r="D146" s="25" t="s">
        <v>701</v>
      </c>
      <c r="E146" s="162" cm="1">
        <f t="array" aca="1" ref="E146" ca="1">IF($C$5=0,0,INDIRECT("Vergleich!"&amp;$G$2&amp;Z146))</f>
        <v>0</v>
      </c>
      <c r="F146" s="51"/>
      <c r="G146" s="55"/>
      <c r="H146" s="55"/>
      <c r="I146" s="55"/>
      <c r="J146" s="55"/>
      <c r="K146" s="55"/>
      <c r="L146" s="55"/>
      <c r="M146" s="162"/>
      <c r="Z146" s="1">
        <v>89</v>
      </c>
      <c r="AB146" s="1">
        <v>-2</v>
      </c>
    </row>
    <row r="147" spans="1:28">
      <c r="A147" s="35" t="s">
        <v>1223</v>
      </c>
      <c r="B147" s="1" t="s">
        <v>1251</v>
      </c>
      <c r="C147" s="91" t="s">
        <v>702</v>
      </c>
      <c r="D147" s="16" t="s">
        <v>703</v>
      </c>
      <c r="E147" s="26">
        <f ca="1">IF(E146&lt;=10,Standardwerte!O57,IF(E146&lt;=30,Standardwerte!O58,IF(E146&lt;=100,Standardwerte!O59,Standardwerte!O60)))</f>
        <v>3000</v>
      </c>
      <c r="F147" s="51"/>
      <c r="G147" s="55"/>
      <c r="H147" s="55"/>
      <c r="I147" s="55"/>
      <c r="J147" s="55"/>
      <c r="K147" s="55"/>
      <c r="L147" s="55"/>
      <c r="M147" s="162">
        <f ca="1">ROUND(E146*E147,AB146)*I13</f>
        <v>0</v>
      </c>
      <c r="AB147" s="1">
        <v>-2</v>
      </c>
    </row>
    <row r="148" spans="1:28">
      <c r="A148" s="91"/>
      <c r="B148" s="91"/>
      <c r="C148" s="91" t="s">
        <v>1105</v>
      </c>
      <c r="D148" s="16" t="s">
        <v>701</v>
      </c>
      <c r="E148" s="26" cm="1">
        <f t="array" aca="1" ref="E148" ca="1">IF($C$5=0,0,INDIRECT("Vergleich!"&amp;$G$2&amp;Z148))</f>
        <v>0</v>
      </c>
      <c r="F148" s="51"/>
      <c r="G148" s="55"/>
      <c r="H148" s="55"/>
      <c r="I148" s="55"/>
      <c r="J148" s="55"/>
      <c r="K148" s="55"/>
      <c r="L148" s="55"/>
      <c r="M148" s="162"/>
      <c r="Z148" s="1">
        <v>92</v>
      </c>
      <c r="AB148" s="1">
        <v>-2</v>
      </c>
    </row>
    <row r="149" spans="1:28">
      <c r="A149" s="35" t="s">
        <v>1223</v>
      </c>
      <c r="B149" s="1" t="s">
        <v>1251</v>
      </c>
      <c r="C149" s="91" t="s">
        <v>702</v>
      </c>
      <c r="D149" s="16" t="s">
        <v>703</v>
      </c>
      <c r="E149" s="26">
        <f ca="1">IF(E148&lt;=10,Standardwerte!O57,IF(E148&lt;=30,Standardwerte!O58,IF(E148&lt;=100,Standardwerte!O59,Standardwerte!O60)))</f>
        <v>3000</v>
      </c>
      <c r="F149" s="51"/>
      <c r="G149" s="55"/>
      <c r="H149" s="55"/>
      <c r="I149" s="55"/>
      <c r="J149" s="55"/>
      <c r="K149" s="55"/>
      <c r="L149" s="55"/>
      <c r="M149" s="162">
        <f ca="1">ROUND(E148*E149,AB149)*I13</f>
        <v>0</v>
      </c>
      <c r="AB149" s="1">
        <v>-2</v>
      </c>
    </row>
    <row r="150" spans="1:28">
      <c r="A150" s="308"/>
      <c r="B150" s="91"/>
      <c r="C150" s="91" t="s">
        <v>673</v>
      </c>
      <c r="D150" s="16" t="s">
        <v>175</v>
      </c>
      <c r="E150" s="26" cm="1">
        <f t="array" aca="1" ref="E150" ca="1">INDIRECT("Vergleich!"&amp;$G$2&amp;Z150)</f>
        <v>0</v>
      </c>
      <c r="F150" s="50"/>
      <c r="G150" s="91"/>
      <c r="H150" s="91"/>
      <c r="I150" s="91"/>
      <c r="J150" s="91"/>
      <c r="K150" s="91"/>
      <c r="L150" s="91"/>
      <c r="M150" s="26"/>
      <c r="Z150" s="1">
        <v>96</v>
      </c>
      <c r="AB150" s="1">
        <v>-2</v>
      </c>
    </row>
    <row r="151" spans="1:28">
      <c r="A151" s="308" t="s">
        <v>1244</v>
      </c>
      <c r="B151" s="91" t="s">
        <v>811</v>
      </c>
      <c r="C151" s="91" t="s">
        <v>740</v>
      </c>
      <c r="D151" s="16" t="s">
        <v>175</v>
      </c>
      <c r="E151" s="26">
        <f ca="1">IF((E146+E148)=0,0,IF((E146+E148)&lt;=10,Standardwerte!O61,IF((E146+E148)&lt;=30,Standardwerte!O62,IF((E146+E148)&lt;=100,Standardwerte!O63,Standardwerte!O64))))</f>
        <v>0</v>
      </c>
      <c r="F151" s="50"/>
      <c r="G151" s="91"/>
      <c r="H151" s="91"/>
      <c r="I151" s="91"/>
      <c r="J151" s="91"/>
      <c r="K151" s="91"/>
      <c r="L151" s="91"/>
      <c r="M151" s="26">
        <f ca="1">ROUND(E151,AB151)*I13</f>
        <v>0</v>
      </c>
      <c r="AB151" s="1">
        <v>-2</v>
      </c>
    </row>
    <row r="152" spans="1:28">
      <c r="A152" s="286" t="s">
        <v>1244</v>
      </c>
      <c r="B152" s="63" t="s">
        <v>811</v>
      </c>
      <c r="C152" s="94" t="s">
        <v>814</v>
      </c>
      <c r="D152" s="93" t="s">
        <v>175</v>
      </c>
      <c r="E152" s="163">
        <f ca="1">IF($C$5=0,0,Standardwerte!O70)</f>
        <v>0</v>
      </c>
      <c r="F152" s="92"/>
      <c r="G152" s="94"/>
      <c r="H152" s="94"/>
      <c r="I152" s="94"/>
      <c r="J152" s="94"/>
      <c r="K152" s="94"/>
      <c r="L152" s="94"/>
      <c r="M152" s="163">
        <f ca="1">ROUND(E152,AB152)*I13</f>
        <v>0</v>
      </c>
      <c r="AB152" s="1">
        <v>-2</v>
      </c>
    </row>
    <row r="153" spans="1:28">
      <c r="A153" s="35"/>
      <c r="M153" s="69"/>
      <c r="AB153" s="1">
        <v>-2</v>
      </c>
    </row>
    <row r="154" spans="1:28">
      <c r="A154" s="35"/>
      <c r="M154" s="69"/>
      <c r="AB154" s="1">
        <v>-2</v>
      </c>
    </row>
    <row r="155" spans="1:28">
      <c r="A155" s="124"/>
      <c r="B155" s="8" t="s">
        <v>1253</v>
      </c>
      <c r="M155" s="69"/>
      <c r="AB155" s="1">
        <v>-2</v>
      </c>
    </row>
    <row r="156" spans="1:28">
      <c r="A156" s="287"/>
      <c r="B156" s="55"/>
      <c r="C156" s="55" t="s">
        <v>1098</v>
      </c>
      <c r="D156" s="25"/>
      <c r="E156" s="162">
        <f ca="1">SUM(M19:M152)+SUM(X19:X134)</f>
        <v>0</v>
      </c>
      <c r="F156" s="25"/>
      <c r="G156" s="25"/>
      <c r="H156" s="25"/>
      <c r="I156" s="25"/>
      <c r="J156" s="25"/>
      <c r="K156" s="25"/>
      <c r="L156" s="25"/>
      <c r="M156" s="162"/>
      <c r="AB156" s="1">
        <v>-2</v>
      </c>
    </row>
    <row r="157" spans="1:28">
      <c r="A157" s="178" t="s">
        <v>1221</v>
      </c>
      <c r="B157" s="71" t="s">
        <v>1252</v>
      </c>
      <c r="C157" s="71" t="s">
        <v>1100</v>
      </c>
      <c r="D157" s="16" t="str" cm="1">
        <f t="array" aca="1" ref="D157" ca="1">INDIRECT("Vergleich!"&amp;$G$3&amp;Z157)</f>
        <v>mittel</v>
      </c>
      <c r="E157" s="76" cm="1">
        <f t="array" aca="1" ref="E157" ca="1">INDIRECT("Investition_gewählt!"&amp;$I$5&amp;AA157)</f>
        <v>0.05</v>
      </c>
      <c r="F157" s="76" cm="1">
        <f t="array" aca="1" ref="F157" ca="1">IF($C$5=0,0,INDEX(Faktoren!E120:GQ120,1,VLOOKUP($F$5,$L$2:$O$14,4,FALSE)+$C$9*5+VLOOKUP(D157,Auswahllisten!$E$25:$F$29,2,FALSE)))</f>
        <v>0</v>
      </c>
      <c r="G157" s="76">
        <f t="shared" ref="G157" ca="1" si="157">E157*F157</f>
        <v>0</v>
      </c>
      <c r="H157" s="76" cm="1">
        <f t="array" aca="1" ref="H157" ca="1">INDIRECT("Investition_gewählt!"&amp;$I$6&amp;AA157)</f>
        <v>0.05</v>
      </c>
      <c r="I157" s="76" cm="1">
        <f t="array" aca="1" ref="I157" ca="1">IF($C$5=0,0,INDEX(Faktoren!E120:QG120,1,VLOOKUP($F$6,$L$2:$O$14,4,FALSE)+$C$9*5+VLOOKUP(D157,Auswahllisten!$E$25:$F$29,2,FALSE)))</f>
        <v>0</v>
      </c>
      <c r="J157" s="76">
        <f t="shared" ref="J157" ca="1" si="158">H157*I157</f>
        <v>0</v>
      </c>
      <c r="K157" s="76">
        <f ca="1">IF($C$5=0,0,G157+(J157-G157)*($C$6-$F$5)/($F$6-$F$5))</f>
        <v>0</v>
      </c>
      <c r="L157" s="76">
        <v>1</v>
      </c>
      <c r="M157" s="26">
        <f ca="1">IFERROR(ROUND(E156*K157,-2),0)</f>
        <v>0</v>
      </c>
      <c r="Z157" s="1">
        <v>103</v>
      </c>
      <c r="AA157" s="1">
        <v>120</v>
      </c>
      <c r="AB157" s="1">
        <v>-2</v>
      </c>
    </row>
    <row r="158" spans="1:28">
      <c r="A158" s="286" t="s">
        <v>1222</v>
      </c>
      <c r="B158" s="63" t="s">
        <v>1266</v>
      </c>
      <c r="C158" s="63"/>
      <c r="D158" s="60"/>
      <c r="E158" s="60">
        <f>Projektdaten!E62</f>
        <v>8.1000000000000003E-2</v>
      </c>
      <c r="F158" s="296"/>
      <c r="G158" s="60"/>
      <c r="H158" s="60"/>
      <c r="I158" s="60"/>
      <c r="J158" s="60"/>
      <c r="K158" s="60"/>
      <c r="L158" s="60"/>
      <c r="AB158" s="1">
        <v>-2</v>
      </c>
    </row>
    <row r="159" spans="1:28">
      <c r="A159" s="35"/>
      <c r="M159" s="69"/>
      <c r="AB159" s="1">
        <v>-2</v>
      </c>
    </row>
    <row r="160" spans="1:28">
      <c r="M160" s="69"/>
      <c r="AB160" s="1">
        <v>-2</v>
      </c>
    </row>
    <row r="161" spans="1:28">
      <c r="A161" s="8"/>
      <c r="B161" s="8" t="s">
        <v>326</v>
      </c>
      <c r="M161" s="69"/>
      <c r="AB161" s="1">
        <v>-2</v>
      </c>
    </row>
    <row r="162" spans="1:28">
      <c r="A162" s="8" t="s">
        <v>261</v>
      </c>
      <c r="B162" s="8" t="s">
        <v>0</v>
      </c>
      <c r="L162" s="155">
        <v>1</v>
      </c>
      <c r="M162" s="69"/>
      <c r="AB162" s="1">
        <v>-2</v>
      </c>
    </row>
    <row r="163" spans="1:28">
      <c r="A163" s="117"/>
      <c r="B163" s="55"/>
      <c r="C163" s="55" t="s">
        <v>255</v>
      </c>
      <c r="D163" s="25" t="str" cm="1">
        <f t="array" aca="1" ref="D163" ca="1">INDIRECT("Vergleich!"&amp;$G$2&amp;Z163)</f>
        <v>mittel</v>
      </c>
      <c r="E163" s="25" cm="1">
        <f t="array" aca="1" ref="E163" ca="1">INDIRECT("Unterhalt!"&amp;$J$5&amp;AA163)</f>
        <v>360</v>
      </c>
      <c r="F163" s="25">
        <f ca="1">IF(D163=Auswahllisten!$E$26,0.8,IF(D163=Auswahllisten!$E$27,1,IF(D163=Auswahllisten!$E$29,1.2,0)))</f>
        <v>1</v>
      </c>
      <c r="G163" s="25">
        <f t="shared" ref="G163:G164" ca="1" si="159">E163*F163</f>
        <v>360</v>
      </c>
      <c r="H163" s="25" cm="1">
        <f t="array" aca="1" ref="H163" ca="1">INDIRECT("Unterhalt!"&amp;$J$6&amp;AA163)</f>
        <v>360</v>
      </c>
      <c r="I163" s="25">
        <f ca="1">IF(D163=Auswahllisten!$E$26,0.8,IF(D163=Auswahllisten!$E$27,1,IF(D163=Auswahllisten!$E$29,1.2,0)))</f>
        <v>1</v>
      </c>
      <c r="J163" s="25">
        <f t="shared" ref="J163:J164" ca="1" si="160">H163*I163</f>
        <v>360</v>
      </c>
      <c r="K163" s="25">
        <f ca="1">IF($C$5=0,0,G163+(J163-G163)*($C$6-$F$5)/($F$6-$F$5))</f>
        <v>0</v>
      </c>
      <c r="L163" s="25" t="b">
        <f ca="1">($L$162=$C$5)</f>
        <v>0</v>
      </c>
      <c r="M163" s="162">
        <f ca="1">ROUND(K163*L163,AB163)</f>
        <v>0</v>
      </c>
      <c r="O163" s="25" t="str" cm="1">
        <f t="array" aca="1" ref="O163" ca="1">INDIRECT("Vergleich!"&amp;$Y$2&amp;Z163)</f>
        <v>gering</v>
      </c>
      <c r="P163" s="25" cm="1">
        <f t="array" aca="1" ref="P163" ca="1">INDIRECT("Unterhalt!"&amp;$AB$5&amp;AA163)</f>
        <v>360</v>
      </c>
      <c r="Q163" s="25">
        <f ca="1">IF(O163=Auswahllisten!$E$26,0.8,IF(O163=Auswahllisten!$E$27,1,IF(O163=Auswahllisten!$E$29,1.2,0)))</f>
        <v>0.8</v>
      </c>
      <c r="R163" s="25">
        <f t="shared" ref="R163:R164" ca="1" si="161">P163*Q163</f>
        <v>288</v>
      </c>
      <c r="S163" s="25" cm="1">
        <f t="array" aca="1" ref="S163" ca="1">INDIRECT("Unterhalt!"&amp;$AB$6&amp;AA163)</f>
        <v>360</v>
      </c>
      <c r="T163" s="25">
        <f ca="1">IF(O163=Auswahllisten!$E$26,0.8,IF(O163=Auswahllisten!$E$27,1,IF(O163=Auswahllisten!$E$29,1.2,0)))</f>
        <v>0.8</v>
      </c>
      <c r="U163" s="25">
        <f t="shared" ref="U163:U164" ca="1" si="162">S163*T163</f>
        <v>288</v>
      </c>
      <c r="V163" s="25">
        <f ca="1">IF($U$5=0,0,R163+(U163-R163)*($U$6-$X$5)/($X$6-$X$5))</f>
        <v>0</v>
      </c>
      <c r="W163" s="25" t="b">
        <f ca="1">($L$162=$U$5)</f>
        <v>0</v>
      </c>
      <c r="X163" s="25">
        <f ca="1">ROUND(V163*W163,AB163)</f>
        <v>0</v>
      </c>
      <c r="Z163" s="1">
        <v>54</v>
      </c>
      <c r="AA163" s="1">
        <v>7</v>
      </c>
      <c r="AB163" s="1">
        <v>-1</v>
      </c>
    </row>
    <row r="164" spans="1:28">
      <c r="A164" s="545"/>
      <c r="B164" s="94"/>
      <c r="C164" s="94" t="s">
        <v>256</v>
      </c>
      <c r="D164" s="93" t="str" cm="1">
        <f t="array" aca="1" ref="D164" ca="1">INDIRECT("Vergleich!"&amp;$G$2&amp;Z164)</f>
        <v>mittel</v>
      </c>
      <c r="E164" s="61" cm="1">
        <f t="array" aca="1" ref="E164" ca="1">INDIRECT("Unterhalt!"&amp;$J$5&amp;AA164)</f>
        <v>170</v>
      </c>
      <c r="F164" s="61">
        <f ca="1">IF(D164=Auswahllisten!$E$26,0.8,IF(D164=Auswahllisten!$E$27,1,IF(D164=Auswahllisten!$E$29,1.2,0)))</f>
        <v>1</v>
      </c>
      <c r="G164" s="61">
        <f t="shared" ca="1" si="159"/>
        <v>170</v>
      </c>
      <c r="H164" s="61" cm="1">
        <f t="array" aca="1" ref="H164" ca="1">INDIRECT("Unterhalt!"&amp;$J$6&amp;AA164)</f>
        <v>170</v>
      </c>
      <c r="I164" s="61">
        <f ca="1">IF(D164=Auswahllisten!$E$26,0.8,IF(D164=Auswahllisten!$E$27,1,IF(D164=Auswahllisten!$E$29,1.2,0)))</f>
        <v>1</v>
      </c>
      <c r="J164" s="61">
        <f t="shared" ca="1" si="160"/>
        <v>170</v>
      </c>
      <c r="K164" s="61">
        <f t="shared" ref="K164" ca="1" si="163">IF($C$5=0,0,G164+(J164-G164)*($C$6-$F$5)/($F$6-$F$5))</f>
        <v>0</v>
      </c>
      <c r="L164" s="61" t="b">
        <f ca="1">($L$162=$C$5)</f>
        <v>0</v>
      </c>
      <c r="M164" s="216">
        <f t="shared" ref="M164" ca="1" si="164">ROUND(K164*L164,AB164)</f>
        <v>0</v>
      </c>
      <c r="O164" s="61" t="str" cm="1">
        <f t="array" aca="1" ref="O164" ca="1">INDIRECT("Vergleich!"&amp;$Y$2&amp;Z164)</f>
        <v>gering</v>
      </c>
      <c r="P164" s="61" cm="1">
        <f t="array" aca="1" ref="P164" ca="1">INDIRECT("Unterhalt!"&amp;$AB$5&amp;AA164)</f>
        <v>170</v>
      </c>
      <c r="Q164" s="61">
        <f ca="1">IF(O164=Auswahllisten!$E$26,0.8,IF(O164=Auswahllisten!$E$27,1,IF(O164=Auswahllisten!$E$29,1.2,0)))</f>
        <v>0.8</v>
      </c>
      <c r="R164" s="61">
        <f t="shared" ca="1" si="161"/>
        <v>136</v>
      </c>
      <c r="S164" s="61" cm="1">
        <f t="array" aca="1" ref="S164" ca="1">INDIRECT("Unterhalt!"&amp;$AB$6&amp;AA164)</f>
        <v>170</v>
      </c>
      <c r="T164" s="61">
        <f ca="1">IF(O164=Auswahllisten!$E$26,0.8,IF(O164=Auswahllisten!$E$27,1,IF(O164=Auswahllisten!$E$29,1.2,0)))</f>
        <v>0.8</v>
      </c>
      <c r="U164" s="61">
        <f t="shared" ca="1" si="162"/>
        <v>136</v>
      </c>
      <c r="V164" s="61">
        <f t="shared" ref="V164:V208" ca="1" si="165">IF($U$5=0,0,R164+(U164-R164)*($U$6-$X$5)/($X$6-$X$5))</f>
        <v>0</v>
      </c>
      <c r="W164" s="61" t="b">
        <f ca="1">($L$162=$U$5)</f>
        <v>0</v>
      </c>
      <c r="X164" s="61">
        <f t="shared" ref="X164" ca="1" si="166">ROUND(V164*W164,AB164)</f>
        <v>0</v>
      </c>
      <c r="Z164" s="1">
        <f>Z163</f>
        <v>54</v>
      </c>
      <c r="AA164" s="1">
        <v>8</v>
      </c>
      <c r="AB164" s="1">
        <v>-1</v>
      </c>
    </row>
    <row r="165" spans="1:28">
      <c r="A165" s="8"/>
      <c r="M165" s="69"/>
      <c r="Z165" s="1">
        <f t="shared" ref="Z165:Z199" si="167">Z164</f>
        <v>54</v>
      </c>
      <c r="AA165" s="1">
        <v>9</v>
      </c>
      <c r="AB165" s="1">
        <v>-1</v>
      </c>
    </row>
    <row r="166" spans="1:28">
      <c r="A166" s="8" t="s">
        <v>990</v>
      </c>
      <c r="B166" s="8" t="s">
        <v>14</v>
      </c>
      <c r="L166" s="155">
        <v>2</v>
      </c>
      <c r="M166" s="69"/>
      <c r="Z166" s="1">
        <f t="shared" si="167"/>
        <v>54</v>
      </c>
      <c r="AA166" s="1">
        <v>10</v>
      </c>
      <c r="AB166" s="1">
        <v>-1</v>
      </c>
    </row>
    <row r="167" spans="1:28">
      <c r="A167" s="117"/>
      <c r="B167" s="55"/>
      <c r="C167" s="5" t="s">
        <v>255</v>
      </c>
      <c r="D167" s="25" t="str" cm="1">
        <f t="array" aca="1" ref="D167" ca="1">INDIRECT("Vergleich!"&amp;$G$2&amp;Z167)</f>
        <v>mittel</v>
      </c>
      <c r="E167" s="25" cm="1">
        <f t="array" aca="1" ref="E167" ca="1">INDIRECT("Unterhalt!"&amp;$J$5&amp;AA167)</f>
        <v>530</v>
      </c>
      <c r="F167" s="25">
        <f ca="1">IF(D167=Auswahllisten!$E$26,0.8,IF(D167=Auswahllisten!$E$27,1,IF(D167=Auswahllisten!$E$29,1.2,0)))</f>
        <v>1</v>
      </c>
      <c r="G167" s="25">
        <f t="shared" ref="G167:G169" ca="1" si="168">E167*F167</f>
        <v>530</v>
      </c>
      <c r="H167" s="25" cm="1">
        <f t="array" aca="1" ref="H167" ca="1">INDIRECT("Unterhalt!"&amp;$J$6&amp;AA167)</f>
        <v>530</v>
      </c>
      <c r="I167" s="25">
        <f ca="1">IF(D167=Auswahllisten!$E$26,0.8,IF(D167=Auswahllisten!$E$27,1,IF(D167=Auswahllisten!$E$29,1.2,0)))</f>
        <v>1</v>
      </c>
      <c r="J167" s="25">
        <f t="shared" ref="J167:J169" ca="1" si="169">H167*I167</f>
        <v>530</v>
      </c>
      <c r="K167" s="25">
        <f t="shared" ref="K167:K169" ca="1" si="170">IF($C$5=0,0,G167+(J167-G167)*($C$6-$F$5)/($F$6-$F$5))</f>
        <v>0</v>
      </c>
      <c r="L167" s="25" t="b">
        <f ca="1">($L$166=$C$5)</f>
        <v>0</v>
      </c>
      <c r="M167" s="162">
        <f t="shared" ref="M167:M169" ca="1" si="171">ROUND(K167*L167,AB167)</f>
        <v>0</v>
      </c>
      <c r="O167" s="25" t="str" cm="1">
        <f t="array" aca="1" ref="O167" ca="1">INDIRECT("Vergleich!"&amp;$Y$2&amp;Z167)</f>
        <v>gering</v>
      </c>
      <c r="P167" s="25" cm="1">
        <f t="array" aca="1" ref="P167" ca="1">INDIRECT("Unterhalt!"&amp;$AB$5&amp;AA167)</f>
        <v>530</v>
      </c>
      <c r="Q167" s="25">
        <f ca="1">IF(O167=Auswahllisten!$E$26,0.8,IF(O167=Auswahllisten!$E$27,1,IF(O167=Auswahllisten!$E$29,1.2,0)))</f>
        <v>0.8</v>
      </c>
      <c r="R167" s="25">
        <f t="shared" ref="R167:R169" ca="1" si="172">P167*Q167</f>
        <v>424</v>
      </c>
      <c r="S167" s="25" cm="1">
        <f t="array" aca="1" ref="S167" ca="1">INDIRECT("Unterhalt!"&amp;$AB$6&amp;AA167)</f>
        <v>530</v>
      </c>
      <c r="T167" s="25">
        <f ca="1">IF(O167=Auswahllisten!$E$26,0.8,IF(O167=Auswahllisten!$E$27,1,IF(O167=Auswahllisten!$E$29,1.2,0)))</f>
        <v>0.8</v>
      </c>
      <c r="U167" s="25">
        <f t="shared" ref="U167:U169" ca="1" si="173">S167*T167</f>
        <v>424</v>
      </c>
      <c r="V167" s="25">
        <f t="shared" ca="1" si="165"/>
        <v>0</v>
      </c>
      <c r="W167" s="25" t="b">
        <f ca="1">($L$166=$U$5)</f>
        <v>0</v>
      </c>
      <c r="X167" s="25">
        <f t="shared" ref="X167:X169" ca="1" si="174">ROUND(V167*W167,AB167)</f>
        <v>0</v>
      </c>
      <c r="Z167" s="1">
        <f t="shared" si="167"/>
        <v>54</v>
      </c>
      <c r="AA167" s="1">
        <v>11</v>
      </c>
      <c r="AB167" s="1">
        <v>-1</v>
      </c>
    </row>
    <row r="168" spans="1:28">
      <c r="A168" s="546"/>
      <c r="B168" s="71"/>
      <c r="C168" s="2" t="s">
        <v>256</v>
      </c>
      <c r="D168" s="16" t="str" cm="1">
        <f t="array" aca="1" ref="D168" ca="1">INDIRECT("Vergleich!"&amp;$G$2&amp;Z168)</f>
        <v>mittel</v>
      </c>
      <c r="E168" s="25" cm="1">
        <f t="array" aca="1" ref="E168" ca="1">INDIRECT("Unterhalt!"&amp;$J$5&amp;AA168)</f>
        <v>170</v>
      </c>
      <c r="F168" s="25">
        <f ca="1">IF(D168=Auswahllisten!$E$26,0.8,IF(D168=Auswahllisten!$E$27,1,IF(D168=Auswahllisten!$E$29,1.2,0)))</f>
        <v>1</v>
      </c>
      <c r="G168" s="25">
        <f t="shared" ca="1" si="168"/>
        <v>170</v>
      </c>
      <c r="H168" s="25" cm="1">
        <f t="array" aca="1" ref="H168" ca="1">INDIRECT("Unterhalt!"&amp;$J$6&amp;AA168)</f>
        <v>170</v>
      </c>
      <c r="I168" s="25">
        <f ca="1">IF(D168=Auswahllisten!$E$26,0.8,IF(D168=Auswahllisten!$E$27,1,IF(D168=Auswahllisten!$E$29,1.2,0)))</f>
        <v>1</v>
      </c>
      <c r="J168" s="25">
        <f t="shared" ca="1" si="169"/>
        <v>170</v>
      </c>
      <c r="K168" s="25">
        <f t="shared" ca="1" si="170"/>
        <v>0</v>
      </c>
      <c r="L168" s="25" t="b">
        <f ca="1">($L$166=$C$5)</f>
        <v>0</v>
      </c>
      <c r="M168" s="162">
        <f t="shared" ca="1" si="171"/>
        <v>0</v>
      </c>
      <c r="O168" s="25" t="str" cm="1">
        <f t="array" aca="1" ref="O168" ca="1">INDIRECT("Vergleich!"&amp;$Y$2&amp;Z168)</f>
        <v>gering</v>
      </c>
      <c r="P168" s="25" cm="1">
        <f t="array" aca="1" ref="P168" ca="1">INDIRECT("Unterhalt!"&amp;$AB$5&amp;AA168)</f>
        <v>170</v>
      </c>
      <c r="Q168" s="25">
        <f ca="1">IF(O168=Auswahllisten!$E$26,0.8,IF(O168=Auswahllisten!$E$27,1,IF(O168=Auswahllisten!$E$29,1.2,0)))</f>
        <v>0.8</v>
      </c>
      <c r="R168" s="25">
        <f t="shared" ca="1" si="172"/>
        <v>136</v>
      </c>
      <c r="S168" s="25" cm="1">
        <f t="array" aca="1" ref="S168" ca="1">INDIRECT("Unterhalt!"&amp;$AB$6&amp;AA168)</f>
        <v>170</v>
      </c>
      <c r="T168" s="25">
        <f ca="1">IF(O168=Auswahllisten!$E$26,0.8,IF(O168=Auswahllisten!$E$27,1,IF(O168=Auswahllisten!$E$29,1.2,0)))</f>
        <v>0.8</v>
      </c>
      <c r="U168" s="25">
        <f t="shared" ca="1" si="173"/>
        <v>136</v>
      </c>
      <c r="V168" s="25">
        <f t="shared" ca="1" si="165"/>
        <v>0</v>
      </c>
      <c r="W168" s="25" t="b">
        <f ca="1">($L$166=$U$5)</f>
        <v>0</v>
      </c>
      <c r="X168" s="25">
        <f t="shared" ca="1" si="174"/>
        <v>0</v>
      </c>
      <c r="Z168" s="1">
        <f t="shared" si="167"/>
        <v>54</v>
      </c>
      <c r="AA168" s="1">
        <v>12</v>
      </c>
      <c r="AB168" s="1">
        <v>-1</v>
      </c>
    </row>
    <row r="169" spans="1:28">
      <c r="A169" s="545"/>
      <c r="B169" s="94"/>
      <c r="C169" s="142" t="s">
        <v>335</v>
      </c>
      <c r="D169" s="93" t="str" cm="1">
        <f t="array" aca="1" ref="D169" ca="1">INDIRECT("Vergleich!"&amp;$G$2&amp;Z169)</f>
        <v>mittel</v>
      </c>
      <c r="E169" s="61" cm="1">
        <f t="array" aca="1" ref="E169" ca="1">INDIRECT("Unterhalt!"&amp;$J$5&amp;AA169)</f>
        <v>11</v>
      </c>
      <c r="F169" s="61">
        <f ca="1">IF(D169=Auswahllisten!$E$26,0.8,IF(D169=Auswahllisten!$E$27,1,IF(D169=Auswahllisten!$E$29,1.2,0)))</f>
        <v>1</v>
      </c>
      <c r="G169" s="61">
        <f t="shared" ca="1" si="168"/>
        <v>11</v>
      </c>
      <c r="H169" s="61" cm="1">
        <f t="array" aca="1" ref="H169" ca="1">INDIRECT("Unterhalt!"&amp;$J$6&amp;AA169)</f>
        <v>11</v>
      </c>
      <c r="I169" s="61">
        <f ca="1">IF(D169=Auswahllisten!$E$26,0.8,IF(D169=Auswahllisten!$E$27,1,IF(D169=Auswahllisten!$E$29,1.2,0)))</f>
        <v>1</v>
      </c>
      <c r="J169" s="61">
        <f t="shared" ca="1" si="169"/>
        <v>11</v>
      </c>
      <c r="K169" s="61">
        <f t="shared" ca="1" si="170"/>
        <v>0</v>
      </c>
      <c r="L169" s="61" t="b">
        <f ca="1">($L$166=$C$5)</f>
        <v>0</v>
      </c>
      <c r="M169" s="216">
        <f t="shared" ca="1" si="171"/>
        <v>0</v>
      </c>
      <c r="O169" s="61" t="str" cm="1">
        <f t="array" aca="1" ref="O169" ca="1">INDIRECT("Vergleich!"&amp;$Y$2&amp;Z169)</f>
        <v>gering</v>
      </c>
      <c r="P169" s="61" cm="1">
        <f t="array" aca="1" ref="P169" ca="1">INDIRECT("Unterhalt!"&amp;$AB$5&amp;AA169)</f>
        <v>11</v>
      </c>
      <c r="Q169" s="61">
        <f ca="1">IF(O169=Auswahllisten!$E$26,0.8,IF(O169=Auswahllisten!$E$27,1,IF(O169=Auswahllisten!$E$29,1.2,0)))</f>
        <v>0.8</v>
      </c>
      <c r="R169" s="61">
        <f t="shared" ca="1" si="172"/>
        <v>8.8000000000000007</v>
      </c>
      <c r="S169" s="61" cm="1">
        <f t="array" aca="1" ref="S169" ca="1">INDIRECT("Unterhalt!"&amp;$AB$6&amp;AA169)</f>
        <v>11</v>
      </c>
      <c r="T169" s="61">
        <f ca="1">IF(O169=Auswahllisten!$E$26,0.8,IF(O169=Auswahllisten!$E$27,1,IF(O169=Auswahllisten!$E$29,1.2,0)))</f>
        <v>0.8</v>
      </c>
      <c r="U169" s="61">
        <f t="shared" ca="1" si="173"/>
        <v>8.8000000000000007</v>
      </c>
      <c r="V169" s="61">
        <f t="shared" ca="1" si="165"/>
        <v>0</v>
      </c>
      <c r="W169" s="61" t="b">
        <f ca="1">($L$166=$U$5)</f>
        <v>0</v>
      </c>
      <c r="X169" s="61">
        <f t="shared" ca="1" si="174"/>
        <v>0</v>
      </c>
      <c r="Z169" s="1">
        <f t="shared" si="167"/>
        <v>54</v>
      </c>
      <c r="AA169" s="1">
        <v>13</v>
      </c>
      <c r="AB169" s="1">
        <v>-1</v>
      </c>
    </row>
    <row r="170" spans="1:28">
      <c r="A170" s="8"/>
      <c r="M170" s="69"/>
      <c r="Z170" s="1">
        <f t="shared" si="167"/>
        <v>54</v>
      </c>
      <c r="AA170" s="1">
        <v>14</v>
      </c>
      <c r="AB170" s="1">
        <v>-1</v>
      </c>
    </row>
    <row r="171" spans="1:28">
      <c r="A171" s="8" t="str">
        <f>ROMAN(3)</f>
        <v>III</v>
      </c>
      <c r="B171" s="8" t="s">
        <v>1</v>
      </c>
      <c r="L171" s="155">
        <v>3</v>
      </c>
      <c r="M171" s="69"/>
      <c r="Z171" s="1">
        <f t="shared" si="167"/>
        <v>54</v>
      </c>
      <c r="AA171" s="1">
        <v>15</v>
      </c>
      <c r="AB171" s="1">
        <v>-1</v>
      </c>
    </row>
    <row r="172" spans="1:28">
      <c r="A172" s="117"/>
      <c r="B172" s="55"/>
      <c r="C172" s="5" t="s">
        <v>255</v>
      </c>
      <c r="D172" s="25" t="str" cm="1">
        <f t="array" aca="1" ref="D172" ca="1">INDIRECT("Vergleich!"&amp;$G$2&amp;Z172)</f>
        <v>mittel</v>
      </c>
      <c r="E172" s="25" cm="1">
        <f t="array" aca="1" ref="E172" ca="1">INDIRECT("Unterhalt!"&amp;$J$5&amp;AA172)</f>
        <v>490</v>
      </c>
      <c r="F172" s="25">
        <f ca="1">IF(D172=Auswahllisten!$E$26,0.8,IF(D172=Auswahllisten!$E$27,1,IF(D172=Auswahllisten!$E$29,1.2,0)))</f>
        <v>1</v>
      </c>
      <c r="G172" s="25">
        <f t="shared" ref="G172:G173" ca="1" si="175">E172*F172</f>
        <v>490</v>
      </c>
      <c r="H172" s="25" cm="1">
        <f t="array" aca="1" ref="H172" ca="1">INDIRECT("Unterhalt!"&amp;$J$6&amp;AA172)</f>
        <v>490</v>
      </c>
      <c r="I172" s="25">
        <f ca="1">IF(D172=Auswahllisten!$E$26,0.8,IF(D172=Auswahllisten!$E$27,1,IF(D172=Auswahllisten!$E$29,1.2,0)))</f>
        <v>1</v>
      </c>
      <c r="J172" s="25">
        <f t="shared" ref="J172:J173" ca="1" si="176">H172*I172</f>
        <v>490</v>
      </c>
      <c r="K172" s="25">
        <f t="shared" ref="K172:K173" ca="1" si="177">IF($C$5=0,0,G172+(J172-G172)*($C$6-$F$5)/($F$6-$F$5))</f>
        <v>0</v>
      </c>
      <c r="L172" s="25" t="b">
        <f ca="1">($L$171=$C$5)</f>
        <v>0</v>
      </c>
      <c r="M172" s="162">
        <f t="shared" ref="M172:M173" ca="1" si="178">ROUND(K172*L172,AB172)</f>
        <v>0</v>
      </c>
      <c r="O172" s="25" t="str" cm="1">
        <f t="array" aca="1" ref="O172" ca="1">INDIRECT("Vergleich!"&amp;$Y$2&amp;Z172)</f>
        <v>gering</v>
      </c>
      <c r="P172" s="25" cm="1">
        <f t="array" aca="1" ref="P172" ca="1">INDIRECT("Unterhalt!"&amp;$AB$5&amp;AA172)</f>
        <v>490</v>
      </c>
      <c r="Q172" s="25">
        <f ca="1">IF(O172=Auswahllisten!$E$26,0.8,IF(O172=Auswahllisten!$E$27,1,IF(O172=Auswahllisten!$E$29,1.2,0)))</f>
        <v>0.8</v>
      </c>
      <c r="R172" s="25">
        <f t="shared" ref="R172:R173" ca="1" si="179">P172*Q172</f>
        <v>392</v>
      </c>
      <c r="S172" s="25" cm="1">
        <f t="array" aca="1" ref="S172" ca="1">INDIRECT("Unterhalt!"&amp;$AB$6&amp;AA172)</f>
        <v>490</v>
      </c>
      <c r="T172" s="25">
        <f ca="1">IF(O172=Auswahllisten!$E$26,0.8,IF(O172=Auswahllisten!$E$27,1,IF(O172=Auswahllisten!$E$29,1.2,0)))</f>
        <v>0.8</v>
      </c>
      <c r="U172" s="25">
        <f t="shared" ref="U172:U173" ca="1" si="180">S172*T172</f>
        <v>392</v>
      </c>
      <c r="V172" s="25">
        <f t="shared" ca="1" si="165"/>
        <v>0</v>
      </c>
      <c r="W172" s="25" t="b">
        <f ca="1">($L$171=$U$5)</f>
        <v>0</v>
      </c>
      <c r="X172" s="25">
        <f t="shared" ref="X172:X173" ca="1" si="181">ROUND(V172*W172,AB172)</f>
        <v>0</v>
      </c>
      <c r="Z172" s="1">
        <f t="shared" si="167"/>
        <v>54</v>
      </c>
      <c r="AA172" s="1">
        <v>16</v>
      </c>
      <c r="AB172" s="1">
        <v>-1</v>
      </c>
    </row>
    <row r="173" spans="1:28">
      <c r="A173" s="545"/>
      <c r="B173" s="94"/>
      <c r="C173" s="142" t="s">
        <v>256</v>
      </c>
      <c r="D173" s="93" t="str" cm="1">
        <f t="array" aca="1" ref="D173" ca="1">INDIRECT("Vergleich!"&amp;$G$2&amp;Z173)</f>
        <v>mittel</v>
      </c>
      <c r="E173" s="61" cm="1">
        <f t="array" aca="1" ref="E173" ca="1">INDIRECT("Unterhalt!"&amp;$J$5&amp;AA173)</f>
        <v>170</v>
      </c>
      <c r="F173" s="61">
        <f ca="1">IF(D173=Auswahllisten!$E$26,0.8,IF(D173=Auswahllisten!$E$27,1,IF(D173=Auswahllisten!$E$29,1.2,0)))</f>
        <v>1</v>
      </c>
      <c r="G173" s="61">
        <f t="shared" ca="1" si="175"/>
        <v>170</v>
      </c>
      <c r="H173" s="61" cm="1">
        <f t="array" aca="1" ref="H173" ca="1">INDIRECT("Unterhalt!"&amp;$J$6&amp;AA173)</f>
        <v>170</v>
      </c>
      <c r="I173" s="61">
        <f ca="1">IF(D173=Auswahllisten!$E$26,0.8,IF(D173=Auswahllisten!$E$27,1,IF(D173=Auswahllisten!$E$29,1.2,0)))</f>
        <v>1</v>
      </c>
      <c r="J173" s="61">
        <f t="shared" ca="1" si="176"/>
        <v>170</v>
      </c>
      <c r="K173" s="61">
        <f t="shared" ca="1" si="177"/>
        <v>0</v>
      </c>
      <c r="L173" s="61" t="b">
        <f ca="1">($L$171=$C$5)</f>
        <v>0</v>
      </c>
      <c r="M173" s="216">
        <f t="shared" ca="1" si="178"/>
        <v>0</v>
      </c>
      <c r="O173" s="61" t="str" cm="1">
        <f t="array" aca="1" ref="O173" ca="1">INDIRECT("Vergleich!"&amp;$Y$2&amp;Z173)</f>
        <v>gering</v>
      </c>
      <c r="P173" s="61" cm="1">
        <f t="array" aca="1" ref="P173" ca="1">INDIRECT("Unterhalt!"&amp;$AB$5&amp;AA173)</f>
        <v>170</v>
      </c>
      <c r="Q173" s="61">
        <f ca="1">IF(O173=Auswahllisten!$E$26,0.8,IF(O173=Auswahllisten!$E$27,1,IF(O173=Auswahllisten!$E$29,1.2,0)))</f>
        <v>0.8</v>
      </c>
      <c r="R173" s="61">
        <f t="shared" ca="1" si="179"/>
        <v>136</v>
      </c>
      <c r="S173" s="61" cm="1">
        <f t="array" aca="1" ref="S173" ca="1">INDIRECT("Unterhalt!"&amp;$AB$6&amp;AA173)</f>
        <v>170</v>
      </c>
      <c r="T173" s="61">
        <f ca="1">IF(O173=Auswahllisten!$E$26,0.8,IF(O173=Auswahllisten!$E$27,1,IF(O173=Auswahllisten!$E$29,1.2,0)))</f>
        <v>0.8</v>
      </c>
      <c r="U173" s="61">
        <f t="shared" ca="1" si="180"/>
        <v>136</v>
      </c>
      <c r="V173" s="61">
        <f t="shared" ca="1" si="165"/>
        <v>0</v>
      </c>
      <c r="W173" s="61" t="b">
        <f ca="1">($L$171=$U$5)</f>
        <v>0</v>
      </c>
      <c r="X173" s="61">
        <f t="shared" ca="1" si="181"/>
        <v>0</v>
      </c>
      <c r="Z173" s="1">
        <f t="shared" si="167"/>
        <v>54</v>
      </c>
      <c r="AA173" s="1">
        <v>17</v>
      </c>
      <c r="AB173" s="1">
        <v>-1</v>
      </c>
    </row>
    <row r="174" spans="1:28">
      <c r="A174" s="8"/>
      <c r="M174" s="69"/>
      <c r="Z174" s="1">
        <f t="shared" si="167"/>
        <v>54</v>
      </c>
      <c r="AA174" s="1">
        <v>18</v>
      </c>
      <c r="AB174" s="1">
        <v>-1</v>
      </c>
    </row>
    <row r="175" spans="1:28">
      <c r="A175" s="8" t="str">
        <f>ROMAN(4)</f>
        <v>IV</v>
      </c>
      <c r="B175" s="8" t="s">
        <v>15</v>
      </c>
      <c r="L175" s="155">
        <v>4</v>
      </c>
      <c r="M175" s="69"/>
      <c r="Z175" s="1">
        <f t="shared" si="167"/>
        <v>54</v>
      </c>
      <c r="AA175" s="1">
        <v>19</v>
      </c>
      <c r="AB175" s="1">
        <v>-1</v>
      </c>
    </row>
    <row r="176" spans="1:28">
      <c r="A176" s="117"/>
      <c r="B176" s="55"/>
      <c r="C176" s="5" t="s">
        <v>255</v>
      </c>
      <c r="D176" s="25" t="str" cm="1">
        <f t="array" aca="1" ref="D176" ca="1">INDIRECT("Vergleich!"&amp;$G$2&amp;Z176)</f>
        <v>mittel</v>
      </c>
      <c r="E176" s="25" cm="1">
        <f t="array" aca="1" ref="E176" ca="1">INDIRECT("Unterhalt!"&amp;$J$5&amp;AA176)</f>
        <v>0</v>
      </c>
      <c r="F176" s="25">
        <f ca="1">IF(D176=Auswahllisten!$E$26,0.8,IF(D176=Auswahllisten!$E$27,1,IF(D176=Auswahllisten!$E$29,1.2,0)))</f>
        <v>1</v>
      </c>
      <c r="G176" s="25">
        <f t="shared" ref="G176:G177" ca="1" si="182">E176*F176</f>
        <v>0</v>
      </c>
      <c r="H176" s="25" cm="1">
        <f t="array" aca="1" ref="H176" ca="1">INDIRECT("Unterhalt!"&amp;$J$6&amp;AA176)</f>
        <v>0</v>
      </c>
      <c r="I176" s="25">
        <f ca="1">IF(D176=Auswahllisten!$E$26,0.8,IF(D176=Auswahllisten!$E$27,1,IF(D176=Auswahllisten!$E$29,1.2,0)))</f>
        <v>1</v>
      </c>
      <c r="J176" s="25">
        <f t="shared" ref="J176:J177" ca="1" si="183">H176*I176</f>
        <v>0</v>
      </c>
      <c r="K176" s="25">
        <f t="shared" ref="K176:K177" ca="1" si="184">IF($C$5=0,0,G176+(J176-G176)*($C$6-$F$5)/($F$6-$F$5))</f>
        <v>0</v>
      </c>
      <c r="L176" s="25" t="b">
        <f ca="1">($L$175=$C$5)</f>
        <v>0</v>
      </c>
      <c r="M176" s="162">
        <f t="shared" ref="M176:M177" ca="1" si="185">ROUND(K176*L176,AB176)</f>
        <v>0</v>
      </c>
      <c r="O176" s="25" t="str" cm="1">
        <f t="array" aca="1" ref="O176" ca="1">INDIRECT("Vergleich!"&amp;$Y$2&amp;Z176)</f>
        <v>gering</v>
      </c>
      <c r="P176" s="25" cm="1">
        <f t="array" aca="1" ref="P176" ca="1">INDIRECT("Unterhalt!"&amp;$AB$5&amp;AA176)</f>
        <v>0</v>
      </c>
      <c r="Q176" s="25">
        <f ca="1">IF(O176=Auswahllisten!$E$26,0.8,IF(O176=Auswahllisten!$E$27,1,IF(O176=Auswahllisten!$E$29,1.2,0)))</f>
        <v>0.8</v>
      </c>
      <c r="R176" s="25">
        <f t="shared" ref="R176:R177" ca="1" si="186">P176*Q176</f>
        <v>0</v>
      </c>
      <c r="S176" s="25" cm="1">
        <f t="array" aca="1" ref="S176" ca="1">INDIRECT("Unterhalt!"&amp;$AB$6&amp;AA176)</f>
        <v>0</v>
      </c>
      <c r="T176" s="25">
        <f ca="1">IF(O176=Auswahllisten!$E$26,0.8,IF(O176=Auswahllisten!$E$27,1,IF(O176=Auswahllisten!$E$29,1.2,0)))</f>
        <v>0.8</v>
      </c>
      <c r="U176" s="25">
        <f t="shared" ref="U176:U177" ca="1" si="187">S176*T176</f>
        <v>0</v>
      </c>
      <c r="V176" s="25">
        <f t="shared" ca="1" si="165"/>
        <v>0</v>
      </c>
      <c r="W176" s="25" t="b">
        <f ca="1">($L$175=$U$5)</f>
        <v>0</v>
      </c>
      <c r="X176" s="25">
        <f t="shared" ref="X176:X177" ca="1" si="188">ROUND(V176*W176,AB176)</f>
        <v>0</v>
      </c>
      <c r="Z176" s="1">
        <f t="shared" si="167"/>
        <v>54</v>
      </c>
      <c r="AA176" s="1">
        <v>20</v>
      </c>
      <c r="AB176" s="1">
        <v>-1</v>
      </c>
    </row>
    <row r="177" spans="1:28">
      <c r="A177" s="545"/>
      <c r="B177" s="94"/>
      <c r="C177" s="142" t="s">
        <v>256</v>
      </c>
      <c r="D177" s="93" t="str" cm="1">
        <f t="array" aca="1" ref="D177" ca="1">INDIRECT("Vergleich!"&amp;$G$2&amp;Z177)</f>
        <v>mittel</v>
      </c>
      <c r="E177" s="61" cm="1">
        <f t="array" aca="1" ref="E177" ca="1">INDIRECT("Unterhalt!"&amp;$J$5&amp;AA177)</f>
        <v>0</v>
      </c>
      <c r="F177" s="61">
        <f ca="1">IF(D177=Auswahllisten!$E$26,0.8,IF(D177=Auswahllisten!$E$27,1,IF(D177=Auswahllisten!$E$29,1.2,0)))</f>
        <v>1</v>
      </c>
      <c r="G177" s="61">
        <f t="shared" ca="1" si="182"/>
        <v>0</v>
      </c>
      <c r="H177" s="61" cm="1">
        <f t="array" aca="1" ref="H177" ca="1">INDIRECT("Unterhalt!"&amp;$J$6&amp;AA177)</f>
        <v>0</v>
      </c>
      <c r="I177" s="61">
        <f ca="1">IF(D177=Auswahllisten!$E$26,0.8,IF(D177=Auswahllisten!$E$27,1,IF(D177=Auswahllisten!$E$29,1.2,0)))</f>
        <v>1</v>
      </c>
      <c r="J177" s="61">
        <f t="shared" ca="1" si="183"/>
        <v>0</v>
      </c>
      <c r="K177" s="61">
        <f t="shared" ca="1" si="184"/>
        <v>0</v>
      </c>
      <c r="L177" s="61" t="b">
        <f ca="1">($L$175=$C$5)</f>
        <v>0</v>
      </c>
      <c r="M177" s="216">
        <f t="shared" ca="1" si="185"/>
        <v>0</v>
      </c>
      <c r="O177" s="61" t="str" cm="1">
        <f t="array" aca="1" ref="O177" ca="1">INDIRECT("Vergleich!"&amp;$Y$2&amp;Z177)</f>
        <v>gering</v>
      </c>
      <c r="P177" s="61" cm="1">
        <f t="array" aca="1" ref="P177" ca="1">INDIRECT("Unterhalt!"&amp;$AB$5&amp;AA177)</f>
        <v>0</v>
      </c>
      <c r="Q177" s="61">
        <f ca="1">IF(O177=Auswahllisten!$E$26,0.8,IF(O177=Auswahllisten!$E$27,1,IF(O177=Auswahllisten!$E$29,1.2,0)))</f>
        <v>0.8</v>
      </c>
      <c r="R177" s="61">
        <f t="shared" ca="1" si="186"/>
        <v>0</v>
      </c>
      <c r="S177" s="61" cm="1">
        <f t="array" aca="1" ref="S177" ca="1">INDIRECT("Unterhalt!"&amp;$AB$6&amp;AA177)</f>
        <v>0</v>
      </c>
      <c r="T177" s="61">
        <f ca="1">IF(O177=Auswahllisten!$E$26,0.8,IF(O177=Auswahllisten!$E$27,1,IF(O177=Auswahllisten!$E$29,1.2,0)))</f>
        <v>0.8</v>
      </c>
      <c r="U177" s="61">
        <f t="shared" ca="1" si="187"/>
        <v>0</v>
      </c>
      <c r="V177" s="61">
        <f t="shared" ca="1" si="165"/>
        <v>0</v>
      </c>
      <c r="W177" s="61" t="b">
        <f ca="1">($L$175=$U$5)</f>
        <v>0</v>
      </c>
      <c r="X177" s="61">
        <f t="shared" ca="1" si="188"/>
        <v>0</v>
      </c>
      <c r="Z177" s="1">
        <f t="shared" si="167"/>
        <v>54</v>
      </c>
      <c r="AA177" s="1">
        <v>21</v>
      </c>
      <c r="AB177" s="1">
        <v>-1</v>
      </c>
    </row>
    <row r="178" spans="1:28">
      <c r="A178" s="8"/>
      <c r="M178" s="69"/>
      <c r="Z178" s="1">
        <f t="shared" si="167"/>
        <v>54</v>
      </c>
      <c r="AA178" s="1">
        <v>22</v>
      </c>
      <c r="AB178" s="1">
        <v>-1</v>
      </c>
    </row>
    <row r="179" spans="1:28">
      <c r="A179" s="8" t="str">
        <f>ROMAN(5)</f>
        <v>V</v>
      </c>
      <c r="B179" s="8" t="s">
        <v>141</v>
      </c>
      <c r="L179" s="155">
        <v>5</v>
      </c>
      <c r="M179" s="69"/>
      <c r="Z179" s="1">
        <f t="shared" si="167"/>
        <v>54</v>
      </c>
      <c r="AA179" s="1">
        <v>23</v>
      </c>
      <c r="AB179" s="1">
        <v>-1</v>
      </c>
    </row>
    <row r="180" spans="1:28">
      <c r="A180" s="117"/>
      <c r="B180" s="55"/>
      <c r="C180" s="5" t="s">
        <v>255</v>
      </c>
      <c r="D180" s="25" t="str" cm="1">
        <f t="array" aca="1" ref="D180" ca="1">INDIRECT("Vergleich!"&amp;$G$2&amp;Z180)</f>
        <v>mittel</v>
      </c>
      <c r="E180" s="25" cm="1">
        <f t="array" aca="1" ref="E180" ca="1">INDIRECT("Unterhalt!"&amp;$J$5&amp;AA180)</f>
        <v>440</v>
      </c>
      <c r="F180" s="25">
        <f ca="1">IF(D180=Auswahllisten!$E$26,0.8,IF(D180=Auswahllisten!$E$27,1,IF(D180=Auswahllisten!$E$29,1.2,0)))</f>
        <v>1</v>
      </c>
      <c r="G180" s="25">
        <f t="shared" ref="G180:G183" ca="1" si="189">E180*F180</f>
        <v>440</v>
      </c>
      <c r="H180" s="25" cm="1">
        <f t="array" aca="1" ref="H180" ca="1">INDIRECT("Unterhalt!"&amp;$J$6&amp;AA180)</f>
        <v>440</v>
      </c>
      <c r="I180" s="25">
        <f ca="1">IF(D180=Auswahllisten!$E$26,0.8,IF(D180=Auswahllisten!$E$27,1,IF(D180=Auswahllisten!$E$29,1.2,0)))</f>
        <v>1</v>
      </c>
      <c r="J180" s="25">
        <f t="shared" ref="J180:J183" ca="1" si="190">H180*I180</f>
        <v>440</v>
      </c>
      <c r="K180" s="25">
        <f t="shared" ref="K180:K183" ca="1" si="191">IF($C$5=0,0,G180+(J180-G180)*($C$6-$F$5)/($F$6-$F$5))</f>
        <v>0</v>
      </c>
      <c r="L180" s="25" t="b">
        <f ca="1">($L$179=$C$5)</f>
        <v>0</v>
      </c>
      <c r="M180" s="162">
        <f t="shared" ref="M180:M183" ca="1" si="192">ROUND(K180*L180,AB180)</f>
        <v>0</v>
      </c>
      <c r="O180" s="25" t="str" cm="1">
        <f t="array" aca="1" ref="O180" ca="1">INDIRECT("Vergleich!"&amp;$Y$2&amp;Z180)</f>
        <v>gering</v>
      </c>
      <c r="P180" s="25" cm="1">
        <f t="array" aca="1" ref="P180" ca="1">INDIRECT("Unterhalt!"&amp;$AB$5&amp;AA180)</f>
        <v>440</v>
      </c>
      <c r="Q180" s="25">
        <f ca="1">IF(O180=Auswahllisten!$E$26,0.8,IF(O180=Auswahllisten!$E$27,1,IF(O180=Auswahllisten!$E$29,1.2,0)))</f>
        <v>0.8</v>
      </c>
      <c r="R180" s="25">
        <f t="shared" ref="R180:R183" ca="1" si="193">P180*Q180</f>
        <v>352</v>
      </c>
      <c r="S180" s="25" cm="1">
        <f t="array" aca="1" ref="S180" ca="1">INDIRECT("Unterhalt!"&amp;$AB$6&amp;AA180)</f>
        <v>440</v>
      </c>
      <c r="T180" s="25">
        <f ca="1">IF(O180=Auswahllisten!$E$26,0.8,IF(O180=Auswahllisten!$E$27,1,IF(O180=Auswahllisten!$E$29,1.2,0)))</f>
        <v>0.8</v>
      </c>
      <c r="U180" s="25">
        <f t="shared" ref="U180:U183" ca="1" si="194">S180*T180</f>
        <v>352</v>
      </c>
      <c r="V180" s="25">
        <f t="shared" ca="1" si="165"/>
        <v>0</v>
      </c>
      <c r="W180" s="25" t="b">
        <f ca="1">($L$179=$U$5)</f>
        <v>0</v>
      </c>
      <c r="X180" s="25">
        <f t="shared" ref="X180:X183" ca="1" si="195">ROUND(V180*W180,AB180)</f>
        <v>0</v>
      </c>
      <c r="Z180" s="1">
        <f t="shared" si="167"/>
        <v>54</v>
      </c>
      <c r="AA180" s="1">
        <v>24</v>
      </c>
      <c r="AB180" s="1">
        <v>-1</v>
      </c>
    </row>
    <row r="181" spans="1:28">
      <c r="A181" s="546"/>
      <c r="B181" s="71"/>
      <c r="C181" s="2" t="s">
        <v>257</v>
      </c>
      <c r="D181" s="16" t="str" cm="1">
        <f t="array" aca="1" ref="D181" ca="1">INDIRECT("Vergleich!"&amp;$G$2&amp;Z181)</f>
        <v>mittel</v>
      </c>
      <c r="E181" s="25" cm="1">
        <f t="array" aca="1" ref="E181" ca="1">INDIRECT("Unterhalt!"&amp;$J$5&amp;AA181)</f>
        <v>0</v>
      </c>
      <c r="F181" s="25">
        <f ca="1">IF(D181=Auswahllisten!$E$26,0.8,IF(D181=Auswahllisten!$E$27,1,IF(D181=Auswahllisten!$E$29,1.2,0)))</f>
        <v>1</v>
      </c>
      <c r="G181" s="25">
        <f t="shared" ca="1" si="189"/>
        <v>0</v>
      </c>
      <c r="H181" s="25" cm="1">
        <f t="array" aca="1" ref="H181" ca="1">INDIRECT("Unterhalt!"&amp;$J$6&amp;AA181)</f>
        <v>0</v>
      </c>
      <c r="I181" s="25">
        <f ca="1">IF(D181=Auswahllisten!$E$26,0.8,IF(D181=Auswahllisten!$E$27,1,IF(D181=Auswahllisten!$E$29,1.2,0)))</f>
        <v>1</v>
      </c>
      <c r="J181" s="25">
        <f t="shared" ca="1" si="190"/>
        <v>0</v>
      </c>
      <c r="K181" s="25">
        <f t="shared" ca="1" si="191"/>
        <v>0</v>
      </c>
      <c r="L181" s="25" t="b">
        <f ca="1">($L$179=$C$5)</f>
        <v>0</v>
      </c>
      <c r="M181" s="162">
        <f t="shared" ca="1" si="192"/>
        <v>0</v>
      </c>
      <c r="O181" s="25" t="str" cm="1">
        <f t="array" aca="1" ref="O181" ca="1">INDIRECT("Vergleich!"&amp;$Y$2&amp;Z181)</f>
        <v>gering</v>
      </c>
      <c r="P181" s="25" cm="1">
        <f t="array" aca="1" ref="P181" ca="1">INDIRECT("Unterhalt!"&amp;$AB$5&amp;AA181)</f>
        <v>0</v>
      </c>
      <c r="Q181" s="25">
        <f ca="1">IF(O181=Auswahllisten!$E$26,0.8,IF(O181=Auswahllisten!$E$27,1,IF(O181=Auswahllisten!$E$29,1.2,0)))</f>
        <v>0.8</v>
      </c>
      <c r="R181" s="25">
        <f t="shared" ca="1" si="193"/>
        <v>0</v>
      </c>
      <c r="S181" s="25" cm="1">
        <f t="array" aca="1" ref="S181" ca="1">INDIRECT("Unterhalt!"&amp;$AB$6&amp;AA181)</f>
        <v>0</v>
      </c>
      <c r="T181" s="25">
        <f ca="1">IF(O181=Auswahllisten!$E$26,0.8,IF(O181=Auswahllisten!$E$27,1,IF(O181=Auswahllisten!$E$29,1.2,0)))</f>
        <v>0.8</v>
      </c>
      <c r="U181" s="25">
        <f t="shared" ca="1" si="194"/>
        <v>0</v>
      </c>
      <c r="V181" s="25">
        <f t="shared" ca="1" si="165"/>
        <v>0</v>
      </c>
      <c r="W181" s="25" t="b">
        <f ca="1">($L$179=$U$5)</f>
        <v>0</v>
      </c>
      <c r="X181" s="25">
        <f t="shared" ca="1" si="195"/>
        <v>0</v>
      </c>
      <c r="Z181" s="1">
        <f t="shared" si="167"/>
        <v>54</v>
      </c>
      <c r="AA181" s="1">
        <v>25</v>
      </c>
      <c r="AB181" s="1">
        <v>-1</v>
      </c>
    </row>
    <row r="182" spans="1:28">
      <c r="A182" s="546"/>
      <c r="B182" s="71"/>
      <c r="C182" s="2" t="s">
        <v>302</v>
      </c>
      <c r="D182" s="16" t="str" cm="1">
        <f t="array" aca="1" ref="D182" ca="1">INDIRECT("Vergleich!"&amp;$G$2&amp;Z182)</f>
        <v>mittel</v>
      </c>
      <c r="E182" s="25" cm="1">
        <f t="array" aca="1" ref="E182" ca="1">INDIRECT("Unterhalt!"&amp;$J$5&amp;AA182)</f>
        <v>50</v>
      </c>
      <c r="F182" s="25">
        <f ca="1">IF(D182=Auswahllisten!$E$26,0.8,IF(D182=Auswahllisten!$E$27,1,IF(D182=Auswahllisten!$E$29,1.2,0)))</f>
        <v>1</v>
      </c>
      <c r="G182" s="25">
        <f t="shared" ca="1" si="189"/>
        <v>50</v>
      </c>
      <c r="H182" s="25" cm="1">
        <f t="array" aca="1" ref="H182" ca="1">INDIRECT("Unterhalt!"&amp;$J$6&amp;AA182)</f>
        <v>50</v>
      </c>
      <c r="I182" s="25">
        <f ca="1">IF(D182=Auswahllisten!$E$26,0.8,IF(D182=Auswahllisten!$E$27,1,IF(D182=Auswahllisten!$E$29,1.2,0)))</f>
        <v>1</v>
      </c>
      <c r="J182" s="25">
        <f t="shared" ca="1" si="190"/>
        <v>50</v>
      </c>
      <c r="K182" s="25">
        <f t="shared" ca="1" si="191"/>
        <v>0</v>
      </c>
      <c r="L182" s="25" t="b">
        <f ca="1">($L$179=$C$5)</f>
        <v>0</v>
      </c>
      <c r="M182" s="162">
        <f t="shared" ca="1" si="192"/>
        <v>0</v>
      </c>
      <c r="O182" s="25" t="str" cm="1">
        <f t="array" aca="1" ref="O182" ca="1">INDIRECT("Vergleich!"&amp;$Y$2&amp;Z182)</f>
        <v>gering</v>
      </c>
      <c r="P182" s="25" cm="1">
        <f t="array" aca="1" ref="P182" ca="1">INDIRECT("Unterhalt!"&amp;$AB$5&amp;AA182)</f>
        <v>50</v>
      </c>
      <c r="Q182" s="25">
        <f ca="1">IF(O182=Auswahllisten!$E$26,0.8,IF(O182=Auswahllisten!$E$27,1,IF(O182=Auswahllisten!$E$29,1.2,0)))</f>
        <v>0.8</v>
      </c>
      <c r="R182" s="25">
        <f t="shared" ca="1" si="193"/>
        <v>40</v>
      </c>
      <c r="S182" s="25" cm="1">
        <f t="array" aca="1" ref="S182" ca="1">INDIRECT("Unterhalt!"&amp;$AB$6&amp;AA182)</f>
        <v>50</v>
      </c>
      <c r="T182" s="25">
        <f ca="1">IF(O182=Auswahllisten!$E$26,0.8,IF(O182=Auswahllisten!$E$27,1,IF(O182=Auswahllisten!$E$29,1.2,0)))</f>
        <v>0.8</v>
      </c>
      <c r="U182" s="25">
        <f t="shared" ca="1" si="194"/>
        <v>40</v>
      </c>
      <c r="V182" s="25">
        <f t="shared" ca="1" si="165"/>
        <v>0</v>
      </c>
      <c r="W182" s="25" t="b">
        <f ca="1">($L$179=$U$5)</f>
        <v>0</v>
      </c>
      <c r="X182" s="25">
        <f t="shared" ca="1" si="195"/>
        <v>0</v>
      </c>
      <c r="Z182" s="1">
        <f t="shared" si="167"/>
        <v>54</v>
      </c>
      <c r="AA182" s="1">
        <v>26</v>
      </c>
      <c r="AB182" s="1">
        <v>-1</v>
      </c>
    </row>
    <row r="183" spans="1:28">
      <c r="A183" s="545"/>
      <c r="B183" s="94"/>
      <c r="C183" s="142" t="s">
        <v>335</v>
      </c>
      <c r="D183" s="93" t="str" cm="1">
        <f t="array" aca="1" ref="D183" ca="1">INDIRECT("Vergleich!"&amp;$G$2&amp;Z183)</f>
        <v>mittel</v>
      </c>
      <c r="E183" s="61" cm="1">
        <f t="array" aca="1" ref="E183" ca="1">INDIRECT("Unterhalt!"&amp;$J$5&amp;AA183)</f>
        <v>0</v>
      </c>
      <c r="F183" s="61">
        <f ca="1">IF(D183=Auswahllisten!$E$26,0.8,IF(D183=Auswahllisten!$E$27,1,IF(D183=Auswahllisten!$E$29,1.2,0)))</f>
        <v>1</v>
      </c>
      <c r="G183" s="61">
        <f t="shared" ca="1" si="189"/>
        <v>0</v>
      </c>
      <c r="H183" s="61" cm="1">
        <f t="array" aca="1" ref="H183" ca="1">INDIRECT("Unterhalt!"&amp;$J$6&amp;AA183)</f>
        <v>0</v>
      </c>
      <c r="I183" s="61">
        <f ca="1">IF(D183=Auswahllisten!$E$26,0.8,IF(D183=Auswahllisten!$E$27,1,IF(D183=Auswahllisten!$E$29,1.2,0)))</f>
        <v>1</v>
      </c>
      <c r="J183" s="61">
        <f t="shared" ca="1" si="190"/>
        <v>0</v>
      </c>
      <c r="K183" s="61">
        <f t="shared" ca="1" si="191"/>
        <v>0</v>
      </c>
      <c r="L183" s="61" t="b">
        <f ca="1">($L$179=$C$5)</f>
        <v>0</v>
      </c>
      <c r="M183" s="216">
        <f t="shared" ca="1" si="192"/>
        <v>0</v>
      </c>
      <c r="O183" s="61" t="str" cm="1">
        <f t="array" aca="1" ref="O183" ca="1">INDIRECT("Vergleich!"&amp;$Y$2&amp;Z183)</f>
        <v>gering</v>
      </c>
      <c r="P183" s="61" cm="1">
        <f t="array" aca="1" ref="P183" ca="1">INDIRECT("Unterhalt!"&amp;$AB$5&amp;AA183)</f>
        <v>0</v>
      </c>
      <c r="Q183" s="61">
        <f ca="1">IF(O183=Auswahllisten!$E$26,0.8,IF(O183=Auswahllisten!$E$27,1,IF(O183=Auswahllisten!$E$29,1.2,0)))</f>
        <v>0.8</v>
      </c>
      <c r="R183" s="61">
        <f t="shared" ca="1" si="193"/>
        <v>0</v>
      </c>
      <c r="S183" s="61" cm="1">
        <f t="array" aca="1" ref="S183" ca="1">INDIRECT("Unterhalt!"&amp;$AB$6&amp;AA183)</f>
        <v>0</v>
      </c>
      <c r="T183" s="61">
        <f ca="1">IF(O183=Auswahllisten!$E$26,0.8,IF(O183=Auswahllisten!$E$27,1,IF(O183=Auswahllisten!$E$29,1.2,0)))</f>
        <v>0.8</v>
      </c>
      <c r="U183" s="61">
        <f t="shared" ca="1" si="194"/>
        <v>0</v>
      </c>
      <c r="V183" s="61">
        <f t="shared" ca="1" si="165"/>
        <v>0</v>
      </c>
      <c r="W183" s="61" t="b">
        <f ca="1">($L$179=$U$5)</f>
        <v>0</v>
      </c>
      <c r="X183" s="61">
        <f t="shared" ca="1" si="195"/>
        <v>0</v>
      </c>
      <c r="Z183" s="1">
        <f t="shared" si="167"/>
        <v>54</v>
      </c>
      <c r="AA183" s="1">
        <v>27</v>
      </c>
      <c r="AB183" s="1">
        <v>-1</v>
      </c>
    </row>
    <row r="184" spans="1:28">
      <c r="A184" s="8"/>
      <c r="M184" s="69"/>
      <c r="Z184" s="1">
        <f t="shared" si="167"/>
        <v>54</v>
      </c>
      <c r="AA184" s="1">
        <v>28</v>
      </c>
      <c r="AB184" s="1">
        <v>-1</v>
      </c>
    </row>
    <row r="185" spans="1:28">
      <c r="A185" s="8" t="str">
        <f>ROMAN(6)</f>
        <v>VI</v>
      </c>
      <c r="B185" s="8" t="s">
        <v>142</v>
      </c>
      <c r="L185" s="155">
        <v>6</v>
      </c>
      <c r="M185" s="69"/>
      <c r="Z185" s="1">
        <f t="shared" si="167"/>
        <v>54</v>
      </c>
      <c r="AA185" s="1">
        <v>29</v>
      </c>
      <c r="AB185" s="1">
        <v>-1</v>
      </c>
    </row>
    <row r="186" spans="1:28">
      <c r="A186" s="117"/>
      <c r="B186" s="55"/>
      <c r="C186" s="5" t="s">
        <v>255</v>
      </c>
      <c r="D186" s="25" t="str" cm="1">
        <f t="array" aca="1" ref="D186" ca="1">INDIRECT("Vergleich!"&amp;$G$2&amp;Z186)</f>
        <v>mittel</v>
      </c>
      <c r="E186" s="5" cm="1">
        <f t="array" aca="1" ref="E186" ca="1">INDIRECT("Unterhalt!"&amp;$J$5&amp;AA186)</f>
        <v>680</v>
      </c>
      <c r="F186" s="25">
        <f ca="1">IF(D186=Auswahllisten!$E$26,0.8,IF(D186=Auswahllisten!$E$27,1,IF(D186=Auswahllisten!$E$29,1.2,0)))</f>
        <v>1</v>
      </c>
      <c r="G186" s="25">
        <f t="shared" ref="G186:G188" ca="1" si="196">E186*F186</f>
        <v>680</v>
      </c>
      <c r="H186" s="25" cm="1">
        <f t="array" aca="1" ref="H186" ca="1">INDIRECT("Unterhalt!"&amp;$J$6&amp;AA186)</f>
        <v>680</v>
      </c>
      <c r="I186" s="25">
        <f ca="1">IF(D186=Auswahllisten!$E$26,0.8,IF(D186=Auswahllisten!$E$27,1,IF(D186=Auswahllisten!$E$29,1.2,0)))</f>
        <v>1</v>
      </c>
      <c r="J186" s="25">
        <f t="shared" ref="J186:J188" ca="1" si="197">H186*I186</f>
        <v>680</v>
      </c>
      <c r="K186" s="25">
        <f t="shared" ref="K186:K188" ca="1" si="198">IF($C$5=0,0,G186+(J186-G186)*($C$6-$F$5)/($F$6-$F$5))</f>
        <v>0</v>
      </c>
      <c r="L186" s="25" t="b">
        <f ca="1">($L$185=$C$5)</f>
        <v>0</v>
      </c>
      <c r="M186" s="162">
        <f t="shared" ref="M186:M188" ca="1" si="199">ROUND(K186*L186,AB186)</f>
        <v>0</v>
      </c>
      <c r="O186" s="5" t="str" cm="1">
        <f t="array" aca="1" ref="O186" ca="1">INDIRECT("Vergleich!"&amp;$Y$2&amp;Z186)</f>
        <v>gering</v>
      </c>
      <c r="P186" s="5" cm="1">
        <f t="array" aca="1" ref="P186" ca="1">INDIRECT("Unterhalt!"&amp;$AB$5&amp;AA186)</f>
        <v>680</v>
      </c>
      <c r="Q186" s="25">
        <f ca="1">IF(O186=Auswahllisten!$E$26,0.8,IF(O186=Auswahllisten!$E$27,1,IF(O186=Auswahllisten!$E$29,1.2,0)))</f>
        <v>0.8</v>
      </c>
      <c r="R186" s="25">
        <f t="shared" ref="R186:R188" ca="1" si="200">P186*Q186</f>
        <v>544</v>
      </c>
      <c r="S186" s="25" cm="1">
        <f t="array" aca="1" ref="S186" ca="1">INDIRECT("Unterhalt!"&amp;$AB$6&amp;AA186)</f>
        <v>680</v>
      </c>
      <c r="T186" s="25">
        <f ca="1">IF(O186=Auswahllisten!$E$26,0.8,IF(O186=Auswahllisten!$E$27,1,IF(O186=Auswahllisten!$E$29,1.2,0)))</f>
        <v>0.8</v>
      </c>
      <c r="U186" s="25">
        <f t="shared" ref="U186:U188" ca="1" si="201">S186*T186</f>
        <v>544</v>
      </c>
      <c r="V186" s="25">
        <f t="shared" ca="1" si="165"/>
        <v>0</v>
      </c>
      <c r="W186" s="25" t="b">
        <f ca="1">($L$185=$U$5)</f>
        <v>0</v>
      </c>
      <c r="X186" s="25">
        <f t="shared" ref="X186:X188" ca="1" si="202">ROUND(V186*W186,AB186)</f>
        <v>0</v>
      </c>
      <c r="Z186" s="1">
        <f t="shared" si="167"/>
        <v>54</v>
      </c>
      <c r="AA186" s="1">
        <v>30</v>
      </c>
      <c r="AB186" s="1">
        <v>-1</v>
      </c>
    </row>
    <row r="187" spans="1:28">
      <c r="A187" s="546"/>
      <c r="B187" s="71"/>
      <c r="C187" s="2" t="s">
        <v>302</v>
      </c>
      <c r="D187" s="16" t="str" cm="1">
        <f t="array" aca="1" ref="D187" ca="1">INDIRECT("Vergleich!"&amp;$G$2&amp;Z187)</f>
        <v>mittel</v>
      </c>
      <c r="E187" s="5" cm="1">
        <f t="array" aca="1" ref="E187" ca="1">INDIRECT("Unterhalt!"&amp;$J$5&amp;AA187)</f>
        <v>50</v>
      </c>
      <c r="F187" s="25">
        <f ca="1">IF(D187=Auswahllisten!$E$26,0.8,IF(D187=Auswahllisten!$E$27,1,IF(D187=Auswahllisten!$E$29,1.2,0)))</f>
        <v>1</v>
      </c>
      <c r="G187" s="25">
        <f t="shared" ca="1" si="196"/>
        <v>50</v>
      </c>
      <c r="H187" s="25" cm="1">
        <f t="array" aca="1" ref="H187" ca="1">INDIRECT("Unterhalt!"&amp;$J$6&amp;AA187)</f>
        <v>50</v>
      </c>
      <c r="I187" s="25">
        <f ca="1">IF(D187=Auswahllisten!$E$26,0.8,IF(D187=Auswahllisten!$E$27,1,IF(D187=Auswahllisten!$E$29,1.2,0)))</f>
        <v>1</v>
      </c>
      <c r="J187" s="25">
        <f t="shared" ca="1" si="197"/>
        <v>50</v>
      </c>
      <c r="K187" s="25">
        <f t="shared" ca="1" si="198"/>
        <v>0</v>
      </c>
      <c r="L187" s="25" t="b">
        <f ca="1">($L$185=$C$5)</f>
        <v>0</v>
      </c>
      <c r="M187" s="162">
        <f t="shared" ca="1" si="199"/>
        <v>0</v>
      </c>
      <c r="O187" s="5" t="str" cm="1">
        <f t="array" aca="1" ref="O187" ca="1">INDIRECT("Vergleich!"&amp;$Y$2&amp;Z187)</f>
        <v>gering</v>
      </c>
      <c r="P187" s="5" cm="1">
        <f t="array" aca="1" ref="P187" ca="1">INDIRECT("Unterhalt!"&amp;$AB$5&amp;AA187)</f>
        <v>50</v>
      </c>
      <c r="Q187" s="25">
        <f ca="1">IF(O187=Auswahllisten!$E$26,0.8,IF(O187=Auswahllisten!$E$27,1,IF(O187=Auswahllisten!$E$29,1.2,0)))</f>
        <v>0.8</v>
      </c>
      <c r="R187" s="25">
        <f t="shared" ca="1" si="200"/>
        <v>40</v>
      </c>
      <c r="S187" s="25" cm="1">
        <f t="array" aca="1" ref="S187" ca="1">INDIRECT("Unterhalt!"&amp;$AB$6&amp;AA187)</f>
        <v>50</v>
      </c>
      <c r="T187" s="25">
        <f ca="1">IF(O187=Auswahllisten!$E$26,0.8,IF(O187=Auswahllisten!$E$27,1,IF(O187=Auswahllisten!$E$29,1.2,0)))</f>
        <v>0.8</v>
      </c>
      <c r="U187" s="25">
        <f t="shared" ca="1" si="201"/>
        <v>40</v>
      </c>
      <c r="V187" s="25">
        <f t="shared" ca="1" si="165"/>
        <v>0</v>
      </c>
      <c r="W187" s="25" t="b">
        <f ca="1">($L$185=$U$5)</f>
        <v>0</v>
      </c>
      <c r="X187" s="25">
        <f t="shared" ca="1" si="202"/>
        <v>0</v>
      </c>
      <c r="Z187" s="1">
        <f t="shared" si="167"/>
        <v>54</v>
      </c>
      <c r="AA187" s="1">
        <v>31</v>
      </c>
      <c r="AB187" s="1">
        <v>-1</v>
      </c>
    </row>
    <row r="188" spans="1:28">
      <c r="A188" s="545"/>
      <c r="B188" s="94"/>
      <c r="C188" s="142" t="s">
        <v>335</v>
      </c>
      <c r="D188" s="93" t="str" cm="1">
        <f t="array" aca="1" ref="D188" ca="1">INDIRECT("Vergleich!"&amp;$G$2&amp;Z188)</f>
        <v>mittel</v>
      </c>
      <c r="E188" s="4" cm="1">
        <f t="array" aca="1" ref="E188" ca="1">INDIRECT("Unterhalt!"&amp;$J$5&amp;AA188)</f>
        <v>0</v>
      </c>
      <c r="F188" s="61">
        <f ca="1">IF(D188=Auswahllisten!$E$26,0.8,IF(D188=Auswahllisten!$E$27,1,IF(D188=Auswahllisten!$E$29,1.2,0)))</f>
        <v>1</v>
      </c>
      <c r="G188" s="61">
        <f t="shared" ca="1" si="196"/>
        <v>0</v>
      </c>
      <c r="H188" s="61" cm="1">
        <f t="array" aca="1" ref="H188" ca="1">INDIRECT("Unterhalt!"&amp;$J$6&amp;AA188)</f>
        <v>0</v>
      </c>
      <c r="I188" s="61">
        <f ca="1">IF(D188=Auswahllisten!$E$26,0.8,IF(D188=Auswahllisten!$E$27,1,IF(D188=Auswahllisten!$E$29,1.2,0)))</f>
        <v>1</v>
      </c>
      <c r="J188" s="61">
        <f t="shared" ca="1" si="197"/>
        <v>0</v>
      </c>
      <c r="K188" s="61">
        <f t="shared" ca="1" si="198"/>
        <v>0</v>
      </c>
      <c r="L188" s="61" t="b">
        <f ca="1">($L$185=$C$5)</f>
        <v>0</v>
      </c>
      <c r="M188" s="216">
        <f t="shared" ca="1" si="199"/>
        <v>0</v>
      </c>
      <c r="O188" s="4" t="str" cm="1">
        <f t="array" aca="1" ref="O188" ca="1">INDIRECT("Vergleich!"&amp;$Y$2&amp;Z188)</f>
        <v>gering</v>
      </c>
      <c r="P188" s="4" cm="1">
        <f t="array" aca="1" ref="P188" ca="1">INDIRECT("Unterhalt!"&amp;$AB$5&amp;AA188)</f>
        <v>0</v>
      </c>
      <c r="Q188" s="61">
        <f ca="1">IF(O188=Auswahllisten!$E$26,0.8,IF(O188=Auswahllisten!$E$27,1,IF(O188=Auswahllisten!$E$29,1.2,0)))</f>
        <v>0.8</v>
      </c>
      <c r="R188" s="61">
        <f t="shared" ca="1" si="200"/>
        <v>0</v>
      </c>
      <c r="S188" s="61" cm="1">
        <f t="array" aca="1" ref="S188" ca="1">INDIRECT("Unterhalt!"&amp;$AB$6&amp;AA188)</f>
        <v>0</v>
      </c>
      <c r="T188" s="61">
        <f ca="1">IF(O188=Auswahllisten!$E$26,0.8,IF(O188=Auswahllisten!$E$27,1,IF(O188=Auswahllisten!$E$29,1.2,0)))</f>
        <v>0.8</v>
      </c>
      <c r="U188" s="61">
        <f t="shared" ca="1" si="201"/>
        <v>0</v>
      </c>
      <c r="V188" s="61">
        <f t="shared" ca="1" si="165"/>
        <v>0</v>
      </c>
      <c r="W188" s="61" t="b">
        <f ca="1">($L$185=$U$5)</f>
        <v>0</v>
      </c>
      <c r="X188" s="61">
        <f t="shared" ca="1" si="202"/>
        <v>0</v>
      </c>
      <c r="Z188" s="1">
        <f t="shared" si="167"/>
        <v>54</v>
      </c>
      <c r="AA188" s="1">
        <v>32</v>
      </c>
      <c r="AB188" s="1">
        <v>-1</v>
      </c>
    </row>
    <row r="189" spans="1:28">
      <c r="A189" s="8"/>
      <c r="M189" s="69"/>
      <c r="Z189" s="1">
        <f t="shared" si="167"/>
        <v>54</v>
      </c>
      <c r="AA189" s="1">
        <v>33</v>
      </c>
      <c r="AB189" s="1">
        <v>-1</v>
      </c>
    </row>
    <row r="190" spans="1:28">
      <c r="A190" s="8" t="str">
        <f>ROMAN(7)</f>
        <v>VII</v>
      </c>
      <c r="B190" s="8" t="s">
        <v>143</v>
      </c>
      <c r="L190" s="155">
        <v>7</v>
      </c>
      <c r="M190" s="69"/>
      <c r="Z190" s="1">
        <f t="shared" si="167"/>
        <v>54</v>
      </c>
      <c r="AA190" s="1">
        <v>34</v>
      </c>
      <c r="AB190" s="1">
        <v>-1</v>
      </c>
    </row>
    <row r="191" spans="1:28">
      <c r="A191" s="117"/>
      <c r="B191" s="55"/>
      <c r="C191" s="5" t="s">
        <v>255</v>
      </c>
      <c r="D191" s="25" t="str" cm="1">
        <f t="array" aca="1" ref="D191" ca="1">INDIRECT("Vergleich!"&amp;$G$2&amp;Z191)</f>
        <v>mittel</v>
      </c>
      <c r="E191" s="25" cm="1">
        <f t="array" aca="1" ref="E191" ca="1">INDIRECT("Unterhalt!"&amp;$J$5&amp;AA191)</f>
        <v>680</v>
      </c>
      <c r="F191" s="25">
        <f ca="1">IF(D191=Auswahllisten!$E$26,0.8,IF(D191=Auswahllisten!$E$27,1,IF(D191=Auswahllisten!$E$29,1.2,0)))</f>
        <v>1</v>
      </c>
      <c r="G191" s="25">
        <f t="shared" ref="G191:G193" ca="1" si="203">E191*F191</f>
        <v>680</v>
      </c>
      <c r="H191" s="25" cm="1">
        <f t="array" aca="1" ref="H191" ca="1">INDIRECT("Unterhalt!"&amp;$J$6&amp;AA191)</f>
        <v>680</v>
      </c>
      <c r="I191" s="25">
        <f ca="1">IF(D191=Auswahllisten!$E$26,0.8,IF(D191=Auswahllisten!$E$27,1,IF(D191=Auswahllisten!$E$29,1.2,0)))</f>
        <v>1</v>
      </c>
      <c r="J191" s="25">
        <f t="shared" ref="J191:J193" ca="1" si="204">H191*I191</f>
        <v>680</v>
      </c>
      <c r="K191" s="25">
        <f t="shared" ref="K191:K193" ca="1" si="205">IF($C$5=0,0,G191+(J191-G191)*($C$6-$F$5)/($F$6-$F$5))</f>
        <v>0</v>
      </c>
      <c r="L191" s="25" t="b">
        <f ca="1">($L$190=$C$5)</f>
        <v>0</v>
      </c>
      <c r="M191" s="162">
        <f t="shared" ref="M191:M193" ca="1" si="206">ROUND(K191*L191,AB191)</f>
        <v>0</v>
      </c>
      <c r="O191" s="25" t="str" cm="1">
        <f t="array" aca="1" ref="O191" ca="1">INDIRECT("Vergleich!"&amp;$Y$2&amp;Z191)</f>
        <v>gering</v>
      </c>
      <c r="P191" s="25" cm="1">
        <f t="array" aca="1" ref="P191" ca="1">INDIRECT("Unterhalt!"&amp;$AB$5&amp;AA191)</f>
        <v>680</v>
      </c>
      <c r="Q191" s="25">
        <f ca="1">IF(O191=Auswahllisten!$E$26,0.8,IF(O191=Auswahllisten!$E$27,1,IF(O191=Auswahllisten!$E$29,1.2,0)))</f>
        <v>0.8</v>
      </c>
      <c r="R191" s="25">
        <f t="shared" ref="R191:R193" ca="1" si="207">P191*Q191</f>
        <v>544</v>
      </c>
      <c r="S191" s="25" cm="1">
        <f t="array" aca="1" ref="S191" ca="1">INDIRECT("Unterhalt!"&amp;$AB$6&amp;AA191)</f>
        <v>680</v>
      </c>
      <c r="T191" s="25">
        <f ca="1">IF(O191=Auswahllisten!$E$26,0.8,IF(O191=Auswahllisten!$E$27,1,IF(O191=Auswahllisten!$E$29,1.2,0)))</f>
        <v>0.8</v>
      </c>
      <c r="U191" s="25">
        <f t="shared" ref="U191:U193" ca="1" si="208">S191*T191</f>
        <v>544</v>
      </c>
      <c r="V191" s="25">
        <f t="shared" ca="1" si="165"/>
        <v>0</v>
      </c>
      <c r="W191" s="25" t="b">
        <f ca="1">($L$190=$U$5)</f>
        <v>0</v>
      </c>
      <c r="X191" s="25">
        <f t="shared" ref="X191:X193" ca="1" si="209">ROUND(V191*W191,AB191)</f>
        <v>0</v>
      </c>
      <c r="Z191" s="1">
        <f t="shared" si="167"/>
        <v>54</v>
      </c>
      <c r="AA191" s="1">
        <v>35</v>
      </c>
      <c r="AB191" s="1">
        <v>-1</v>
      </c>
    </row>
    <row r="192" spans="1:28">
      <c r="A192" s="546"/>
      <c r="B192" s="71"/>
      <c r="C192" s="2" t="s">
        <v>302</v>
      </c>
      <c r="D192" s="16" t="str" cm="1">
        <f t="array" aca="1" ref="D192" ca="1">INDIRECT("Vergleich!"&amp;$G$2&amp;Z192)</f>
        <v>mittel</v>
      </c>
      <c r="E192" s="25" cm="1">
        <f t="array" aca="1" ref="E192" ca="1">INDIRECT("Unterhalt!"&amp;$J$5&amp;AA192)</f>
        <v>50</v>
      </c>
      <c r="F192" s="25">
        <f ca="1">IF(D192=Auswahllisten!$E$26,0.8,IF(D192=Auswahllisten!$E$27,1,IF(D192=Auswahllisten!$E$29,1.2,0)))</f>
        <v>1</v>
      </c>
      <c r="G192" s="25">
        <f t="shared" ca="1" si="203"/>
        <v>50</v>
      </c>
      <c r="H192" s="25" cm="1">
        <f t="array" aca="1" ref="H192" ca="1">INDIRECT("Unterhalt!"&amp;$J$6&amp;AA192)</f>
        <v>50</v>
      </c>
      <c r="I192" s="25">
        <f ca="1">IF(D192=Auswahllisten!$E$26,0.8,IF(D192=Auswahllisten!$E$27,1,IF(D192=Auswahllisten!$E$29,1.2,0)))</f>
        <v>1</v>
      </c>
      <c r="J192" s="25">
        <f t="shared" ca="1" si="204"/>
        <v>50</v>
      </c>
      <c r="K192" s="25">
        <f t="shared" ca="1" si="205"/>
        <v>0</v>
      </c>
      <c r="L192" s="25" t="b">
        <f ca="1">($L$190=$C$5)</f>
        <v>0</v>
      </c>
      <c r="M192" s="162">
        <f t="shared" ca="1" si="206"/>
        <v>0</v>
      </c>
      <c r="O192" s="25" t="str" cm="1">
        <f t="array" aca="1" ref="O192" ca="1">INDIRECT("Vergleich!"&amp;$Y$2&amp;Z192)</f>
        <v>gering</v>
      </c>
      <c r="P192" s="25" cm="1">
        <f t="array" aca="1" ref="P192" ca="1">INDIRECT("Unterhalt!"&amp;$AB$5&amp;AA192)</f>
        <v>50</v>
      </c>
      <c r="Q192" s="25">
        <f ca="1">IF(O192=Auswahllisten!$E$26,0.8,IF(O192=Auswahllisten!$E$27,1,IF(O192=Auswahllisten!$E$29,1.2,0)))</f>
        <v>0.8</v>
      </c>
      <c r="R192" s="25">
        <f t="shared" ca="1" si="207"/>
        <v>40</v>
      </c>
      <c r="S192" s="25" cm="1">
        <f t="array" aca="1" ref="S192" ca="1">INDIRECT("Unterhalt!"&amp;$AB$6&amp;AA192)</f>
        <v>50</v>
      </c>
      <c r="T192" s="25">
        <f ca="1">IF(O192=Auswahllisten!$E$26,0.8,IF(O192=Auswahllisten!$E$27,1,IF(O192=Auswahllisten!$E$29,1.2,0)))</f>
        <v>0.8</v>
      </c>
      <c r="U192" s="25">
        <f t="shared" ca="1" si="208"/>
        <v>40</v>
      </c>
      <c r="V192" s="25">
        <f t="shared" ca="1" si="165"/>
        <v>0</v>
      </c>
      <c r="W192" s="25" t="b">
        <f ca="1">($L$190=$U$5)</f>
        <v>0</v>
      </c>
      <c r="X192" s="25">
        <f t="shared" ca="1" si="209"/>
        <v>0</v>
      </c>
      <c r="Z192" s="1">
        <f t="shared" si="167"/>
        <v>54</v>
      </c>
      <c r="AA192" s="1">
        <v>36</v>
      </c>
      <c r="AB192" s="1">
        <v>-1</v>
      </c>
    </row>
    <row r="193" spans="1:28">
      <c r="A193" s="545"/>
      <c r="B193" s="94"/>
      <c r="C193" s="142" t="s">
        <v>335</v>
      </c>
      <c r="D193" s="93" t="str" cm="1">
        <f t="array" aca="1" ref="D193" ca="1">INDIRECT("Vergleich!"&amp;$G$2&amp;Z193)</f>
        <v>mittel</v>
      </c>
      <c r="E193" s="61" cm="1">
        <f t="array" aca="1" ref="E193" ca="1">INDIRECT("Unterhalt!"&amp;$J$5&amp;AA193)</f>
        <v>0</v>
      </c>
      <c r="F193" s="61">
        <f ca="1">IF(D193=Auswahllisten!$E$26,0.8,IF(D193=Auswahllisten!$E$27,1,IF(D193=Auswahllisten!$E$29,1.2,0)))</f>
        <v>1</v>
      </c>
      <c r="G193" s="61">
        <f t="shared" ca="1" si="203"/>
        <v>0</v>
      </c>
      <c r="H193" s="61" cm="1">
        <f t="array" aca="1" ref="H193" ca="1">INDIRECT("Unterhalt!"&amp;$J$6&amp;AA193)</f>
        <v>0</v>
      </c>
      <c r="I193" s="61">
        <f ca="1">IF(D193=Auswahllisten!$E$26,0.8,IF(D193=Auswahllisten!$E$27,1,IF(D193=Auswahllisten!$E$29,1.2,0)))</f>
        <v>1</v>
      </c>
      <c r="J193" s="61">
        <f t="shared" ca="1" si="204"/>
        <v>0</v>
      </c>
      <c r="K193" s="61">
        <f t="shared" ca="1" si="205"/>
        <v>0</v>
      </c>
      <c r="L193" s="61" t="b">
        <f ca="1">($L$190=$C$5)</f>
        <v>0</v>
      </c>
      <c r="M193" s="216">
        <f t="shared" ca="1" si="206"/>
        <v>0</v>
      </c>
      <c r="O193" s="61" t="str" cm="1">
        <f t="array" aca="1" ref="O193" ca="1">INDIRECT("Vergleich!"&amp;$Y$2&amp;Z193)</f>
        <v>gering</v>
      </c>
      <c r="P193" s="61" cm="1">
        <f t="array" aca="1" ref="P193" ca="1">INDIRECT("Unterhalt!"&amp;$AB$5&amp;AA193)</f>
        <v>0</v>
      </c>
      <c r="Q193" s="61">
        <f ca="1">IF(O193=Auswahllisten!$E$26,0.8,IF(O193=Auswahllisten!$E$27,1,IF(O193=Auswahllisten!$E$29,1.2,0)))</f>
        <v>0.8</v>
      </c>
      <c r="R193" s="61">
        <f t="shared" ca="1" si="207"/>
        <v>0</v>
      </c>
      <c r="S193" s="61" cm="1">
        <f t="array" aca="1" ref="S193" ca="1">INDIRECT("Unterhalt!"&amp;$AB$6&amp;AA193)</f>
        <v>0</v>
      </c>
      <c r="T193" s="61">
        <f ca="1">IF(O193=Auswahllisten!$E$26,0.8,IF(O193=Auswahllisten!$E$27,1,IF(O193=Auswahllisten!$E$29,1.2,0)))</f>
        <v>0.8</v>
      </c>
      <c r="U193" s="61">
        <f t="shared" ca="1" si="208"/>
        <v>0</v>
      </c>
      <c r="V193" s="61">
        <f t="shared" ca="1" si="165"/>
        <v>0</v>
      </c>
      <c r="W193" s="61" t="b">
        <f ca="1">($L$190=$U$5)</f>
        <v>0</v>
      </c>
      <c r="X193" s="61">
        <f t="shared" ca="1" si="209"/>
        <v>0</v>
      </c>
      <c r="Z193" s="1">
        <f t="shared" si="167"/>
        <v>54</v>
      </c>
      <c r="AA193" s="1">
        <v>37</v>
      </c>
      <c r="AB193" s="1">
        <v>-1</v>
      </c>
    </row>
    <row r="194" spans="1:28">
      <c r="A194" s="8"/>
      <c r="M194" s="69"/>
      <c r="Z194" s="1">
        <f t="shared" si="167"/>
        <v>54</v>
      </c>
      <c r="AA194" s="1">
        <v>38</v>
      </c>
      <c r="AB194" s="1">
        <v>-1</v>
      </c>
    </row>
    <row r="195" spans="1:28">
      <c r="A195" s="8" t="str">
        <f>ROMAN(8)</f>
        <v>VIII</v>
      </c>
      <c r="B195" s="8" t="s">
        <v>1810</v>
      </c>
      <c r="L195" s="155">
        <v>14</v>
      </c>
      <c r="M195" s="69"/>
      <c r="Z195" s="1">
        <f t="shared" si="167"/>
        <v>54</v>
      </c>
      <c r="AA195" s="1">
        <v>39</v>
      </c>
      <c r="AB195" s="1">
        <v>-1</v>
      </c>
    </row>
    <row r="196" spans="1:28">
      <c r="A196" s="117"/>
      <c r="B196" s="55"/>
      <c r="C196" s="5" t="s">
        <v>255</v>
      </c>
      <c r="D196" s="25" t="str" cm="1">
        <f t="array" aca="1" ref="D196" ca="1">INDIRECT("Vergleich!"&amp;$G$2&amp;Z196)</f>
        <v>mittel</v>
      </c>
      <c r="E196" s="25" cm="1">
        <f t="array" aca="1" ref="E196" ca="1">INDIRECT("Unterhalt!"&amp;$J$5&amp;AA196)</f>
        <v>680</v>
      </c>
      <c r="F196" s="25">
        <f ca="1">IF(D196=Auswahllisten!$E$26,0.8,IF(D196=Auswahllisten!$E$27,1,IF(D196=Auswahllisten!$E$29,1.2,0)))</f>
        <v>1</v>
      </c>
      <c r="G196" s="25">
        <f t="shared" ref="G196:G198" ca="1" si="210">E196*F196</f>
        <v>680</v>
      </c>
      <c r="H196" s="25" cm="1">
        <f t="array" aca="1" ref="H196" ca="1">INDIRECT("Unterhalt!"&amp;$J$6&amp;AA196)</f>
        <v>680</v>
      </c>
      <c r="I196" s="25">
        <f ca="1">IF(D196=Auswahllisten!$E$26,0.8,IF(D196=Auswahllisten!$E$27,1,IF(D196=Auswahllisten!$E$29,1.2,0)))</f>
        <v>1</v>
      </c>
      <c r="J196" s="25">
        <f t="shared" ref="J196:J198" ca="1" si="211">H196*I196</f>
        <v>680</v>
      </c>
      <c r="K196" s="25">
        <f t="shared" ref="K196:K198" ca="1" si="212">IF($C$5=0,0,G196+(J196-G196)*($C$6-$F$5)/($F$6-$F$5))</f>
        <v>0</v>
      </c>
      <c r="L196" s="25" t="b">
        <f ca="1">($L$195=$C$5)</f>
        <v>0</v>
      </c>
      <c r="M196" s="162">
        <f t="shared" ref="M196:M198" ca="1" si="213">ROUND(K196*L196,AB196)</f>
        <v>0</v>
      </c>
      <c r="O196" s="25" t="str" cm="1">
        <f t="array" aca="1" ref="O196" ca="1">INDIRECT("Vergleich!"&amp;$Y$2&amp;Z196)</f>
        <v>gering</v>
      </c>
      <c r="P196" s="25" cm="1">
        <f t="array" aca="1" ref="P196" ca="1">INDIRECT("Unterhalt!"&amp;$AB$5&amp;AA196)</f>
        <v>680</v>
      </c>
      <c r="Q196" s="25">
        <f ca="1">IF(O196=Auswahllisten!$E$26,0.8,IF(O196=Auswahllisten!$E$27,1,IF(O196=Auswahllisten!$E$29,1.2,0)))</f>
        <v>0.8</v>
      </c>
      <c r="R196" s="25">
        <f t="shared" ref="R196:R198" ca="1" si="214">P196*Q196</f>
        <v>544</v>
      </c>
      <c r="S196" s="25" cm="1">
        <f t="array" aca="1" ref="S196" ca="1">INDIRECT("Unterhalt!"&amp;$AB$6&amp;AA196)</f>
        <v>680</v>
      </c>
      <c r="T196" s="25">
        <f ca="1">IF(O196=Auswahllisten!$E$26,0.8,IF(O196=Auswahllisten!$E$27,1,IF(O196=Auswahllisten!$E$29,1.2,0)))</f>
        <v>0.8</v>
      </c>
      <c r="U196" s="25">
        <f t="shared" ref="U196:U198" ca="1" si="215">S196*T196</f>
        <v>544</v>
      </c>
      <c r="V196" s="25">
        <f t="shared" ca="1" si="165"/>
        <v>0</v>
      </c>
      <c r="W196" s="25" t="b">
        <f ca="1">($L$195=$U$5)</f>
        <v>0</v>
      </c>
      <c r="X196" s="25">
        <f t="shared" ref="X196:X198" ca="1" si="216">ROUND(V196*W196,AB196)</f>
        <v>0</v>
      </c>
      <c r="Z196" s="1">
        <f t="shared" si="167"/>
        <v>54</v>
      </c>
      <c r="AA196" s="1">
        <v>40</v>
      </c>
      <c r="AB196" s="1">
        <v>-1</v>
      </c>
    </row>
    <row r="197" spans="1:28">
      <c r="A197" s="546"/>
      <c r="B197" s="71"/>
      <c r="C197" s="2" t="s">
        <v>302</v>
      </c>
      <c r="D197" s="16" t="str" cm="1">
        <f t="array" aca="1" ref="D197" ca="1">INDIRECT("Vergleich!"&amp;$G$2&amp;Z197)</f>
        <v>mittel</v>
      </c>
      <c r="E197" s="25" cm="1">
        <f t="array" aca="1" ref="E197" ca="1">INDIRECT("Unterhalt!"&amp;$J$5&amp;AA197)</f>
        <v>50</v>
      </c>
      <c r="F197" s="25">
        <f ca="1">IF(D197=Auswahllisten!$E$26,0.8,IF(D197=Auswahllisten!$E$27,1,IF(D197=Auswahllisten!$E$29,1.2,0)))</f>
        <v>1</v>
      </c>
      <c r="G197" s="25">
        <f t="shared" ca="1" si="210"/>
        <v>50</v>
      </c>
      <c r="H197" s="25" cm="1">
        <f t="array" aca="1" ref="H197" ca="1">INDIRECT("Unterhalt!"&amp;$J$6&amp;AA197)</f>
        <v>50</v>
      </c>
      <c r="I197" s="25">
        <f ca="1">IF(D197=Auswahllisten!$E$26,0.8,IF(D197=Auswahllisten!$E$27,1,IF(D197=Auswahllisten!$E$29,1.2,0)))</f>
        <v>1</v>
      </c>
      <c r="J197" s="25">
        <f t="shared" ca="1" si="211"/>
        <v>50</v>
      </c>
      <c r="K197" s="25">
        <f t="shared" ca="1" si="212"/>
        <v>0</v>
      </c>
      <c r="L197" s="25" t="b">
        <f t="shared" ref="L197:L198" ca="1" si="217">($L$195=$C$5)</f>
        <v>0</v>
      </c>
      <c r="M197" s="162">
        <f t="shared" ca="1" si="213"/>
        <v>0</v>
      </c>
      <c r="O197" s="25" t="str" cm="1">
        <f t="array" aca="1" ref="O197" ca="1">INDIRECT("Vergleich!"&amp;$Y$2&amp;Z197)</f>
        <v>gering</v>
      </c>
      <c r="P197" s="25" cm="1">
        <f t="array" aca="1" ref="P197" ca="1">INDIRECT("Unterhalt!"&amp;$AB$5&amp;AA197)</f>
        <v>50</v>
      </c>
      <c r="Q197" s="25">
        <f ca="1">IF(O197=Auswahllisten!$E$26,0.8,IF(O197=Auswahllisten!$E$27,1,IF(O197=Auswahllisten!$E$29,1.2,0)))</f>
        <v>0.8</v>
      </c>
      <c r="R197" s="25">
        <f t="shared" ca="1" si="214"/>
        <v>40</v>
      </c>
      <c r="S197" s="25" cm="1">
        <f t="array" aca="1" ref="S197" ca="1">INDIRECT("Unterhalt!"&amp;$AB$6&amp;AA197)</f>
        <v>50</v>
      </c>
      <c r="T197" s="25">
        <f ca="1">IF(O197=Auswahllisten!$E$26,0.8,IF(O197=Auswahllisten!$E$27,1,IF(O197=Auswahllisten!$E$29,1.2,0)))</f>
        <v>0.8</v>
      </c>
      <c r="U197" s="25">
        <f t="shared" ca="1" si="215"/>
        <v>40</v>
      </c>
      <c r="V197" s="25">
        <f t="shared" ca="1" si="165"/>
        <v>0</v>
      </c>
      <c r="W197" s="25" t="b">
        <f ca="1">($L$195=$U$5)</f>
        <v>0</v>
      </c>
      <c r="X197" s="25">
        <f t="shared" ca="1" si="216"/>
        <v>0</v>
      </c>
      <c r="Z197" s="1">
        <f t="shared" si="167"/>
        <v>54</v>
      </c>
      <c r="AA197" s="1">
        <v>41</v>
      </c>
      <c r="AB197" s="1">
        <v>-1</v>
      </c>
    </row>
    <row r="198" spans="1:28">
      <c r="A198" s="545"/>
      <c r="B198" s="94"/>
      <c r="C198" s="142" t="s">
        <v>335</v>
      </c>
      <c r="D198" s="93" t="str" cm="1">
        <f t="array" aca="1" ref="D198" ca="1">INDIRECT("Vergleich!"&amp;$G$2&amp;Z198)</f>
        <v>mittel</v>
      </c>
      <c r="E198" s="61" cm="1">
        <f t="array" aca="1" ref="E198" ca="1">INDIRECT("Unterhalt!"&amp;$J$5&amp;AA198)</f>
        <v>0</v>
      </c>
      <c r="F198" s="61">
        <f ca="1">IF(D198=Auswahllisten!$E$26,0.8,IF(D198=Auswahllisten!$E$27,1,IF(D198=Auswahllisten!$E$29,1.2,0)))</f>
        <v>1</v>
      </c>
      <c r="G198" s="61">
        <f t="shared" ca="1" si="210"/>
        <v>0</v>
      </c>
      <c r="H198" s="61" cm="1">
        <f t="array" aca="1" ref="H198" ca="1">INDIRECT("Unterhalt!"&amp;$J$6&amp;AA198)</f>
        <v>0</v>
      </c>
      <c r="I198" s="61">
        <f ca="1">IF(D198=Auswahllisten!$E$26,0.8,IF(D198=Auswahllisten!$E$27,1,IF(D198=Auswahllisten!$E$29,1.2,0)))</f>
        <v>1</v>
      </c>
      <c r="J198" s="61">
        <f t="shared" ca="1" si="211"/>
        <v>0</v>
      </c>
      <c r="K198" s="61">
        <f t="shared" ca="1" si="212"/>
        <v>0</v>
      </c>
      <c r="L198" s="61" t="b">
        <f t="shared" ca="1" si="217"/>
        <v>0</v>
      </c>
      <c r="M198" s="216">
        <f t="shared" ca="1" si="213"/>
        <v>0</v>
      </c>
      <c r="O198" s="61" t="str" cm="1">
        <f t="array" aca="1" ref="O198" ca="1">INDIRECT("Vergleich!"&amp;$Y$2&amp;Z198)</f>
        <v>gering</v>
      </c>
      <c r="P198" s="61" cm="1">
        <f t="array" aca="1" ref="P198" ca="1">INDIRECT("Unterhalt!"&amp;$AB$5&amp;AA198)</f>
        <v>0</v>
      </c>
      <c r="Q198" s="61">
        <f ca="1">IF(O198=Auswahllisten!$E$26,0.8,IF(O198=Auswahllisten!$E$27,1,IF(O198=Auswahllisten!$E$29,1.2,0)))</f>
        <v>0.8</v>
      </c>
      <c r="R198" s="61">
        <f t="shared" ca="1" si="214"/>
        <v>0</v>
      </c>
      <c r="S198" s="61" cm="1">
        <f t="array" aca="1" ref="S198" ca="1">INDIRECT("Unterhalt!"&amp;$AB$6&amp;AA198)</f>
        <v>0</v>
      </c>
      <c r="T198" s="61">
        <f ca="1">IF(O198=Auswahllisten!$E$26,0.8,IF(O198=Auswahllisten!$E$27,1,IF(O198=Auswahllisten!$E$29,1.2,0)))</f>
        <v>0.8</v>
      </c>
      <c r="U198" s="61">
        <f t="shared" ca="1" si="215"/>
        <v>0</v>
      </c>
      <c r="V198" s="61">
        <f t="shared" ca="1" si="165"/>
        <v>0</v>
      </c>
      <c r="W198" s="61" t="b">
        <f ca="1">($L$195=$U$5)</f>
        <v>0</v>
      </c>
      <c r="X198" s="61">
        <f t="shared" ca="1" si="216"/>
        <v>0</v>
      </c>
      <c r="Z198" s="1">
        <f t="shared" si="167"/>
        <v>54</v>
      </c>
      <c r="AA198" s="1">
        <v>42</v>
      </c>
      <c r="AB198" s="1">
        <v>-1</v>
      </c>
    </row>
    <row r="199" spans="1:28">
      <c r="A199" s="8"/>
      <c r="M199" s="69"/>
      <c r="Z199" s="1">
        <f t="shared" si="167"/>
        <v>54</v>
      </c>
      <c r="AA199" s="1">
        <v>43</v>
      </c>
      <c r="AB199" s="1">
        <v>-1</v>
      </c>
    </row>
    <row r="200" spans="1:28">
      <c r="A200" s="8" t="str">
        <f>ROMAN(9)</f>
        <v>IX</v>
      </c>
      <c r="B200" s="8" t="s">
        <v>32</v>
      </c>
      <c r="L200" s="394"/>
      <c r="M200" s="69"/>
      <c r="W200" s="394"/>
      <c r="Z200" s="1">
        <f>Z194</f>
        <v>54</v>
      </c>
      <c r="AA200" s="1">
        <v>44</v>
      </c>
      <c r="AB200" s="1">
        <v>-1</v>
      </c>
    </row>
    <row r="201" spans="1:28">
      <c r="A201" s="117"/>
      <c r="B201" s="55"/>
      <c r="C201" s="5" t="s">
        <v>258</v>
      </c>
      <c r="D201" s="25" t="str" cm="1">
        <f t="array" aca="1" ref="D201" ca="1">INDIRECT("Vergleich!"&amp;$G$2&amp;Z201)</f>
        <v>mittel</v>
      </c>
      <c r="E201" s="25" cm="1">
        <f t="array" aca="1" ref="E201" ca="1">INDIRECT("Unterhalt!"&amp;$J$5&amp;AA201)</f>
        <v>250</v>
      </c>
      <c r="F201" s="25">
        <f ca="1">IF(D201=Auswahllisten!$E$26,0.8,IF(D201=Auswahllisten!$E$27,1,IF(D201=Auswahllisten!$E$29,1.2,0)))</f>
        <v>1</v>
      </c>
      <c r="G201" s="25">
        <f t="shared" ref="G201:G202" ca="1" si="218">E201*F201</f>
        <v>250</v>
      </c>
      <c r="H201" s="25" cm="1">
        <f t="array" aca="1" ref="H201" ca="1">INDIRECT("Unterhalt!"&amp;$J$6&amp;AA201)</f>
        <v>250</v>
      </c>
      <c r="I201" s="25">
        <f ca="1">IF(D201=Auswahllisten!$E$26,0.8,IF(D201=Auswahllisten!$E$27,1,IF(D201=Auswahllisten!$E$29,1.2,0)))</f>
        <v>1</v>
      </c>
      <c r="J201" s="25">
        <f t="shared" ref="J201:J202" ca="1" si="219">H201*I201</f>
        <v>250</v>
      </c>
      <c r="K201" s="25">
        <f t="shared" ref="K201:K202" ca="1" si="220">IF($C$5=0,0,G201+(J201-G201)*($C$6-$F$5)/($F$6-$F$5))</f>
        <v>0</v>
      </c>
      <c r="L201" s="25" t="b">
        <f ca="1">OR($C$5=10,$C$5=11,$C$5=12,$C$5=13)</f>
        <v>0</v>
      </c>
      <c r="M201" s="162">
        <f t="shared" ref="M201:M202" ca="1" si="221">ROUND(K201*L201,AB201)</f>
        <v>0</v>
      </c>
      <c r="O201" s="25" t="str" cm="1">
        <f t="array" aca="1" ref="O201" ca="1">INDIRECT("Vergleich!"&amp;$Y$2&amp;Z201)</f>
        <v>gering</v>
      </c>
      <c r="P201" s="25" cm="1">
        <f t="array" aca="1" ref="P201" ca="1">INDIRECT("Unterhalt!"&amp;$AB$5&amp;AA201)</f>
        <v>250</v>
      </c>
      <c r="Q201" s="25">
        <f ca="1">IF(O201=Auswahllisten!$E$26,0.8,IF(O201=Auswahllisten!$E$27,1,IF(O201=Auswahllisten!$E$29,1.2,0)))</f>
        <v>0.8</v>
      </c>
      <c r="R201" s="25">
        <f t="shared" ref="R201:R202" ca="1" si="222">P201*Q201</f>
        <v>200</v>
      </c>
      <c r="S201" s="25" cm="1">
        <f t="array" aca="1" ref="S201" ca="1">INDIRECT("Unterhalt!"&amp;$AB$6&amp;AA201)</f>
        <v>250</v>
      </c>
      <c r="T201" s="25">
        <f ca="1">IF(O201=Auswahllisten!$E$26,0.8,IF(O201=Auswahllisten!$E$27,1,IF(O201=Auswahllisten!$E$29,1.2,0)))</f>
        <v>0.8</v>
      </c>
      <c r="U201" s="25">
        <f t="shared" ref="U201:U202" ca="1" si="223">S201*T201</f>
        <v>200</v>
      </c>
      <c r="V201" s="25">
        <f t="shared" ca="1" si="165"/>
        <v>0</v>
      </c>
      <c r="W201" s="25" t="b">
        <f ca="1">OR($U$5=10,$U$5=11,$U$5=12,$U$5=13)</f>
        <v>0</v>
      </c>
      <c r="X201" s="25">
        <f t="shared" ref="X201:X202" ca="1" si="224">ROUND(V201*W201,AB201)</f>
        <v>0</v>
      </c>
      <c r="Z201" s="1">
        <f t="shared" ref="Z201:Z207" si="225">Z200</f>
        <v>54</v>
      </c>
      <c r="AA201" s="1">
        <v>45</v>
      </c>
      <c r="AB201" s="1">
        <v>-1</v>
      </c>
    </row>
    <row r="202" spans="1:28">
      <c r="A202" s="545"/>
      <c r="B202" s="94"/>
      <c r="C202" s="142" t="s">
        <v>335</v>
      </c>
      <c r="D202" s="93" t="str" cm="1">
        <f t="array" aca="1" ref="D202" ca="1">INDIRECT("Vergleich!"&amp;$G$2&amp;Z202)</f>
        <v>mittel</v>
      </c>
      <c r="E202" s="61" cm="1">
        <f t="array" aca="1" ref="E202" ca="1">INDIRECT("Unterhalt!"&amp;$J$5&amp;AA202)</f>
        <v>0</v>
      </c>
      <c r="F202" s="61">
        <f ca="1">IF(D202=Auswahllisten!$E$26,0.8,IF(D202=Auswahllisten!$E$27,1,IF(D202=Auswahllisten!$E$29,1.2,0)))</f>
        <v>1</v>
      </c>
      <c r="G202" s="61">
        <f t="shared" ca="1" si="218"/>
        <v>0</v>
      </c>
      <c r="H202" s="61" cm="1">
        <f t="array" aca="1" ref="H202" ca="1">INDIRECT("Unterhalt!"&amp;$J$6&amp;AA202)</f>
        <v>0</v>
      </c>
      <c r="I202" s="61">
        <f ca="1">IF(D202=Auswahllisten!$E$26,0.8,IF(D202=Auswahllisten!$E$27,1,IF(D202=Auswahllisten!$E$29,1.2,0)))</f>
        <v>1</v>
      </c>
      <c r="J202" s="61">
        <f t="shared" ca="1" si="219"/>
        <v>0</v>
      </c>
      <c r="K202" s="61">
        <f t="shared" ca="1" si="220"/>
        <v>0</v>
      </c>
      <c r="L202" s="61" t="b">
        <f ca="1">OR($C$5=10,$C$5=11,$C$5=12,$C$5=13)</f>
        <v>0</v>
      </c>
      <c r="M202" s="216">
        <f t="shared" ca="1" si="221"/>
        <v>0</v>
      </c>
      <c r="O202" s="61" t="str" cm="1">
        <f t="array" aca="1" ref="O202" ca="1">INDIRECT("Vergleich!"&amp;$Y$2&amp;Z202)</f>
        <v>gering</v>
      </c>
      <c r="P202" s="61" cm="1">
        <f t="array" aca="1" ref="P202" ca="1">INDIRECT("Unterhalt!"&amp;$AB$5&amp;AA202)</f>
        <v>0</v>
      </c>
      <c r="Q202" s="61">
        <f ca="1">IF(O202=Auswahllisten!$E$26,0.8,IF(O202=Auswahllisten!$E$27,1,IF(O202=Auswahllisten!$E$29,1.2,0)))</f>
        <v>0.8</v>
      </c>
      <c r="R202" s="61">
        <f t="shared" ca="1" si="222"/>
        <v>0</v>
      </c>
      <c r="S202" s="61" cm="1">
        <f t="array" aca="1" ref="S202" ca="1">INDIRECT("Unterhalt!"&amp;$AB$6&amp;AA202)</f>
        <v>0</v>
      </c>
      <c r="T202" s="61">
        <f ca="1">IF(O202=Auswahllisten!$E$26,0.8,IF(O202=Auswahllisten!$E$27,1,IF(O202=Auswahllisten!$E$29,1.2,0)))</f>
        <v>0.8</v>
      </c>
      <c r="U202" s="61">
        <f t="shared" ca="1" si="223"/>
        <v>0</v>
      </c>
      <c r="V202" s="61">
        <f t="shared" ca="1" si="165"/>
        <v>0</v>
      </c>
      <c r="W202" s="25" t="b">
        <f ca="1">OR($U$5=10,$U$5=11,$U$5=12,$U$5=13)</f>
        <v>0</v>
      </c>
      <c r="X202" s="61">
        <f t="shared" ca="1" si="224"/>
        <v>0</v>
      </c>
      <c r="Z202" s="1">
        <f t="shared" si="225"/>
        <v>54</v>
      </c>
      <c r="AA202" s="1">
        <v>46</v>
      </c>
      <c r="AB202" s="1">
        <v>-1</v>
      </c>
    </row>
    <row r="203" spans="1:28">
      <c r="A203" s="8"/>
      <c r="M203" s="69"/>
      <c r="Z203" s="1">
        <f t="shared" si="225"/>
        <v>54</v>
      </c>
      <c r="AA203" s="1">
        <v>47</v>
      </c>
      <c r="AB203" s="1">
        <v>-1</v>
      </c>
    </row>
    <row r="204" spans="1:28">
      <c r="A204" s="8" t="s">
        <v>1008</v>
      </c>
      <c r="B204" s="8" t="s">
        <v>1062</v>
      </c>
      <c r="D204" s="394"/>
      <c r="E204" s="394"/>
      <c r="F204" s="394"/>
      <c r="G204" s="394"/>
      <c r="H204" s="394"/>
      <c r="I204" s="394"/>
      <c r="J204" s="394"/>
      <c r="K204" s="394"/>
      <c r="L204" s="155">
        <v>8</v>
      </c>
      <c r="M204" s="69"/>
      <c r="O204" s="394"/>
      <c r="P204" s="394"/>
      <c r="Q204" s="394"/>
      <c r="R204" s="394"/>
      <c r="S204" s="394"/>
      <c r="T204" s="394"/>
      <c r="U204" s="394"/>
      <c r="V204" s="394"/>
      <c r="W204" s="394"/>
      <c r="X204" s="394"/>
      <c r="Z204" s="1">
        <f t="shared" si="225"/>
        <v>54</v>
      </c>
      <c r="AA204" s="1">
        <v>48</v>
      </c>
      <c r="AB204" s="1">
        <v>-1</v>
      </c>
    </row>
    <row r="205" spans="1:28">
      <c r="A205" s="117"/>
      <c r="B205" s="55"/>
      <c r="C205" s="5" t="s">
        <v>255</v>
      </c>
      <c r="D205" s="25" t="str" cm="1">
        <f t="array" aca="1" ref="D205" ca="1">INDIRECT("Vergleich!"&amp;$G$2&amp;Z205)</f>
        <v>mittel</v>
      </c>
      <c r="E205" s="25" cm="1">
        <f t="array" aca="1" ref="E205" ca="1">INDIRECT("Unterhalt!"&amp;$J$5&amp;AA205)</f>
        <v>10</v>
      </c>
      <c r="F205" s="25">
        <f ca="1">IF(D205=Auswahllisten!$E$26,0.8,IF(D205=Auswahllisten!$E$27,1,IF(D205=Auswahllisten!$E$28,1.2,0)))</f>
        <v>1</v>
      </c>
      <c r="G205" s="25">
        <f t="shared" ref="G205:G208" ca="1" si="226">E205*F205</f>
        <v>10</v>
      </c>
      <c r="H205" s="25" cm="1">
        <f t="array" aca="1" ref="H205" ca="1">INDIRECT("Unterhalt!"&amp;$J$6&amp;AA205)</f>
        <v>10</v>
      </c>
      <c r="I205" s="25">
        <f ca="1">IF(D205=Auswahllisten!$E$26,0.8,IF(D205=Auswahllisten!$E$27,1,IF(D205=Auswahllisten!$E$28,1.2,0)))</f>
        <v>1</v>
      </c>
      <c r="J205" s="25">
        <f t="shared" ref="J205:J208" ca="1" si="227">H205*I205</f>
        <v>10</v>
      </c>
      <c r="K205" s="25">
        <f t="shared" ref="K205:K208" ca="1" si="228">IF($C$5=0,0,G205+(J205-G205)*($C$6-$F$5)/($F$6-$F$5))</f>
        <v>0</v>
      </c>
      <c r="L205" s="25" t="b">
        <f ca="1">($L$204=$C$5)</f>
        <v>0</v>
      </c>
      <c r="M205" s="162">
        <f t="shared" ref="M205:M208" ca="1" si="229">ROUND(K205*L205,AB205)</f>
        <v>0</v>
      </c>
      <c r="O205" s="25" t="str" cm="1">
        <f t="array" aca="1" ref="O205" ca="1">INDIRECT("Vergleich!"&amp;$Y$2&amp;Z205)</f>
        <v>gering</v>
      </c>
      <c r="P205" s="25" cm="1">
        <f t="array" aca="1" ref="P205" ca="1">INDIRECT("Unterhalt!"&amp;$AB$5&amp;AA205)</f>
        <v>10</v>
      </c>
      <c r="Q205" s="25">
        <f ca="1">IF(O205=Auswahllisten!$E$26,0.8,IF(O205=Auswahllisten!$E$27,1,IF(O205=Auswahllisten!$E$28,1.2,0)))</f>
        <v>0.8</v>
      </c>
      <c r="R205" s="25">
        <f t="shared" ref="R205:R208" ca="1" si="230">P205*Q205</f>
        <v>8</v>
      </c>
      <c r="S205" s="25" cm="1">
        <f t="array" aca="1" ref="S205" ca="1">INDIRECT("Unterhalt!"&amp;$AB$6&amp;AA205)</f>
        <v>10</v>
      </c>
      <c r="T205" s="25">
        <f ca="1">IF(O205=Auswahllisten!$E$26,0.8,IF(O205=Auswahllisten!$E$27,1,IF(O205=Auswahllisten!$E$28,1.2,0)))</f>
        <v>0.8</v>
      </c>
      <c r="U205" s="25">
        <f t="shared" ref="U205:U208" ca="1" si="231">S205*T205</f>
        <v>8</v>
      </c>
      <c r="V205" s="25">
        <f t="shared" ca="1" si="165"/>
        <v>0</v>
      </c>
      <c r="W205" s="25" t="b">
        <f ca="1">($L$204=$U$5)</f>
        <v>0</v>
      </c>
      <c r="X205" s="25">
        <f t="shared" ref="X205:X208" ca="1" si="232">ROUND(V205*W205,AB205)</f>
        <v>0</v>
      </c>
      <c r="Z205" s="1">
        <f t="shared" si="225"/>
        <v>54</v>
      </c>
      <c r="AA205" s="1">
        <v>49</v>
      </c>
      <c r="AB205" s="1">
        <v>-1</v>
      </c>
    </row>
    <row r="206" spans="1:28">
      <c r="A206" s="71"/>
      <c r="B206" s="71"/>
      <c r="C206" s="2" t="s">
        <v>256</v>
      </c>
      <c r="D206" s="16" t="str" cm="1">
        <f t="array" aca="1" ref="D206" ca="1">INDIRECT("Vergleich!"&amp;$G$2&amp;Z206)</f>
        <v>mittel</v>
      </c>
      <c r="E206" s="25" cm="1">
        <f t="array" aca="1" ref="E206" ca="1">INDIRECT("Unterhalt!"&amp;$J$5&amp;AA206)</f>
        <v>11</v>
      </c>
      <c r="F206" s="25">
        <f ca="1">IF(D206=Auswahllisten!$E$26,0.8,IF(D206=Auswahllisten!$E$27,1,IF(D206=Auswahllisten!$E$28,1.2,0)))</f>
        <v>1</v>
      </c>
      <c r="G206" s="25">
        <f t="shared" ca="1" si="226"/>
        <v>11</v>
      </c>
      <c r="H206" s="25" cm="1">
        <f t="array" aca="1" ref="H206" ca="1">INDIRECT("Unterhalt!"&amp;$J$6&amp;AA206)</f>
        <v>11</v>
      </c>
      <c r="I206" s="25">
        <f ca="1">IF(D206=Auswahllisten!$E$26,0.8,IF(D206=Auswahllisten!$E$27,1,IF(D206=Auswahllisten!$E$28,1.2,0)))</f>
        <v>1</v>
      </c>
      <c r="J206" s="25">
        <f t="shared" ca="1" si="227"/>
        <v>11</v>
      </c>
      <c r="K206" s="25">
        <f t="shared" ca="1" si="228"/>
        <v>0</v>
      </c>
      <c r="L206" s="25" t="b">
        <f ca="1">($L$204=$C$5)</f>
        <v>0</v>
      </c>
      <c r="M206" s="162">
        <f t="shared" ca="1" si="229"/>
        <v>0</v>
      </c>
      <c r="O206" s="25" t="str" cm="1">
        <f t="array" aca="1" ref="O206" ca="1">INDIRECT("Vergleich!"&amp;$Y$2&amp;Z206)</f>
        <v>gering</v>
      </c>
      <c r="P206" s="25" cm="1">
        <f t="array" aca="1" ref="P206" ca="1">INDIRECT("Unterhalt!"&amp;$AB$5&amp;AA206)</f>
        <v>11</v>
      </c>
      <c r="Q206" s="25">
        <f ca="1">IF(O206=Auswahllisten!$E$26,0.8,IF(O206=Auswahllisten!$E$27,1,IF(O206=Auswahllisten!$E$28,1.2,0)))</f>
        <v>0.8</v>
      </c>
      <c r="R206" s="25">
        <f t="shared" ca="1" si="230"/>
        <v>8.8000000000000007</v>
      </c>
      <c r="S206" s="25" cm="1">
        <f t="array" aca="1" ref="S206" ca="1">INDIRECT("Unterhalt!"&amp;$AB$6&amp;AA206)</f>
        <v>11</v>
      </c>
      <c r="T206" s="25">
        <f ca="1">IF(O206=Auswahllisten!$E$26,0.8,IF(O206=Auswahllisten!$E$27,1,IF(O206=Auswahllisten!$E$28,1.2,0)))</f>
        <v>0.8</v>
      </c>
      <c r="U206" s="25">
        <f t="shared" ca="1" si="231"/>
        <v>8.8000000000000007</v>
      </c>
      <c r="V206" s="25">
        <f t="shared" ca="1" si="165"/>
        <v>0</v>
      </c>
      <c r="W206" s="25" t="b">
        <f ca="1">($L$204=$U$5)</f>
        <v>0</v>
      </c>
      <c r="X206" s="25">
        <f t="shared" ca="1" si="232"/>
        <v>0</v>
      </c>
      <c r="Z206" s="1">
        <f t="shared" si="225"/>
        <v>54</v>
      </c>
      <c r="AA206" s="1">
        <v>50</v>
      </c>
      <c r="AB206" s="1">
        <v>-1</v>
      </c>
    </row>
    <row r="207" spans="1:28">
      <c r="A207" s="94"/>
      <c r="B207" s="94"/>
      <c r="C207" s="142" t="s">
        <v>335</v>
      </c>
      <c r="D207" s="93" t="str" cm="1">
        <f t="array" aca="1" ref="D207" ca="1">INDIRECT("Vergleich!"&amp;$G$2&amp;Z207)</f>
        <v>mittel</v>
      </c>
      <c r="E207" s="61" cm="1">
        <f t="array" aca="1" ref="E207" ca="1">INDIRECT("Unterhalt!"&amp;$J$5&amp;AA207)</f>
        <v>12</v>
      </c>
      <c r="F207" s="61">
        <f ca="1">IF(D207=Auswahllisten!$E$26,0.8,IF(D207=Auswahllisten!$E$27,1,IF(D207=Auswahllisten!$E$28,1.2,0)))</f>
        <v>1</v>
      </c>
      <c r="G207" s="61">
        <f t="shared" ca="1" si="226"/>
        <v>12</v>
      </c>
      <c r="H207" s="61" cm="1">
        <f t="array" aca="1" ref="H207" ca="1">INDIRECT("Unterhalt!"&amp;$J$6&amp;AA207)</f>
        <v>12</v>
      </c>
      <c r="I207" s="61">
        <f ca="1">IF(D207=Auswahllisten!$E$26,0.8,IF(D207=Auswahllisten!$E$27,1,IF(D207=Auswahllisten!$E$28,1.2,0)))</f>
        <v>1</v>
      </c>
      <c r="J207" s="61">
        <f t="shared" ca="1" si="227"/>
        <v>12</v>
      </c>
      <c r="K207" s="61">
        <f t="shared" ca="1" si="228"/>
        <v>0</v>
      </c>
      <c r="L207" s="61" t="b">
        <f ca="1">($L$204=$C$5)</f>
        <v>0</v>
      </c>
      <c r="M207" s="216">
        <f t="shared" ca="1" si="229"/>
        <v>0</v>
      </c>
      <c r="O207" s="61" t="str" cm="1">
        <f t="array" aca="1" ref="O207" ca="1">INDIRECT("Vergleich!"&amp;$Y$2&amp;Z207)</f>
        <v>gering</v>
      </c>
      <c r="P207" s="61" cm="1">
        <f t="array" aca="1" ref="P207" ca="1">INDIRECT("Unterhalt!"&amp;$AB$5&amp;AA207)</f>
        <v>12</v>
      </c>
      <c r="Q207" s="61">
        <f ca="1">IF(O207=Auswahllisten!$E$26,0.8,IF(O207=Auswahllisten!$E$27,1,IF(O207=Auswahllisten!$E$28,1.2,0)))</f>
        <v>0.8</v>
      </c>
      <c r="R207" s="61">
        <f t="shared" ca="1" si="230"/>
        <v>9.6000000000000014</v>
      </c>
      <c r="S207" s="61" cm="1">
        <f t="array" aca="1" ref="S207" ca="1">INDIRECT("Unterhalt!"&amp;$AB$6&amp;AA207)</f>
        <v>12</v>
      </c>
      <c r="T207" s="61">
        <f ca="1">IF(O207=Auswahllisten!$E$26,0.8,IF(O207=Auswahllisten!$E$27,1,IF(O207=Auswahllisten!$E$28,1.2,0)))</f>
        <v>0.8</v>
      </c>
      <c r="U207" s="61">
        <f t="shared" ca="1" si="231"/>
        <v>9.6000000000000014</v>
      </c>
      <c r="V207" s="61">
        <f t="shared" ca="1" si="165"/>
        <v>0</v>
      </c>
      <c r="W207" s="61" t="b">
        <f ca="1">($L$204=$U$5)</f>
        <v>0</v>
      </c>
      <c r="X207" s="61">
        <f t="shared" ca="1" si="232"/>
        <v>0</v>
      </c>
      <c r="Z207" s="1">
        <f t="shared" si="225"/>
        <v>54</v>
      </c>
      <c r="AA207" s="1">
        <v>51</v>
      </c>
      <c r="AB207" s="1">
        <v>-1</v>
      </c>
    </row>
    <row r="208" spans="1:28">
      <c r="A208" s="63"/>
      <c r="B208" s="63"/>
      <c r="C208" s="297" t="s">
        <v>1213</v>
      </c>
      <c r="D208" s="395"/>
      <c r="E208" s="395" cm="1">
        <f t="array" aca="1" ref="E208" ca="1">INDIRECT("Unterhalt!"&amp;$J$5&amp;AA208)</f>
        <v>0.3</v>
      </c>
      <c r="F208" s="395">
        <v>1</v>
      </c>
      <c r="G208" s="395">
        <f t="shared" ca="1" si="226"/>
        <v>0.3</v>
      </c>
      <c r="H208" s="395" cm="1">
        <f t="array" aca="1" ref="H208" ca="1">INDIRECT("Unterhalt!"&amp;$J$6&amp;AA208)</f>
        <v>0.3</v>
      </c>
      <c r="I208" s="395">
        <v>1</v>
      </c>
      <c r="J208" s="395">
        <f t="shared" ca="1" si="227"/>
        <v>0.3</v>
      </c>
      <c r="K208" s="395">
        <f t="shared" ca="1" si="228"/>
        <v>0</v>
      </c>
      <c r="L208" s="395" t="b">
        <f ca="1">($L$204=$C$5)</f>
        <v>0</v>
      </c>
      <c r="M208" s="395">
        <f t="shared" ca="1" si="229"/>
        <v>0</v>
      </c>
      <c r="O208" s="395"/>
      <c r="P208" s="395" cm="1">
        <f t="array" aca="1" ref="P208" ca="1">INDIRECT("Unterhalt!"&amp;$AB$5&amp;AA208)</f>
        <v>0.3</v>
      </c>
      <c r="Q208" s="395">
        <v>1</v>
      </c>
      <c r="R208" s="395">
        <f t="shared" ca="1" si="230"/>
        <v>0.3</v>
      </c>
      <c r="S208" s="395" cm="1">
        <f t="array" aca="1" ref="S208" ca="1">INDIRECT("Unterhalt!"&amp;$AB$6&amp;AA208)</f>
        <v>0.3</v>
      </c>
      <c r="T208" s="395">
        <v>1</v>
      </c>
      <c r="U208" s="395">
        <f t="shared" ca="1" si="231"/>
        <v>0.3</v>
      </c>
      <c r="V208" s="395">
        <f t="shared" ca="1" si="165"/>
        <v>0</v>
      </c>
      <c r="W208" s="395" t="b">
        <f ca="1">($L$204=$U$5)</f>
        <v>0</v>
      </c>
      <c r="X208" s="395">
        <f t="shared" ca="1" si="232"/>
        <v>0</v>
      </c>
      <c r="AA208" s="1">
        <v>52</v>
      </c>
      <c r="AB208" s="1">
        <v>2</v>
      </c>
    </row>
    <row r="209" spans="1:28">
      <c r="M209" s="69"/>
      <c r="AB209" s="1">
        <v>-1</v>
      </c>
    </row>
    <row r="210" spans="1:28">
      <c r="B210" s="8" t="s">
        <v>337</v>
      </c>
      <c r="E210" s="1" t="s">
        <v>194</v>
      </c>
      <c r="F210" s="1" t="s">
        <v>348</v>
      </c>
      <c r="G210" s="1" t="s">
        <v>131</v>
      </c>
      <c r="M210" s="69"/>
      <c r="AB210" s="1">
        <v>-1</v>
      </c>
    </row>
    <row r="211" spans="1:28">
      <c r="A211" s="55"/>
      <c r="B211" s="55"/>
      <c r="C211" s="5" t="s">
        <v>203</v>
      </c>
      <c r="D211" s="25" t="str" cm="1">
        <f t="array" aca="1" ref="D211" ca="1">INDIRECT("Vergleich!"&amp;$G$2&amp;Z211)</f>
        <v>mittel</v>
      </c>
      <c r="E211" s="25">
        <f ca="1">IF(E140&lt;10,Standardwerte!I57,IF(E140&lt;32,Standardwerte!I58,Standardwerte!I59))</f>
        <v>0</v>
      </c>
      <c r="F211" s="25">
        <f ca="1">IF(D211=Auswahllisten!$E$26,0.8,IF(D211=Auswahllisten!$E$27,1,IF(D211=Auswahllisten!$E$28,1.2,1)))</f>
        <v>1</v>
      </c>
      <c r="G211" s="162" cm="1">
        <f t="array" aca="1" ref="G211" ca="1">INDIRECT("Energie!"&amp;$G$10&amp;AA211)</f>
        <v>0</v>
      </c>
      <c r="H211" s="25"/>
      <c r="I211" s="25"/>
      <c r="J211" s="25"/>
      <c r="K211" s="25"/>
      <c r="L211" s="25"/>
      <c r="M211" s="162">
        <f ca="1">ROUND(E211*F211*G211,AB211)*I12</f>
        <v>0</v>
      </c>
      <c r="Z211" s="1">
        <v>19</v>
      </c>
      <c r="AA211" s="1">
        <v>64</v>
      </c>
      <c r="AB211" s="1">
        <v>-1</v>
      </c>
    </row>
    <row r="212" spans="1:28">
      <c r="AB212" s="1">
        <v>-1</v>
      </c>
    </row>
    <row r="213" spans="1:28">
      <c r="B213" s="8" t="s">
        <v>677</v>
      </c>
      <c r="E213" s="1" t="s">
        <v>194</v>
      </c>
      <c r="F213" s="1" t="s">
        <v>348</v>
      </c>
      <c r="G213" s="1" t="s">
        <v>131</v>
      </c>
      <c r="AB213" s="1">
        <v>-1</v>
      </c>
    </row>
    <row r="214" spans="1:28">
      <c r="A214" s="55"/>
      <c r="B214" s="55"/>
      <c r="C214" s="5" t="s">
        <v>203</v>
      </c>
      <c r="D214" s="25" t="str" cm="1">
        <f t="array" aca="1" ref="D214" ca="1">INDIRECT("Vergleich!"&amp;$G$2&amp;Z214)</f>
        <v>mittel</v>
      </c>
      <c r="E214" s="25">
        <f ca="1">IF((E146+E148)&lt;=10,Standardwerte!O66,IF((E146+E148)&lt;=30,Standardwerte!O67,IF((E146+E148)&lt;=100,Standardwerte!O68,Standardwerte!O69)))</f>
        <v>0.03</v>
      </c>
      <c r="F214" s="25">
        <f ca="1">IF(D214=Auswahllisten!$E$26,0.8,IF(D214=Auswahllisten!$E$27,1,IF(D214=Auswahllisten!$E$28,1.2,1)))</f>
        <v>1</v>
      </c>
      <c r="G214" s="162" cm="1">
        <f t="array" aca="1" ref="G214" ca="1">INDIRECT("Energie!"&amp;$G$10&amp;AA214)</f>
        <v>0</v>
      </c>
      <c r="H214" s="25"/>
      <c r="I214" s="25"/>
      <c r="J214" s="25"/>
      <c r="K214" s="25"/>
      <c r="L214" s="25"/>
      <c r="M214" s="162">
        <f ca="1">ROUND(E214*F214*G214,AB214)*I13</f>
        <v>0</v>
      </c>
      <c r="Z214" s="1">
        <v>98</v>
      </c>
      <c r="AA214" s="1">
        <v>84</v>
      </c>
      <c r="AB214" s="1">
        <v>-1</v>
      </c>
    </row>
  </sheetData>
  <mergeCells count="6">
    <mergeCell ref="BX18:BY18"/>
    <mergeCell ref="AX18:AY18"/>
    <mergeCell ref="AZ18:BD18"/>
    <mergeCell ref="BE18:BF18"/>
    <mergeCell ref="BQ18:BR18"/>
    <mergeCell ref="BS18:BW18"/>
  </mergeCells>
  <pageMargins left="0.7" right="0.7" top="0.78740157499999996" bottom="0.78740157499999996"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6A4DA-F3FC-4B8F-9BA9-FBDD72D18ECB}">
  <sheetPr>
    <tabColor rgb="FFFF0000"/>
  </sheetPr>
  <dimension ref="A1:BZ214"/>
  <sheetViews>
    <sheetView zoomScale="70" zoomScaleNormal="70" workbookViewId="0">
      <pane xSplit="3" ySplit="17" topLeftCell="AF18" activePane="bottomRight" state="frozen"/>
      <selection pane="topRight" activeCell="D1" sqref="D1"/>
      <selection pane="bottomLeft" activeCell="A18" sqref="A18"/>
      <selection pane="bottomRight" activeCell="BS12" sqref="BS12"/>
    </sheetView>
  </sheetViews>
  <sheetFormatPr baseColWidth="10" defaultColWidth="11.5703125" defaultRowHeight="12.75"/>
  <cols>
    <col min="1" max="1" width="7.570312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4" width="14.140625" style="1" customWidth="1"/>
    <col min="55" max="55" width="11.5703125" style="1" customWidth="1"/>
    <col min="56" max="57" width="11.5703125" style="1"/>
    <col min="58" max="58" width="13.5703125" style="1" bestFit="1" customWidth="1"/>
    <col min="59" max="59" width="11.5703125" style="1"/>
    <col min="60" max="60" width="2.85546875" style="1" customWidth="1"/>
    <col min="61" max="62" width="11.5703125" style="1"/>
    <col min="63" max="63" width="18.7109375" style="1" customWidth="1"/>
    <col min="64" max="70" width="11.5703125" style="1"/>
    <col min="71" max="74" width="14.5703125" style="1" customWidth="1"/>
    <col min="75" max="16384" width="11.5703125" style="1"/>
  </cols>
  <sheetData>
    <row r="1" spans="2:76">
      <c r="M1" s="1" t="s">
        <v>869</v>
      </c>
      <c r="N1" s="1" t="s">
        <v>203</v>
      </c>
      <c r="O1" s="1" t="s">
        <v>348</v>
      </c>
    </row>
    <row r="2" spans="2:76">
      <c r="B2" s="1" t="s">
        <v>1039</v>
      </c>
      <c r="G2" s="155" t="s">
        <v>313</v>
      </c>
      <c r="K2" s="1" t="s">
        <v>182</v>
      </c>
      <c r="L2" s="1">
        <v>0</v>
      </c>
      <c r="M2" s="1" t="s">
        <v>9</v>
      </c>
      <c r="N2" s="1" t="s">
        <v>1086</v>
      </c>
      <c r="O2" s="1">
        <v>1</v>
      </c>
      <c r="T2" s="1" t="s">
        <v>1039</v>
      </c>
      <c r="Y2" s="155" t="s">
        <v>1050</v>
      </c>
      <c r="BK2" s="1" t="s">
        <v>1186</v>
      </c>
      <c r="BL2" s="1" t="s">
        <v>1187</v>
      </c>
    </row>
    <row r="3" spans="2:76">
      <c r="G3" s="155" t="s">
        <v>1049</v>
      </c>
      <c r="K3" s="1" t="s">
        <v>16</v>
      </c>
      <c r="L3" s="1">
        <v>5</v>
      </c>
      <c r="M3" s="1" t="s">
        <v>10</v>
      </c>
      <c r="N3" s="1" t="s">
        <v>996</v>
      </c>
      <c r="O3" s="1">
        <f>O2+15</f>
        <v>16</v>
      </c>
      <c r="Y3" s="155" t="s">
        <v>1051</v>
      </c>
      <c r="AP3" s="1" t="s">
        <v>1064</v>
      </c>
      <c r="AR3" s="58" t="s">
        <v>1065</v>
      </c>
      <c r="AS3" s="1">
        <f>Projektdaten!E58</f>
        <v>20</v>
      </c>
      <c r="BI3" s="8" t="s">
        <v>1066</v>
      </c>
    </row>
    <row r="4" spans="2:76">
      <c r="B4" s="154" t="s">
        <v>950</v>
      </c>
      <c r="C4" s="69" t="str" cm="1">
        <f t="array" aca="1" ref="C4" ca="1">INDIRECT("Vergleich!"&amp;G2&amp;"7")</f>
        <v>Bitte wählen …</v>
      </c>
      <c r="D4" s="1" t="str">
        <f ca="1">Vergleich!F3</f>
        <v>Variante A</v>
      </c>
      <c r="I4" s="1" t="s">
        <v>869</v>
      </c>
      <c r="J4" s="1" t="s">
        <v>203</v>
      </c>
      <c r="K4" s="1" t="s">
        <v>17</v>
      </c>
      <c r="L4" s="1">
        <v>10</v>
      </c>
      <c r="M4" s="1" t="s">
        <v>13</v>
      </c>
      <c r="N4" s="1" t="s">
        <v>1087</v>
      </c>
      <c r="O4" s="1">
        <f t="shared" ref="O4:O14" si="0">O3+15</f>
        <v>31</v>
      </c>
      <c r="T4" s="154" t="s">
        <v>951</v>
      </c>
      <c r="U4" s="69" t="str" cm="1">
        <f t="array" aca="1" ref="U4" ca="1">INDIRECT("Vergleich!"&amp;Y2&amp;"7")</f>
        <v>Bitte wählen …</v>
      </c>
      <c r="AA4" s="1" t="s">
        <v>869</v>
      </c>
      <c r="AB4" s="1" t="s">
        <v>203</v>
      </c>
      <c r="BF4" s="226"/>
      <c r="BJ4" s="7" t="s">
        <v>319</v>
      </c>
      <c r="BK4" s="69">
        <f ca="1">SUM(AP25:AV25)+SUM(AW26:AW125)</f>
        <v>0</v>
      </c>
      <c r="BL4" s="69">
        <f ca="1">SUM(BI25:BO25)+SUM(BP26:BP125)</f>
        <v>0</v>
      </c>
    </row>
    <row r="5" spans="2:76" ht="15.75">
      <c r="B5" s="7" t="s">
        <v>1047</v>
      </c>
      <c r="C5" s="1">
        <f ca="1">VLOOKUP(C4,Auswahllisten!E9:F22,2,FALSE)</f>
        <v>0</v>
      </c>
      <c r="E5" s="1" t="s">
        <v>1041</v>
      </c>
      <c r="F5" s="1">
        <f ca="1">IF(C5=0,0,INDEX(L2:L15,MATCH(C6,L2:L15,1)))</f>
        <v>0</v>
      </c>
      <c r="G5" s="1" t="s">
        <v>136</v>
      </c>
      <c r="H5" s="1" t="s">
        <v>183</v>
      </c>
      <c r="I5" s="1" t="str">
        <f ca="1">VLOOKUP(F5,L2:M15,2,FALSE)</f>
        <v>F</v>
      </c>
      <c r="J5" s="1" t="str">
        <f ca="1">VLOOKUP(F5,$L$2:$N$15,3,FALSE)</f>
        <v>U</v>
      </c>
      <c r="K5" s="1" t="s">
        <v>18</v>
      </c>
      <c r="L5" s="1">
        <v>20</v>
      </c>
      <c r="M5" s="1" t="s">
        <v>261</v>
      </c>
      <c r="N5" s="1" t="s">
        <v>1008</v>
      </c>
      <c r="O5" s="1">
        <f t="shared" si="0"/>
        <v>46</v>
      </c>
      <c r="T5" s="7" t="s">
        <v>1047</v>
      </c>
      <c r="U5" s="1">
        <f ca="1">VLOOKUP(U4,Auswahllisten!E9:F22,2,FALSE)</f>
        <v>0</v>
      </c>
      <c r="W5" s="1" t="s">
        <v>1041</v>
      </c>
      <c r="X5" s="1">
        <f ca="1">IF($U$5=0,0,INDEX(L2:L15,MATCH(U6,L2:L15,1)))</f>
        <v>0</v>
      </c>
      <c r="Y5" s="1" t="s">
        <v>136</v>
      </c>
      <c r="Z5" s="1" t="s">
        <v>183</v>
      </c>
      <c r="AA5" s="1" t="str">
        <f ca="1">VLOOKUP(X5,L2:M15,2,FALSE)</f>
        <v>F</v>
      </c>
      <c r="AB5" s="1" t="str">
        <f ca="1">VLOOKUP(X5,$L$2:$N$15,3,FALSE)</f>
        <v>U</v>
      </c>
      <c r="AO5" s="157"/>
      <c r="AP5" s="1" t="s">
        <v>1063</v>
      </c>
      <c r="AR5" s="58" t="s">
        <v>1099</v>
      </c>
      <c r="AS5" s="156">
        <f>Projektdaten!E59</f>
        <v>0.02</v>
      </c>
      <c r="BF5" s="226"/>
      <c r="BJ5" s="7" t="s">
        <v>326</v>
      </c>
      <c r="BK5" s="225">
        <f ca="1">SUM(AY26:AY125)</f>
        <v>0</v>
      </c>
      <c r="BL5" s="69">
        <f ca="1">SUM(BR26:BR125)</f>
        <v>0</v>
      </c>
    </row>
    <row r="6" spans="2:76">
      <c r="B6" s="7" t="s">
        <v>953</v>
      </c>
      <c r="C6" s="33" t="str" cm="1">
        <f t="array" aca="1" ref="C6" ca="1">INDIRECT("Vergleich!"&amp;G3&amp;"25")</f>
        <v/>
      </c>
      <c r="D6" s="1" t="s">
        <v>136</v>
      </c>
      <c r="E6" s="1" t="s">
        <v>1042</v>
      </c>
      <c r="F6" s="1" cm="1">
        <f t="array" aca="1" ref="F6" ca="1">IF(C5=0,0,INDEX(L2:L15,MATCH(C6,L2:L15,1)+1))</f>
        <v>0</v>
      </c>
      <c r="G6" s="1" t="s">
        <v>136</v>
      </c>
      <c r="H6" s="1" t="s">
        <v>183</v>
      </c>
      <c r="I6" s="1" t="str">
        <f ca="1">VLOOKUP(F6,L2:M15,2,FALSE)</f>
        <v>F</v>
      </c>
      <c r="J6" s="1" t="str">
        <f ca="1">VLOOKUP(F6,$L$2:$N$15,3,FALSE)</f>
        <v>U</v>
      </c>
      <c r="K6" s="1" t="s">
        <v>19</v>
      </c>
      <c r="L6" s="1">
        <v>70</v>
      </c>
      <c r="M6" s="1" t="s">
        <v>362</v>
      </c>
      <c r="N6" s="1" t="s">
        <v>1088</v>
      </c>
      <c r="O6" s="1">
        <f t="shared" si="0"/>
        <v>61</v>
      </c>
      <c r="T6" s="7" t="s">
        <v>953</v>
      </c>
      <c r="U6" s="1" t="str" cm="1">
        <f t="array" aca="1" ref="U6" ca="1">INDIRECT("Vergleich!"&amp;Y3&amp;"25")</f>
        <v/>
      </c>
      <c r="V6" s="1" t="s">
        <v>136</v>
      </c>
      <c r="W6" s="1" t="s">
        <v>1042</v>
      </c>
      <c r="X6" s="1" cm="1">
        <f t="array" aca="1" ref="X6" ca="1">IF($U$5=0,0,INDEX(L2:L15,MATCH(U6,L2:L15,1)+1))</f>
        <v>0</v>
      </c>
      <c r="Y6" s="1" t="s">
        <v>136</v>
      </c>
      <c r="Z6" s="1" t="s">
        <v>183</v>
      </c>
      <c r="AA6" s="1" t="str">
        <f ca="1">VLOOKUP(X6,L2:M15,2,FALSE)</f>
        <v>F</v>
      </c>
      <c r="AB6" s="1" t="str">
        <f ca="1">VLOOKUP(X6,$L$2:$N$15,3,FALSE)</f>
        <v>U</v>
      </c>
      <c r="AO6" s="157"/>
      <c r="AP6" s="1" t="s">
        <v>200</v>
      </c>
      <c r="AS6" s="156">
        <f>Projektdaten!E60</f>
        <v>5.0000000000000001E-3</v>
      </c>
      <c r="AU6" s="7"/>
      <c r="BF6" s="226"/>
      <c r="BJ6" s="7" t="s">
        <v>193</v>
      </c>
      <c r="BK6" s="69">
        <f ca="1">SUM(BD26:BD125)</f>
        <v>0</v>
      </c>
      <c r="BL6" s="69">
        <f ca="1">SUM(BW26:BW125)</f>
        <v>0</v>
      </c>
    </row>
    <row r="7" spans="2:76">
      <c r="B7" s="7"/>
      <c r="C7" s="33"/>
      <c r="K7" s="1" t="s">
        <v>178</v>
      </c>
      <c r="L7" s="1">
        <v>100</v>
      </c>
      <c r="M7" s="1" t="s">
        <v>363</v>
      </c>
      <c r="N7" s="1" t="s">
        <v>1089</v>
      </c>
      <c r="O7" s="1">
        <f t="shared" si="0"/>
        <v>76</v>
      </c>
      <c r="T7" s="7"/>
      <c r="AO7" s="157"/>
      <c r="AS7" s="156"/>
      <c r="AU7" s="7"/>
      <c r="BF7" s="226"/>
      <c r="BI7" s="8" t="s">
        <v>1075</v>
      </c>
      <c r="BL7" s="157"/>
    </row>
    <row r="8" spans="2:76">
      <c r="B8" s="120" t="s">
        <v>1048</v>
      </c>
      <c r="C8" s="1" t="str">
        <f ca="1">IF(Projektdaten!$E$15=Auswahllisten!$E$31,"keine Auswahl",IF(Projektdaten!$E$15=Auswahllisten!$E$32,"Neubau",IF(OR(E12,E14),"1:1-Ersatz","Systemwechsel")))</f>
        <v>1:1-Ersatz</v>
      </c>
      <c r="K8" s="1" t="s">
        <v>179</v>
      </c>
      <c r="L8" s="1">
        <v>200</v>
      </c>
      <c r="M8" s="1" t="s">
        <v>687</v>
      </c>
      <c r="N8" s="1" t="s">
        <v>1090</v>
      </c>
      <c r="O8" s="1">
        <f t="shared" si="0"/>
        <v>91</v>
      </c>
      <c r="T8" s="120" t="s">
        <v>1048</v>
      </c>
      <c r="U8" s="1" t="str">
        <f ca="1">IF(Projektdaten!$E$15=Auswahllisten!$E$31,"keine Auswahl",IF(Projektdaten!$E$15=Auswahllisten!$E$32,"Neubau",IF(OR(W12,W14),"1:1-Ersatz","Systemwechsel")))</f>
        <v>1:1-Ersatz</v>
      </c>
      <c r="AO8" s="158"/>
      <c r="AS8" s="156"/>
      <c r="AU8" s="7"/>
      <c r="BF8" s="226"/>
      <c r="BJ8" s="7" t="s">
        <v>1306</v>
      </c>
      <c r="BK8" s="69">
        <f ca="1">SUM(BF26:BF125)</f>
        <v>0</v>
      </c>
      <c r="BL8" s="69">
        <f ca="1">SUM(BY26:BY125)</f>
        <v>0</v>
      </c>
    </row>
    <row r="9" spans="2:76">
      <c r="B9" s="7" t="s">
        <v>1047</v>
      </c>
      <c r="C9" s="1">
        <f ca="1">IF(C8="keine Auswahl",-1,IF(C8="Neubau",0,IF(C8="1:1-Ersatz",1,2)))</f>
        <v>1</v>
      </c>
      <c r="K9" s="1" t="s">
        <v>180</v>
      </c>
      <c r="L9" s="1">
        <v>350</v>
      </c>
      <c r="M9" s="1" t="s">
        <v>688</v>
      </c>
      <c r="N9" s="1" t="s">
        <v>1091</v>
      </c>
      <c r="O9" s="1">
        <f t="shared" si="0"/>
        <v>106</v>
      </c>
      <c r="T9" s="7" t="s">
        <v>1047</v>
      </c>
      <c r="U9" s="1">
        <f ca="1">IF(U8="keine Auswahl",-1,IF(U8="Neubau",0,IF(U8="1:1-Ersatz",1,2)))</f>
        <v>1</v>
      </c>
      <c r="AO9" s="159"/>
      <c r="AP9" s="1" t="s">
        <v>1068</v>
      </c>
      <c r="AS9" s="156">
        <f>Projektdaten!J59</f>
        <v>0</v>
      </c>
      <c r="AZ9" s="159"/>
      <c r="BA9" s="159"/>
      <c r="BB9" s="159"/>
      <c r="BC9" s="159"/>
      <c r="BF9" s="226"/>
      <c r="BJ9" s="7" t="s">
        <v>1194</v>
      </c>
      <c r="BK9" s="69">
        <f ca="1">BF22</f>
        <v>0</v>
      </c>
      <c r="BL9" s="69">
        <f ca="1">BY22</f>
        <v>0</v>
      </c>
    </row>
    <row r="10" spans="2:76">
      <c r="F10" s="7" t="s">
        <v>1172</v>
      </c>
      <c r="G10" s="155" t="s">
        <v>261</v>
      </c>
      <c r="K10" s="1" t="s">
        <v>181</v>
      </c>
      <c r="L10" s="1">
        <v>500</v>
      </c>
      <c r="M10" s="1" t="s">
        <v>689</v>
      </c>
      <c r="N10" s="1" t="s">
        <v>1092</v>
      </c>
      <c r="O10" s="1">
        <f t="shared" si="0"/>
        <v>121</v>
      </c>
      <c r="X10" s="7" t="s">
        <v>1173</v>
      </c>
      <c r="Y10" s="155" t="s">
        <v>362</v>
      </c>
      <c r="AO10" s="157"/>
      <c r="AP10" s="1" t="s">
        <v>1307</v>
      </c>
      <c r="AS10" s="156">
        <f>Projektdaten!J60</f>
        <v>0</v>
      </c>
      <c r="AZ10" s="157"/>
      <c r="BA10" s="157"/>
      <c r="BB10" s="157"/>
      <c r="BC10" s="157"/>
      <c r="BI10" s="8" t="s">
        <v>1195</v>
      </c>
      <c r="BL10" s="157"/>
    </row>
    <row r="11" spans="2:76">
      <c r="B11" s="7" t="s">
        <v>1081</v>
      </c>
      <c r="C11" s="1" t="str">
        <f>Projektdaten!$E$35</f>
        <v>Öl</v>
      </c>
      <c r="F11" s="7"/>
      <c r="K11" s="1" t="s">
        <v>336</v>
      </c>
      <c r="L11" s="1">
        <v>750</v>
      </c>
      <c r="M11" s="1" t="s">
        <v>690</v>
      </c>
      <c r="N11" s="1" t="s">
        <v>1093</v>
      </c>
      <c r="O11" s="1">
        <f t="shared" si="0"/>
        <v>136</v>
      </c>
      <c r="T11" s="7"/>
      <c r="AO11" s="160"/>
      <c r="AP11" s="1" t="s">
        <v>1069</v>
      </c>
      <c r="AR11" s="1" t="s">
        <v>1070</v>
      </c>
      <c r="AS11" s="156">
        <f>AS5+AS6</f>
        <v>2.5000000000000001E-2</v>
      </c>
      <c r="AY11" s="1" t="s">
        <v>1668</v>
      </c>
      <c r="BI11" s="8"/>
      <c r="BJ11" s="7" t="s">
        <v>869</v>
      </c>
      <c r="BK11" s="69">
        <f ca="1">PMT($AS$11,$AS$3,BK4)</f>
        <v>0</v>
      </c>
      <c r="BL11" s="69">
        <f t="shared" ref="BL11:BL13" ca="1" si="1">PMT($AS$11,$AS$3,BL4)</f>
        <v>0</v>
      </c>
      <c r="BR11" s="1" t="s">
        <v>1668</v>
      </c>
    </row>
    <row r="12" spans="2:76">
      <c r="B12" s="7" t="s">
        <v>1047</v>
      </c>
      <c r="C12" s="1">
        <f ca="1">IFERROR(VLOOKUP(C11,Auswahllisten!$E$9:$F$22,2,FALSE),0)</f>
        <v>1</v>
      </c>
      <c r="E12" s="1" t="b">
        <f ca="1">OR(C12=C5,C14=C5)</f>
        <v>1</v>
      </c>
      <c r="H12" s="7" t="s">
        <v>1343</v>
      </c>
      <c r="I12" s="1" t="b" cm="1">
        <f t="array" aca="1" ref="I12" ca="1">AND(C5&lt;&gt;0,VLOOKUP(INDIRECT("Vergleich!"&amp;G2&amp;"10"),Auswahllisten!$E$105:$F$107,2,FALSE)&lt;&gt;0)</f>
        <v>0</v>
      </c>
      <c r="K12" s="1" t="s">
        <v>691</v>
      </c>
      <c r="L12" s="1">
        <v>1000</v>
      </c>
      <c r="M12" s="1" t="s">
        <v>313</v>
      </c>
      <c r="N12" s="1" t="s">
        <v>153</v>
      </c>
      <c r="O12" s="1">
        <f t="shared" si="0"/>
        <v>151</v>
      </c>
      <c r="T12" s="7"/>
      <c r="W12" s="1" t="b">
        <f ca="1">OR(C12=U5,C14=U5)</f>
        <v>1</v>
      </c>
      <c r="AY12" s="7" t="s">
        <v>1669</v>
      </c>
      <c r="AZ12" s="155">
        <v>261</v>
      </c>
      <c r="BA12" s="1">
        <f>AZ12+1</f>
        <v>262</v>
      </c>
      <c r="BB12" s="1">
        <f t="shared" ref="BB12:BC12" si="2">BA12+1</f>
        <v>263</v>
      </c>
      <c r="BC12" s="1">
        <f t="shared" si="2"/>
        <v>264</v>
      </c>
      <c r="BI12" s="125"/>
      <c r="BJ12" s="7" t="s">
        <v>203</v>
      </c>
      <c r="BK12" s="69">
        <f ca="1">PMT($AS$11,$AS$3,BK5)</f>
        <v>0</v>
      </c>
      <c r="BL12" s="69">
        <f t="shared" ca="1" si="1"/>
        <v>0</v>
      </c>
      <c r="BR12" s="7" t="s">
        <v>1669</v>
      </c>
      <c r="BS12" s="155">
        <v>261</v>
      </c>
      <c r="BT12" s="1">
        <f>BS12+1</f>
        <v>262</v>
      </c>
      <c r="BU12" s="1">
        <f t="shared" ref="BU12:BV12" si="3">BT12+1</f>
        <v>263</v>
      </c>
      <c r="BV12" s="1">
        <f t="shared" si="3"/>
        <v>264</v>
      </c>
    </row>
    <row r="13" spans="2:76">
      <c r="B13" s="7" t="s">
        <v>1101</v>
      </c>
      <c r="C13" s="1" t="str">
        <f>Projektdaten!$E$36</f>
        <v>Bitte wählen …</v>
      </c>
      <c r="H13" s="7" t="s">
        <v>1344</v>
      </c>
      <c r="I13" s="1" t="b" cm="1">
        <f t="array" aca="1" ref="I13" ca="1">AND(C5&lt;&gt;0,VLOOKUP(INDIRECT("Vergleich!"&amp;G2&amp;"88"),Auswahllisten!$E$94:$F$95,2,FALSE)&lt;&gt;0)</f>
        <v>0</v>
      </c>
      <c r="K13" s="1" t="s">
        <v>692</v>
      </c>
      <c r="L13" s="1">
        <v>1500</v>
      </c>
      <c r="M13" s="1" t="s">
        <v>1049</v>
      </c>
      <c r="N13" s="1" t="s">
        <v>1094</v>
      </c>
      <c r="O13" s="1">
        <f t="shared" si="0"/>
        <v>166</v>
      </c>
      <c r="T13" s="7"/>
      <c r="AP13" s="1" t="s">
        <v>1071</v>
      </c>
      <c r="AS13" s="155">
        <v>1</v>
      </c>
      <c r="AT13" s="1" t="s">
        <v>1072</v>
      </c>
      <c r="AY13" s="7" t="s">
        <v>1670</v>
      </c>
      <c r="AZ13" s="1" cm="1">
        <f t="array" aca="1" ref="AZ13" ca="1">INDIRECT("Energie!"&amp;$G$10&amp;AZ12)*(1+$U$158)</f>
        <v>0</v>
      </c>
      <c r="BA13" s="445" cm="1">
        <f t="array" aca="1" ref="BA13" ca="1">INDIRECT("Energie!"&amp;$G$10&amp;BA12)*(1+$U$158)</f>
        <v>0</v>
      </c>
      <c r="BB13" s="445" cm="1">
        <f t="array" aca="1" ref="BB13" ca="1">INDIRECT("Energie!"&amp;$G$10&amp;BB12)*(1+$U$158)</f>
        <v>0</v>
      </c>
      <c r="BC13" s="445" cm="1">
        <f t="array" aca="1" ref="BC13" ca="1">INDIRECT("Energie!"&amp;$G$10&amp;BC12)*(1+$U$158)</f>
        <v>0</v>
      </c>
      <c r="BI13" s="125"/>
      <c r="BJ13" s="7" t="s">
        <v>1196</v>
      </c>
      <c r="BK13" s="69">
        <f ca="1">PMT($AS$11,$AS$3,BK6)</f>
        <v>0</v>
      </c>
      <c r="BL13" s="69">
        <f t="shared" ca="1" si="1"/>
        <v>0</v>
      </c>
      <c r="BR13" s="7" t="s">
        <v>1670</v>
      </c>
      <c r="BS13" s="1" cm="1">
        <f t="array" aca="1" ref="BS13" ca="1">INDIRECT("Energie!"&amp;$Y$10&amp;BS12)*(1+$U$158)</f>
        <v>0</v>
      </c>
      <c r="BT13" s="1" cm="1">
        <f t="array" aca="1" ref="BT13" ca="1">INDIRECT("Energie!"&amp;$Y$10&amp;BT12)*(1+$U$158)</f>
        <v>0</v>
      </c>
      <c r="BU13" s="1" cm="1">
        <f t="array" aca="1" ref="BU13" ca="1">INDIRECT("Energie!"&amp;$Y$10&amp;BU12)*(1+$U$158)</f>
        <v>0</v>
      </c>
      <c r="BV13" s="1" cm="1">
        <f t="array" aca="1" ref="BV13" ca="1">INDIRECT("Energie!"&amp;$Y$10&amp;BV12)*(1+$U$158)</f>
        <v>0</v>
      </c>
    </row>
    <row r="14" spans="2:76">
      <c r="B14" s="7" t="s">
        <v>1047</v>
      </c>
      <c r="C14" s="1">
        <f ca="1">IFERROR(VLOOKUP(C13,Auswahllisten!$E$9:$F$22,2,FALSE),0)</f>
        <v>0</v>
      </c>
      <c r="E14" s="1" t="b">
        <f ca="1">AND(OR(C12=2,C14=2,C12=8,C14=8),OR(C5=2,C5=8))</f>
        <v>0</v>
      </c>
      <c r="H14" s="7"/>
      <c r="K14" s="1" t="s">
        <v>693</v>
      </c>
      <c r="L14" s="1">
        <v>2000</v>
      </c>
      <c r="M14" s="1" t="s">
        <v>1050</v>
      </c>
      <c r="N14" s="1" t="s">
        <v>1312</v>
      </c>
      <c r="O14" s="1">
        <f t="shared" si="0"/>
        <v>181</v>
      </c>
      <c r="T14" s="7"/>
      <c r="W14" s="1" t="b">
        <f ca="1">AND(OR(C12=2,C14=2,C12=8,C14=8),OR(U5=2,U5=8))</f>
        <v>0</v>
      </c>
      <c r="AO14" s="160"/>
      <c r="AP14" s="160"/>
      <c r="AQ14" s="160"/>
      <c r="AR14" s="160"/>
      <c r="AS14" s="160"/>
      <c r="AT14" s="160"/>
      <c r="AU14" s="160"/>
      <c r="AY14" s="7" t="s">
        <v>1671</v>
      </c>
      <c r="AZ14" s="155">
        <v>148</v>
      </c>
      <c r="BA14" s="1">
        <f>AZ14+1</f>
        <v>149</v>
      </c>
      <c r="BB14" s="1">
        <f t="shared" ref="BB14:BC14" si="4">BA14+1</f>
        <v>150</v>
      </c>
      <c r="BC14" s="1">
        <f t="shared" si="4"/>
        <v>151</v>
      </c>
      <c r="BE14" s="1">
        <f>BC14+8</f>
        <v>159</v>
      </c>
      <c r="BJ14" s="7" t="s">
        <v>1075</v>
      </c>
      <c r="BK14" s="69">
        <f ca="1">PMT($AS$11,$AS$3,BK8)</f>
        <v>0</v>
      </c>
      <c r="BL14" s="69">
        <f ca="1">PMT($AS$11,$AS$3,BL8)</f>
        <v>0</v>
      </c>
      <c r="BR14" s="7" t="s">
        <v>1671</v>
      </c>
      <c r="BS14" s="155">
        <v>148</v>
      </c>
      <c r="BT14" s="1">
        <f>BS14+1</f>
        <v>149</v>
      </c>
      <c r="BU14" s="1">
        <f t="shared" ref="BU14:BV14" si="5">BT14+1</f>
        <v>150</v>
      </c>
      <c r="BV14" s="1">
        <f t="shared" si="5"/>
        <v>151</v>
      </c>
      <c r="BX14" s="1">
        <f>BV14+8</f>
        <v>159</v>
      </c>
    </row>
    <row r="15" spans="2:76">
      <c r="K15" s="1" t="s">
        <v>694</v>
      </c>
      <c r="L15" s="1">
        <v>2001</v>
      </c>
      <c r="M15" s="1" t="s">
        <v>1051</v>
      </c>
      <c r="Z15" s="1">
        <v>2</v>
      </c>
      <c r="BJ15" s="7" t="s">
        <v>1197</v>
      </c>
      <c r="BK15" s="69">
        <f ca="1">PMT($AS$11,$AS$3,BK9)</f>
        <v>0</v>
      </c>
      <c r="BL15" s="69">
        <f ca="1">PMT($AS$11,$AS$3,BL9)</f>
        <v>0</v>
      </c>
      <c r="BR15" s="7"/>
    </row>
    <row r="16" spans="2:76">
      <c r="AC16" s="35"/>
      <c r="AD16" s="1" t="s">
        <v>1190</v>
      </c>
    </row>
    <row r="17" spans="1:78" ht="13.5" thickBot="1">
      <c r="D17" s="16" t="s">
        <v>1040</v>
      </c>
      <c r="E17" s="18" t="str">
        <f ca="1">"Basis "&amp;F5&amp;" kW"</f>
        <v>Basis 0 kW</v>
      </c>
      <c r="F17" s="18" t="s">
        <v>348</v>
      </c>
      <c r="G17" s="16" t="str">
        <f ca="1">"Kosten "&amp;F5&amp;" kW"</f>
        <v>Kosten 0 kW</v>
      </c>
      <c r="H17" s="18" t="str">
        <f ca="1">"Basis "&amp;F6&amp;" kW"</f>
        <v>Basis 0 kW</v>
      </c>
      <c r="I17" s="18" t="s">
        <v>348</v>
      </c>
      <c r="J17" s="16" t="str">
        <f ca="1">"Kosten "&amp;F6&amp;" kW"</f>
        <v>Kosten 0 kW</v>
      </c>
      <c r="K17" s="18" t="s">
        <v>1043</v>
      </c>
      <c r="L17" s="18" t="s">
        <v>1046</v>
      </c>
      <c r="M17" s="16" t="str">
        <f ca="1">"Kosten "&amp;C6&amp;" kW"</f>
        <v>Kosten  kW</v>
      </c>
      <c r="O17" s="16" t="s">
        <v>1040</v>
      </c>
      <c r="P17" s="18" t="str">
        <f ca="1">"Basis "&amp;X5&amp;" kW"</f>
        <v>Basis 0 kW</v>
      </c>
      <c r="Q17" s="18" t="s">
        <v>348</v>
      </c>
      <c r="R17" s="16" t="str">
        <f ca="1">"Kosten "&amp;X5&amp;" kW"</f>
        <v>Kosten 0 kW</v>
      </c>
      <c r="S17" s="18" t="str">
        <f ca="1">"Basis "&amp;X6&amp;" kW"</f>
        <v>Basis 0 kW</v>
      </c>
      <c r="T17" s="18" t="s">
        <v>348</v>
      </c>
      <c r="U17" s="16" t="str">
        <f ca="1">"Kosten "&amp;X6&amp;" kW"</f>
        <v>Kosten 0 kW</v>
      </c>
      <c r="V17" s="18" t="s">
        <v>1043</v>
      </c>
      <c r="W17" s="18" t="s">
        <v>1046</v>
      </c>
      <c r="X17" s="16" t="str">
        <f ca="1">"Kosten "&amp;U6&amp;" kW"</f>
        <v>Kosten  kW</v>
      </c>
      <c r="AA17" s="35"/>
      <c r="AC17" s="35"/>
      <c r="AD17" s="35" t="s">
        <v>1212</v>
      </c>
      <c r="AE17" s="35"/>
      <c r="AF17" s="16" t="s">
        <v>1141</v>
      </c>
      <c r="AG17" s="16" t="s">
        <v>672</v>
      </c>
      <c r="AH17" s="16" t="s">
        <v>1265</v>
      </c>
      <c r="AI17" s="16" t="s">
        <v>1142</v>
      </c>
      <c r="AJ17" s="16" t="s">
        <v>672</v>
      </c>
      <c r="AK17" s="16" t="s">
        <v>1265</v>
      </c>
      <c r="AP17" s="6" t="s">
        <v>1079</v>
      </c>
      <c r="AQ17" s="63"/>
      <c r="AR17" s="63"/>
      <c r="AS17" s="63"/>
      <c r="AT17" s="63"/>
      <c r="AU17" s="63"/>
      <c r="AV17" s="63"/>
      <c r="AW17" s="63"/>
      <c r="AX17" s="63"/>
      <c r="AY17" s="63"/>
      <c r="AZ17" s="63"/>
      <c r="BA17" s="63"/>
      <c r="BB17" s="63"/>
      <c r="BC17" s="63"/>
      <c r="BD17" s="63"/>
      <c r="BE17" s="63"/>
      <c r="BF17" s="63"/>
      <c r="BG17" s="70"/>
      <c r="BI17" s="6" t="s">
        <v>1080</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986</v>
      </c>
      <c r="D18" s="94"/>
      <c r="E18" s="94"/>
      <c r="F18" s="94"/>
      <c r="G18" s="94"/>
      <c r="H18" s="94"/>
      <c r="I18" s="94"/>
      <c r="J18" s="94"/>
      <c r="K18" s="94" t="s">
        <v>1047</v>
      </c>
      <c r="L18" s="161">
        <v>1</v>
      </c>
      <c r="M18" s="94"/>
      <c r="P18" s="94"/>
      <c r="Q18" s="94"/>
      <c r="R18" s="94"/>
      <c r="S18" s="94"/>
      <c r="T18" s="94"/>
      <c r="U18" s="94"/>
      <c r="V18" s="94"/>
      <c r="W18" s="94"/>
      <c r="X18" s="94"/>
      <c r="Z18" s="1" t="s">
        <v>1040</v>
      </c>
      <c r="AA18" s="1" t="s">
        <v>1238</v>
      </c>
      <c r="AB18" s="1" t="s">
        <v>1342</v>
      </c>
      <c r="AC18" s="35"/>
      <c r="AD18" s="82" t="s">
        <v>1248</v>
      </c>
      <c r="AE18" s="64" t="s">
        <v>1249</v>
      </c>
      <c r="AF18" s="162">
        <f ca="1">SUMIF(Variante_C!$A$19:$A$157,AD18,Variante_C!$M$19:$M$157)</f>
        <v>0</v>
      </c>
      <c r="AG18" s="162"/>
      <c r="AH18" s="26">
        <f t="shared" ref="AH18:AH32" ca="1" si="6">(AF18-AG18)*$E$158</f>
        <v>0</v>
      </c>
      <c r="AI18" s="162">
        <f>SUMIF(Variante_C!$A$19:$A$157,AD18,Variante_C!$X$19:$X$157)</f>
        <v>0</v>
      </c>
      <c r="AJ18" s="162"/>
      <c r="AK18" s="26">
        <f t="shared" ref="AK18:AK32" si="7">(AI18-AJ18)*$E$158</f>
        <v>0</v>
      </c>
      <c r="AL18" s="69"/>
      <c r="AO18" s="7" t="s">
        <v>1260</v>
      </c>
      <c r="AP18" s="335" t="s">
        <v>303</v>
      </c>
      <c r="AQ18" s="336" t="s">
        <v>1261</v>
      </c>
      <c r="AR18" s="337" t="s">
        <v>1257</v>
      </c>
      <c r="AS18" s="337" t="s">
        <v>186</v>
      </c>
      <c r="AT18" s="337" t="s">
        <v>1012</v>
      </c>
      <c r="AU18" s="337" t="s">
        <v>948</v>
      </c>
      <c r="AV18" s="338" t="s">
        <v>677</v>
      </c>
      <c r="AW18" s="339" t="s">
        <v>1073</v>
      </c>
      <c r="AX18" s="658" t="s">
        <v>203</v>
      </c>
      <c r="AY18" s="659"/>
      <c r="AZ18" s="658" t="s">
        <v>193</v>
      </c>
      <c r="BA18" s="660"/>
      <c r="BB18" s="660"/>
      <c r="BC18" s="660"/>
      <c r="BD18" s="659"/>
      <c r="BE18" s="658" t="s">
        <v>1075</v>
      </c>
      <c r="BF18" s="659"/>
      <c r="BG18" s="346" t="s">
        <v>1067</v>
      </c>
      <c r="BI18" s="335" t="s">
        <v>303</v>
      </c>
      <c r="BJ18" s="336" t="s">
        <v>1261</v>
      </c>
      <c r="BK18" s="337" t="s">
        <v>1257</v>
      </c>
      <c r="BL18" s="337" t="s">
        <v>186</v>
      </c>
      <c r="BM18" s="337" t="s">
        <v>1012</v>
      </c>
      <c r="BN18" s="337" t="s">
        <v>948</v>
      </c>
      <c r="BO18" s="338" t="s">
        <v>677</v>
      </c>
      <c r="BP18" s="345" t="s">
        <v>1073</v>
      </c>
      <c r="BQ18" s="658" t="s">
        <v>203</v>
      </c>
      <c r="BR18" s="659"/>
      <c r="BS18" s="658" t="s">
        <v>193</v>
      </c>
      <c r="BT18" s="660"/>
      <c r="BU18" s="660"/>
      <c r="BV18" s="660"/>
      <c r="BW18" s="659"/>
      <c r="BX18" s="658" t="s">
        <v>1075</v>
      </c>
      <c r="BY18" s="659"/>
      <c r="BZ18" s="346" t="s">
        <v>1067</v>
      </c>
    </row>
    <row r="19" spans="1:78" ht="13.5" thickBot="1">
      <c r="A19" s="304" t="s">
        <v>1217</v>
      </c>
      <c r="B19" s="131" t="s">
        <v>1242</v>
      </c>
      <c r="C19" s="131" t="s">
        <v>244</v>
      </c>
      <c r="D19" s="162" t="str" cm="1">
        <f t="array" aca="1" ref="D19" ca="1">INDIRECT("Vergleich!"&amp;$G$2&amp;Z19)</f>
        <v>mittel</v>
      </c>
      <c r="E19" s="162" cm="1">
        <f t="array" aca="1" ref="E19" ca="1">INDIRECT("Investition_gewählt!"&amp;$I$5&amp;AA19)</f>
        <v>1500</v>
      </c>
      <c r="F19" s="25" cm="1">
        <f t="array" aca="1" ref="F19" ca="1">IF($C$5=0,0,INDEX(Faktoren!E5:GQ5,1,VLOOKUP($F$5,$L$2:$O$14,4,FALSE)+$C$9*5+VLOOKUP(D19,Auswahllisten!$E$25:$F$29,2,FALSE)))</f>
        <v>0</v>
      </c>
      <c r="G19" s="162">
        <f ca="1">E19*F19</f>
        <v>0</v>
      </c>
      <c r="H19" s="162" cm="1">
        <f t="array" aca="1" ref="H19" ca="1">INDIRECT("Investition_gewählt!"&amp;$I$6&amp;AA19)</f>
        <v>1500</v>
      </c>
      <c r="I19" s="25" cm="1">
        <f t="array" aca="1" ref="I19" ca="1">IF($C$5=0,0,INDEX(Faktoren!E5:GQ5,1,VLOOKUP($F$6,$L$2:$O$14,4,FALSE)+$C$9*5+VLOOKUP(D19,Auswahllisten!$E$25:$F$29,2,FALSE)))</f>
        <v>0</v>
      </c>
      <c r="J19" s="162">
        <f ca="1">H19*I19</f>
        <v>0</v>
      </c>
      <c r="K19" s="162">
        <f ca="1">IF($C$5=0,0,G19+(J19-G19)*($C$6-$F$5)/($F$6-$F$5))</f>
        <v>0</v>
      </c>
      <c r="L19" s="25" t="b">
        <f ca="1">($C$5=$L$18)</f>
        <v>0</v>
      </c>
      <c r="M19" s="162">
        <f ca="1">IFERROR(ROUND(K19*L19,AB19),0)</f>
        <v>0</v>
      </c>
      <c r="O19" s="25" t="str" cm="1">
        <f t="array" aca="1" ref="O19" ca="1">INDIRECT("Vergleich!"&amp;$Y$2&amp;Z19)</f>
        <v>gering</v>
      </c>
      <c r="P19" s="162" cm="1">
        <f t="array" aca="1" ref="P19" ca="1">INDIRECT("Investition_gewählt!"&amp;$AA$5&amp;AA19)</f>
        <v>1500</v>
      </c>
      <c r="Q19" s="25" cm="1">
        <f t="array" aca="1" ref="Q19" ca="1">IF($U$5=0,0,INDEX(Faktoren!E5:GQ5,1,VLOOKUP($X$5,$L$2:$O$14,4,FALSE)+$U$9*5+VLOOKUP(O19,Auswahllisten!$E$25:$F$29,2,FALSE)))</f>
        <v>0</v>
      </c>
      <c r="R19" s="162">
        <f ca="1">P19*Q19</f>
        <v>0</v>
      </c>
      <c r="S19" s="162" cm="1">
        <f t="array" aca="1" ref="S19" ca="1">INDIRECT("Investition_gewählt!"&amp;$AA$6&amp;AA19)</f>
        <v>1500</v>
      </c>
      <c r="T19" s="25" cm="1">
        <f t="array" aca="1" ref="T19" ca="1">IF($U$5=0,0,INDEX(Faktoren!E5:QG5,1,VLOOKUP($X$6,$L$3:$O$14,4,FALSE)+$U$9*5+VLOOKUP(O19,Auswahllisten!$E$25:$F$29,2,FALSE)))</f>
        <v>0</v>
      </c>
      <c r="U19" s="162">
        <f ca="1">S19*T19</f>
        <v>0</v>
      </c>
      <c r="V19" s="162">
        <f ca="1">IF($U$5=0,0,R19+(U19-R19)*($U$6-$X$5)/($X$6-$X$5))</f>
        <v>0</v>
      </c>
      <c r="W19" s="25" t="b">
        <f ca="1">($U$5=$L$18)</f>
        <v>0</v>
      </c>
      <c r="X19" s="162">
        <f ca="1">IFERROR(ROUND(V19*W19,AB19),0)</f>
        <v>0</v>
      </c>
      <c r="Z19" s="1">
        <v>39</v>
      </c>
      <c r="AA19" s="1">
        <v>5</v>
      </c>
      <c r="AB19" s="1">
        <v>-2</v>
      </c>
      <c r="AC19" s="35"/>
      <c r="AD19" s="82" t="s">
        <v>1230</v>
      </c>
      <c r="AE19" s="64" t="s">
        <v>1247</v>
      </c>
      <c r="AF19" s="26">
        <f ca="1">SUMIF(Variante_C!$A$19:$A$157,AD19,Variante_C!$M$19:$M$157)</f>
        <v>0</v>
      </c>
      <c r="AG19" s="162"/>
      <c r="AH19" s="26">
        <f t="shared" ca="1" si="6"/>
        <v>0</v>
      </c>
      <c r="AI19" s="26">
        <f ca="1">SUMIF(Variante_C!$A$19:$A$157,AD19,Variante_C!$X$19:$X$157)</f>
        <v>0</v>
      </c>
      <c r="AJ19" s="26"/>
      <c r="AK19" s="26">
        <f t="shared" ca="1" si="7"/>
        <v>0</v>
      </c>
      <c r="AL19" s="69"/>
      <c r="AO19" s="7" t="s">
        <v>1074</v>
      </c>
      <c r="AP19" s="340"/>
      <c r="AQ19" s="18"/>
      <c r="AR19" s="18"/>
      <c r="AS19" s="18"/>
      <c r="AT19" s="18"/>
      <c r="AU19" s="20"/>
      <c r="AV19" s="312"/>
      <c r="AW19" s="253" t="s">
        <v>869</v>
      </c>
      <c r="AX19" s="341" t="s">
        <v>1305</v>
      </c>
      <c r="AY19" s="344" t="s">
        <v>1192</v>
      </c>
      <c r="AZ19" s="341" t="s">
        <v>1672</v>
      </c>
      <c r="BA19" s="458" t="s">
        <v>1648</v>
      </c>
      <c r="BB19" s="458" t="s">
        <v>1650</v>
      </c>
      <c r="BC19" s="458" t="s">
        <v>172</v>
      </c>
      <c r="BD19" s="344" t="s">
        <v>1192</v>
      </c>
      <c r="BE19" s="341" t="s">
        <v>1305</v>
      </c>
      <c r="BF19" s="344" t="s">
        <v>1192</v>
      </c>
      <c r="BG19" s="347" t="s">
        <v>1076</v>
      </c>
      <c r="BI19" s="340"/>
      <c r="BJ19" s="18"/>
      <c r="BK19" s="18"/>
      <c r="BL19" s="18"/>
      <c r="BM19" s="18"/>
      <c r="BN19" s="20"/>
      <c r="BO19" s="20"/>
      <c r="BP19" s="253" t="s">
        <v>869</v>
      </c>
      <c r="BQ19" s="341" t="s">
        <v>1305</v>
      </c>
      <c r="BR19" s="344" t="s">
        <v>1192</v>
      </c>
      <c r="BS19" s="341" t="s">
        <v>1672</v>
      </c>
      <c r="BT19" s="458" t="s">
        <v>1648</v>
      </c>
      <c r="BU19" s="458" t="s">
        <v>1650</v>
      </c>
      <c r="BV19" s="458" t="s">
        <v>172</v>
      </c>
      <c r="BW19" s="344" t="s">
        <v>1192</v>
      </c>
      <c r="BX19" s="341" t="s">
        <v>1305</v>
      </c>
      <c r="BY19" s="344" t="s">
        <v>1192</v>
      </c>
      <c r="BZ19" s="347" t="s">
        <v>1076</v>
      </c>
    </row>
    <row r="20" spans="1:78" ht="14.25" thickTop="1" thickBot="1">
      <c r="A20" s="305" t="s">
        <v>1215</v>
      </c>
      <c r="B20" s="126" t="s">
        <v>303</v>
      </c>
      <c r="C20" s="126" t="s">
        <v>988</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IF($C$5=0,0,INDEX(Faktoren!E6:GQ6,1,VLOOKUP($F$5,$L$2:$O$14,4,FALSE)+$C$9*5+VLOOKUP(D20,Auswahllisten!$E$25:$F$29,2,FALSE)))</f>
        <v>0</v>
      </c>
      <c r="G20" s="26">
        <f t="shared" ref="G20:G23" ca="1" si="8">E20*F20</f>
        <v>0</v>
      </c>
      <c r="H20" s="26" cm="1">
        <f t="array" aca="1" ref="H20" ca="1">INDIRECT("Investition_gewählt!"&amp;$I$6&amp;AA20)</f>
        <v>9400</v>
      </c>
      <c r="I20" s="25" cm="1">
        <f t="array" aca="1" ref="I20" ca="1">IF($C$5=0,0,INDEX(Faktoren!E6:GQ6,1,VLOOKUP($F$6,$L$2:$O$14,4,FALSE)+$C$9*5+VLOOKUP(D20,Auswahllisten!$E$25:$F$29,2,FALSE)))</f>
        <v>0</v>
      </c>
      <c r="J20" s="26">
        <f t="shared" ref="J20:J23" ca="1" si="9">H20*I20</f>
        <v>0</v>
      </c>
      <c r="K20" s="26">
        <f t="shared" ref="K20:K23" ca="1" si="10">IF($C$5=0,0,G20+(J20-G20)*($C$6-$F$5)/($F$6-$F$5))</f>
        <v>0</v>
      </c>
      <c r="L20" s="16" t="b">
        <f ca="1">($C$5=$L$18)</f>
        <v>0</v>
      </c>
      <c r="M20" s="26">
        <f t="shared" ref="M20:M23"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IF($U$5=0,0,INDEX(Faktoren!E6:GQ6,1,VLOOKUP($X$5,$L$2:$O$14,4,FALSE)+$U$9*5+VLOOKUP(O20,Auswahllisten!$E$25:$F$29,2,FALSE)))</f>
        <v>0</v>
      </c>
      <c r="R20" s="26">
        <f t="shared" ref="R20:R23" ca="1" si="12">P20*Q20</f>
        <v>0</v>
      </c>
      <c r="S20" s="26" cm="1">
        <f t="array" aca="1" ref="S20" ca="1">INDIRECT("Investition_gewählt!"&amp;$AA$6&amp;AA20)</f>
        <v>9400</v>
      </c>
      <c r="T20" s="16" cm="1">
        <f t="array" aca="1" ref="T20" ca="1">IF($U$5=0,0,INDEX(Faktoren!E6:QG6,1,VLOOKUP($X$6,$L$3:$O$14,4,FALSE)+$U$9*5+VLOOKUP(O20,Auswahllisten!$E$25:$F$29,2,FALSE)))</f>
        <v>0</v>
      </c>
      <c r="U20" s="26">
        <f t="shared" ref="U20:U23" ca="1" si="13">S20*T20</f>
        <v>0</v>
      </c>
      <c r="V20" s="26">
        <f t="shared" ref="V20:V83" ca="1" si="14">IF($U$5=0,0,R20+(U20-R20)*($U$6-$X$5)/($X$6-$X$5))</f>
        <v>0</v>
      </c>
      <c r="W20" s="16" t="b">
        <f t="shared" ref="W20:W23" ca="1" si="15">($U$5=$L$18)</f>
        <v>0</v>
      </c>
      <c r="X20" s="26">
        <f t="shared" ref="X20:X23" ca="1" si="16">IFERROR(ROUND(V20*W20,AB20),0)</f>
        <v>0</v>
      </c>
      <c r="Z20" s="1">
        <v>40</v>
      </c>
      <c r="AA20" s="1">
        <v>6</v>
      </c>
      <c r="AB20" s="1">
        <v>-2</v>
      </c>
      <c r="AC20" s="35"/>
      <c r="AD20" s="35" t="s">
        <v>1223</v>
      </c>
      <c r="AE20" s="1" t="s">
        <v>1251</v>
      </c>
      <c r="AF20" s="26">
        <f ca="1">SUMIF(Variante_C!$A$19:$A$157,AD20,Variante_C!$M$19:$M$157)</f>
        <v>0</v>
      </c>
      <c r="AG20" s="162">
        <f ca="1">IF($C$5=0,0,E150)</f>
        <v>0</v>
      </c>
      <c r="AH20" s="26">
        <f t="shared" ca="1" si="6"/>
        <v>0</v>
      </c>
      <c r="AI20" s="26">
        <f>SUMIF(Variante_C!$A$19:$A$157,AD20,Variante_C!$X$19:$X$157)</f>
        <v>0</v>
      </c>
      <c r="AJ20" s="26"/>
      <c r="AK20" s="26">
        <f t="shared" si="7"/>
        <v>0</v>
      </c>
      <c r="AL20" s="69"/>
      <c r="AO20" s="7" t="s">
        <v>1077</v>
      </c>
      <c r="AP20" s="341">
        <f ca="1">ROUND(VLOOKUP(C5,Standardwerte!$C$35:$M$49,3,FALSE),0)</f>
        <v>0</v>
      </c>
      <c r="AQ20" s="342">
        <f ca="1">ROUND(VLOOKUP(C5,Standardwerte!$C$35:$M$49,5,FALSE),0)</f>
        <v>0</v>
      </c>
      <c r="AR20" s="342">
        <f>ROUND(Standardwerte!$I$54,0)</f>
        <v>20</v>
      </c>
      <c r="AS20" s="342">
        <f ca="1">ROUND(VLOOKUP(C5,Standardwerte!$C$35:$M$49,4,FALSE),0)</f>
        <v>0</v>
      </c>
      <c r="AT20" s="342">
        <f ca="1">ROUND(VLOOKUP(C5,Standardwerte!$C$35:$M$49,10,FALSE),0)</f>
        <v>0</v>
      </c>
      <c r="AU20" s="342">
        <f ca="1">ROUND(VLOOKUP(C5,Standardwerte!$C$35:$M$49,11,FALSE),0)</f>
        <v>0</v>
      </c>
      <c r="AV20" s="343">
        <f>ROUND(Standardwerte!$O$54,0)</f>
        <v>20</v>
      </c>
      <c r="AW20" s="344"/>
      <c r="AY20" s="7"/>
      <c r="AZ20" s="445"/>
      <c r="BA20" s="445"/>
      <c r="BB20" s="445"/>
      <c r="BC20" s="445"/>
      <c r="BI20" s="341">
        <f ca="1">ROUND(VLOOKUP(U5,Standardwerte!$C$35:$M$49,3,FALSE),0)</f>
        <v>0</v>
      </c>
      <c r="BJ20" s="342">
        <f ca="1">ROUND(VLOOKUP(U5,Standardwerte!$C$35:$M$49,5,FALSE),0)</f>
        <v>0</v>
      </c>
      <c r="BK20" s="342">
        <f>ROUND(Standardwerte!$I$54,0)</f>
        <v>20</v>
      </c>
      <c r="BL20" s="342">
        <f ca="1">ROUND(VLOOKUP(U5,Standardwerte!$C$35:$M$49,4,FALSE),0)</f>
        <v>0</v>
      </c>
      <c r="BM20" s="342">
        <f ca="1">ROUND(VLOOKUP(U5,Standardwerte!$C$35:$M$49,10,FALSE),0)</f>
        <v>0</v>
      </c>
      <c r="BN20" s="342">
        <f ca="1">ROUND(VLOOKUP(U5,Standardwerte!$C$35:$M$49,11,FALSE),0)</f>
        <v>0</v>
      </c>
      <c r="BO20" s="342">
        <f>ROUND(Standardwerte!$O$54,0)</f>
        <v>20</v>
      </c>
      <c r="BP20" s="344"/>
      <c r="BR20" s="7"/>
      <c r="BS20" s="445"/>
      <c r="BT20" s="445"/>
      <c r="BU20" s="445"/>
      <c r="BV20" s="445"/>
      <c r="BX20" s="69"/>
    </row>
    <row r="21" spans="1:78" ht="13.5" thickTop="1">
      <c r="A21" s="305" t="s">
        <v>1215</v>
      </c>
      <c r="B21" s="126" t="s">
        <v>303</v>
      </c>
      <c r="C21" s="126" t="s">
        <v>965</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IF($C$5=0,0,INDEX(Faktoren!E7:GQ7,1,VLOOKUP($F$5,$L$2:$O$14,4,FALSE)+$C$9*5+VLOOKUP(D21,Auswahllisten!$E$25:$F$29,2,FALSE)))</f>
        <v>0</v>
      </c>
      <c r="G21" s="26">
        <f t="shared" ca="1" si="8"/>
        <v>0</v>
      </c>
      <c r="H21" s="26" cm="1">
        <f t="array" aca="1" ref="H21" ca="1">INDIRECT("Investition_gewählt!"&amp;$I$6&amp;AA21)</f>
        <v>3500</v>
      </c>
      <c r="I21" s="25" cm="1">
        <f t="array" aca="1" ref="I21" ca="1">IF($C$5=0,0,INDEX(Faktoren!E7:GQ7,1,VLOOKUP($F$6,$L$2:$O$14,4,FALSE)+$C$9*5+VLOOKUP(D21,Auswahllisten!$E$25:$F$29,2,FALSE)))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IF($U$5=0,0,INDEX(Faktoren!E7:GQ7,1,VLOOKUP($X$5,$L$2:$O$14,4,FALSE)+$U$9*5+VLOOKUP(O21,Auswahllisten!$E$25:$F$29,2,FALSE)))</f>
        <v>0</v>
      </c>
      <c r="R21" s="26">
        <f t="shared" ca="1" si="12"/>
        <v>0</v>
      </c>
      <c r="S21" s="26" cm="1">
        <f t="array" aca="1" ref="S21" ca="1">INDIRECT("Investition_gewählt!"&amp;$AA$6&amp;AA21)</f>
        <v>3500</v>
      </c>
      <c r="T21" s="16" cm="1">
        <f t="array" aca="1" ref="T21" ca="1">IF($U$5=0,0,INDEX(Faktoren!E7:QG7,1,VLOOKUP($X$6,$L$3:$O$14,4,FALSE)+$U$9*5+VLOOKUP(O21,Auswahllisten!$E$25:$F$29,2,FALSE)))</f>
        <v>0</v>
      </c>
      <c r="U21" s="26">
        <f t="shared" ca="1" si="13"/>
        <v>0</v>
      </c>
      <c r="V21" s="26">
        <f t="shared" ca="1" si="14"/>
        <v>0</v>
      </c>
      <c r="W21" s="16" t="b">
        <f t="shared" ca="1" si="15"/>
        <v>0</v>
      </c>
      <c r="X21" s="26">
        <f t="shared" ca="1" si="16"/>
        <v>0</v>
      </c>
      <c r="Z21" s="1">
        <v>42</v>
      </c>
      <c r="AA21" s="1">
        <v>7</v>
      </c>
      <c r="AB21" s="1">
        <v>-2</v>
      </c>
      <c r="AC21" s="35"/>
      <c r="AD21" s="82" t="s">
        <v>1244</v>
      </c>
      <c r="AE21" s="64" t="s">
        <v>1245</v>
      </c>
      <c r="AF21" s="26">
        <f ca="1">SUMIF(Variante_C!$A$19:$A$157,AD21,Variante_C!$M$19:$M$157)</f>
        <v>0</v>
      </c>
      <c r="AG21" s="162"/>
      <c r="AH21" s="26">
        <f t="shared" ca="1" si="6"/>
        <v>0</v>
      </c>
      <c r="AI21" s="26">
        <f ca="1">SUMIF(Variante_C!$A$19:$A$157,AD21,Variante_C!$X$19:$X$157)</f>
        <v>0</v>
      </c>
      <c r="AJ21" s="26"/>
      <c r="AK21" s="26">
        <f t="shared" ca="1" si="7"/>
        <v>0</v>
      </c>
      <c r="AL21" s="69"/>
      <c r="AO21" s="7"/>
      <c r="BY21" s="69"/>
      <c r="BZ21" s="69"/>
    </row>
    <row r="22" spans="1:78">
      <c r="A22" s="305" t="s">
        <v>1215</v>
      </c>
      <c r="B22" s="126" t="s">
        <v>303</v>
      </c>
      <c r="C22" s="126" t="s">
        <v>966</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IF($C$5=0,0,INDEX(Faktoren!E8:GQ8,1,VLOOKUP($F$5,$L$2:$O$14,4,FALSE)+$C$9*5+VLOOKUP(D22,Auswahllisten!$E$25:$F$29,2,FALSE)))</f>
        <v>0</v>
      </c>
      <c r="G22" s="26">
        <f t="shared" ca="1" si="8"/>
        <v>0</v>
      </c>
      <c r="H22" s="26" cm="1">
        <f t="array" aca="1" ref="H22" ca="1">INDIRECT("Investition_gewählt!"&amp;$I$6&amp;AA22)</f>
        <v>8500</v>
      </c>
      <c r="I22" s="25" cm="1">
        <f t="array" aca="1" ref="I22" ca="1">IF($C$5=0,0,INDEX(Faktoren!E8:GQ8,1,VLOOKUP($F$6,$L$2:$O$14,4,FALSE)+$C$9*5+VLOOKUP(D22,Auswahllisten!$E$25:$F$29,2,FALSE)))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IF($U$5=0,0,INDEX(Faktoren!E8:GQ8,1,VLOOKUP($X$5,$L$2:$O$14,4,FALSE)+$U$9*5+VLOOKUP(O22,Auswahllisten!$E$25:$F$29,2,FALSE)))</f>
        <v>0</v>
      </c>
      <c r="R22" s="26">
        <f t="shared" ca="1" si="12"/>
        <v>0</v>
      </c>
      <c r="S22" s="26" cm="1">
        <f t="array" aca="1" ref="S22" ca="1">INDIRECT("Investition_gewählt!"&amp;$AA$6&amp;AA22)</f>
        <v>8500</v>
      </c>
      <c r="T22" s="16" cm="1">
        <f t="array" aca="1" ref="T22" ca="1">IF($U$5=0,0,INDEX(Faktoren!E8:QG8,1,VLOOKUP($X$6,$L$3:$O$14,4,FALSE)+$U$9*5+VLOOKUP(O22,Auswahllisten!$E$25:$F$29,2,FALSE)))</f>
        <v>0</v>
      </c>
      <c r="U22" s="26">
        <f t="shared" ca="1" si="13"/>
        <v>0</v>
      </c>
      <c r="V22" s="26">
        <f t="shared" ca="1" si="14"/>
        <v>0</v>
      </c>
      <c r="W22" s="16" t="b">
        <f t="shared" ca="1" si="15"/>
        <v>0</v>
      </c>
      <c r="X22" s="26">
        <f t="shared" ca="1" si="16"/>
        <v>0</v>
      </c>
      <c r="Z22" s="1">
        <v>47</v>
      </c>
      <c r="AA22" s="1">
        <v>8</v>
      </c>
      <c r="AB22" s="1">
        <v>-2</v>
      </c>
      <c r="AC22" s="35"/>
      <c r="AD22" s="82" t="s">
        <v>1228</v>
      </c>
      <c r="AE22" s="64" t="s">
        <v>1013</v>
      </c>
      <c r="AF22" s="26">
        <f ca="1">SUMIF(Variante_C!$A$19:$A$157,AD22,Variante_C!$M$19:$M$157)</f>
        <v>0</v>
      </c>
      <c r="AG22" s="162"/>
      <c r="AH22" s="26">
        <f t="shared" ca="1" si="6"/>
        <v>0</v>
      </c>
      <c r="AI22" s="26">
        <f>SUMIF(Variante_C!$A$19:$A$157,AD22,Variante_C!$X$19:$X$157)</f>
        <v>0</v>
      </c>
      <c r="AJ22" s="26"/>
      <c r="AK22" s="26">
        <f t="shared" si="7"/>
        <v>0</v>
      </c>
      <c r="AL22" s="69"/>
      <c r="AO22" s="7" t="s">
        <v>1078</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06" t="s">
        <v>1256</v>
      </c>
      <c r="B23" s="297" t="s">
        <v>303</v>
      </c>
      <c r="C23" s="134" t="s">
        <v>186</v>
      </c>
      <c r="D23" s="163" t="str" cm="1">
        <f t="array" aca="1" ref="D23" ca="1">INDIRECT("Vergleich!"&amp;$G$2&amp;Z23)</f>
        <v>mittel</v>
      </c>
      <c r="E23" s="163" cm="1">
        <f t="array" aca="1" ref="E23" ca="1">INDIRECT("Investition_gewählt!"&amp;$I$5&amp;AA23)</f>
        <v>4000</v>
      </c>
      <c r="F23" s="61" cm="1">
        <f t="array" aca="1" ref="F23" ca="1">IF($C$5=0,0,INDEX(Faktoren!E9:GQ9,1,VLOOKUP($F$5,$L$2:$O$14,4,FALSE)+$C$9*5+VLOOKUP(D23,Auswahllisten!$E$25:$F$29,2,FALSE)))</f>
        <v>0</v>
      </c>
      <c r="G23" s="296">
        <f t="shared" ca="1" si="8"/>
        <v>0</v>
      </c>
      <c r="H23" s="296" cm="1">
        <f t="array" aca="1" ref="H23" ca="1">INDIRECT("Investition_gewählt!"&amp;$I$6&amp;AA23)</f>
        <v>4000</v>
      </c>
      <c r="I23" s="61" cm="1">
        <f t="array" aca="1" ref="I23" ca="1">IF($C$5=0,0,INDEX(Faktoren!E9:GQ9,1,VLOOKUP($F$6,$L$2:$O$14,4,FALSE)+$C$9*5+VLOOKUP(D23,Auswahllisten!$E$25:$F$29,2,FALSE)))</f>
        <v>0</v>
      </c>
      <c r="J23" s="163">
        <f t="shared" ca="1" si="9"/>
        <v>0</v>
      </c>
      <c r="K23" s="163">
        <f t="shared" ca="1" si="10"/>
        <v>0</v>
      </c>
      <c r="L23" s="93" t="b">
        <f ca="1">($C$5=$L$18)</f>
        <v>0</v>
      </c>
      <c r="M23" s="163">
        <f t="shared" ca="1" si="11"/>
        <v>0</v>
      </c>
      <c r="O23" s="93" t="str" cm="1">
        <f t="array" aca="1" ref="O23" ca="1">INDIRECT("Vergleich!"&amp;$Y$2&amp;Z23)</f>
        <v>gering</v>
      </c>
      <c r="P23" s="163" cm="1">
        <f t="array" aca="1" ref="P23" ca="1">INDIRECT("Investition_gewählt!"&amp;$AA$5&amp;AA23)</f>
        <v>4000</v>
      </c>
      <c r="Q23" s="93" cm="1">
        <f t="array" aca="1" ref="Q23" ca="1">IF($U$5=0,0,INDEX(Faktoren!E9:GQ9,1,VLOOKUP($X$5,$L$2:$O$14,4,FALSE)+$U$9*5+VLOOKUP(O23,Auswahllisten!$E$25:$F$29,2,FALSE)))</f>
        <v>0</v>
      </c>
      <c r="R23" s="163">
        <f t="shared" ca="1" si="12"/>
        <v>0</v>
      </c>
      <c r="S23" s="163" cm="1">
        <f t="array" aca="1" ref="S23" ca="1">INDIRECT("Investition_gewählt!"&amp;$AA$6&amp;AA23)</f>
        <v>4000</v>
      </c>
      <c r="T23" s="93" cm="1">
        <f t="array" aca="1" ref="T23" ca="1">IF($U$5=0,0,INDEX(Faktoren!E9:QG9,1,VLOOKUP($X$6,$L$3:$O$14,4,FALSE)+$U$9*5+VLOOKUP(O23,Auswahllisten!$E$25:$F$29,2,FALSE)))</f>
        <v>0</v>
      </c>
      <c r="U23" s="163">
        <f t="shared" ca="1" si="13"/>
        <v>0</v>
      </c>
      <c r="V23" s="163">
        <f t="shared" ca="1" si="14"/>
        <v>0</v>
      </c>
      <c r="W23" s="93" t="b">
        <f t="shared" ca="1" si="15"/>
        <v>0</v>
      </c>
      <c r="X23" s="163">
        <f t="shared" ca="1" si="16"/>
        <v>0</v>
      </c>
      <c r="Z23" s="1">
        <v>48</v>
      </c>
      <c r="AA23" s="1">
        <v>9</v>
      </c>
      <c r="AB23" s="1">
        <v>-2</v>
      </c>
      <c r="AC23" s="35"/>
      <c r="AD23" s="82" t="s">
        <v>1217</v>
      </c>
      <c r="AE23" s="64" t="s">
        <v>1242</v>
      </c>
      <c r="AF23" s="26">
        <f ca="1">SUMIF(Variante_C!$A$19:$A$157,AD23,Variante_C!$M$19:$M$157)</f>
        <v>0</v>
      </c>
      <c r="AG23" s="162"/>
      <c r="AH23" s="26">
        <f t="shared" ca="1" si="6"/>
        <v>0</v>
      </c>
      <c r="AI23" s="26">
        <f ca="1">SUMIF(Variante_C!$A$19:$A$157,AD23,Variante_C!$X$19:$X$157)</f>
        <v>0</v>
      </c>
      <c r="AJ23" s="26"/>
      <c r="AK23" s="26">
        <f t="shared" ca="1" si="7"/>
        <v>0</v>
      </c>
      <c r="AL23" s="69"/>
    </row>
    <row r="24" spans="1:78">
      <c r="D24" s="69"/>
      <c r="E24" s="69"/>
      <c r="G24" s="69"/>
      <c r="H24" s="69"/>
      <c r="M24" s="69"/>
      <c r="P24" s="69"/>
      <c r="R24" s="69"/>
      <c r="S24" s="69"/>
      <c r="U24" s="69"/>
      <c r="V24" s="69"/>
      <c r="X24" s="69"/>
      <c r="AA24" s="1">
        <v>10</v>
      </c>
      <c r="AB24" s="1">
        <v>-2</v>
      </c>
      <c r="AC24" s="35"/>
      <c r="AD24" s="82" t="s">
        <v>1215</v>
      </c>
      <c r="AE24" s="64" t="s">
        <v>303</v>
      </c>
      <c r="AF24" s="26">
        <f ca="1">SUMIF(Variante_C!$A$19:$A$157,AD24,Variante_C!$M$19:$M$157)</f>
        <v>0</v>
      </c>
      <c r="AG24" s="162">
        <f ca="1">IF($C$5=0,0,E109)</f>
        <v>0</v>
      </c>
      <c r="AH24" s="26">
        <f t="shared" ca="1" si="6"/>
        <v>0</v>
      </c>
      <c r="AI24" s="26">
        <f ca="1">SUMIF(Variante_C!$A$19:$A$157,AD24,Variante_C!$X$19:$X$157)</f>
        <v>0</v>
      </c>
      <c r="AJ24" s="26">
        <f ca="1">IF($U$5=0,0,Variante_C!P109)</f>
        <v>0</v>
      </c>
      <c r="AK24" s="26">
        <f t="shared" ca="1" si="7"/>
        <v>0</v>
      </c>
      <c r="AL24" s="69"/>
      <c r="AN24" s="164" t="s">
        <v>271</v>
      </c>
      <c r="AO24" s="164" t="s">
        <v>348</v>
      </c>
      <c r="AP24" s="164"/>
      <c r="AQ24" s="164"/>
      <c r="AR24" s="164"/>
      <c r="AS24" s="164"/>
      <c r="AT24" s="164"/>
      <c r="AU24" s="164"/>
      <c r="AV24" s="164"/>
      <c r="AW24" s="164"/>
      <c r="AX24" s="164"/>
      <c r="AY24" s="164"/>
      <c r="AZ24" s="164"/>
      <c r="BA24" s="164"/>
      <c r="BB24" s="164"/>
      <c r="BC24" s="164"/>
      <c r="BD24" s="164"/>
      <c r="BE24" s="164"/>
      <c r="BF24" s="164"/>
      <c r="BG24" s="164"/>
      <c r="BI24" s="164"/>
      <c r="BJ24" s="164"/>
      <c r="BK24" s="164"/>
      <c r="BL24" s="164"/>
      <c r="BM24" s="164"/>
      <c r="BN24" s="164"/>
      <c r="BO24" s="164"/>
      <c r="BP24" s="164"/>
      <c r="BQ24" s="164"/>
      <c r="BR24" s="164"/>
      <c r="BS24" s="164"/>
      <c r="BT24" s="164"/>
      <c r="BU24" s="164"/>
      <c r="BV24" s="164"/>
      <c r="BW24" s="164"/>
      <c r="BX24" s="164"/>
      <c r="BY24" s="164"/>
      <c r="BZ24" s="164"/>
    </row>
    <row r="25" spans="1:78">
      <c r="A25" s="125" t="s">
        <v>990</v>
      </c>
      <c r="B25" s="125" t="s">
        <v>14</v>
      </c>
      <c r="C25" s="64"/>
      <c r="D25" s="69"/>
      <c r="E25" s="69"/>
      <c r="G25" s="69"/>
      <c r="H25" s="69"/>
      <c r="L25" s="155">
        <v>2</v>
      </c>
      <c r="M25" s="69"/>
      <c r="P25" s="69"/>
      <c r="R25" s="69"/>
      <c r="S25" s="69"/>
      <c r="U25" s="69"/>
      <c r="V25" s="69"/>
      <c r="X25" s="69"/>
      <c r="AA25" s="1">
        <v>11</v>
      </c>
      <c r="AB25" s="1">
        <v>-2</v>
      </c>
      <c r="AC25" s="35"/>
      <c r="AD25" s="82" t="s">
        <v>1254</v>
      </c>
      <c r="AE25" s="64" t="s">
        <v>1257</v>
      </c>
      <c r="AF25" s="26">
        <f ca="1">SUMIF(Variante_C!$A$19:$A$157,AD25,Variante_C!$M$19:$M$157)</f>
        <v>0</v>
      </c>
      <c r="AG25" s="162">
        <f ca="1">IF($C$5=0,0,E143)</f>
        <v>0</v>
      </c>
      <c r="AH25" s="26">
        <f t="shared" ca="1" si="6"/>
        <v>0</v>
      </c>
      <c r="AI25" s="26">
        <f>SUMIF(Variante_C!$A$19:$A$157,AD25,Variante_C!$X$19:$X$157)</f>
        <v>0</v>
      </c>
      <c r="AJ25" s="26"/>
      <c r="AK25" s="26">
        <f t="shared" si="7"/>
        <v>0</v>
      </c>
      <c r="AL25" s="69"/>
      <c r="AN25" s="55">
        <v>0</v>
      </c>
      <c r="AO25" s="55"/>
      <c r="AP25" s="165">
        <f ca="1">-(AF35+AH35)</f>
        <v>0</v>
      </c>
      <c r="AQ25" s="165">
        <f ca="1">-(AF36+AH36)</f>
        <v>0</v>
      </c>
      <c r="AR25" s="165">
        <f ca="1">-(AF37+AH37)</f>
        <v>0</v>
      </c>
      <c r="AS25" s="165">
        <f ca="1">-(AF38+AH38)</f>
        <v>0</v>
      </c>
      <c r="AT25" s="165">
        <f ca="1">-(AF39+AH39)</f>
        <v>0</v>
      </c>
      <c r="AU25" s="165">
        <f ca="1">-(AF40+AH40)</f>
        <v>0</v>
      </c>
      <c r="AV25" s="165">
        <f ca="1">-(AF41+AH41)</f>
        <v>0</v>
      </c>
      <c r="AW25" s="165"/>
      <c r="AX25" s="165">
        <f ca="1">-(SUM(M163:M214)*(1+E158))</f>
        <v>0</v>
      </c>
      <c r="AY25" s="165"/>
      <c r="AZ25" s="165" cm="1">
        <f t="array" aca="1" ref="AZ25" ca="1">-(INDIRECT("Energie!"&amp;$G$10&amp;AZ14)*(1+$E$158))</f>
        <v>0</v>
      </c>
      <c r="BA25" s="165" cm="1">
        <f t="array" aca="1" ref="BA25" ca="1">-(INDIRECT("Energie!"&amp;$G$10&amp;BA14)*(1+$E$158))</f>
        <v>0</v>
      </c>
      <c r="BB25" s="165" cm="1">
        <f t="array" aca="1" ref="BB25" ca="1">-(INDIRECT("Energie!"&amp;$G$10&amp;BB14)*(1+$E$158))</f>
        <v>0</v>
      </c>
      <c r="BC25" s="165" cm="1">
        <f t="array" aca="1" ref="BC25" ca="1">-(INDIRECT("Energie!"&amp;$G$10&amp;BC14)*(1+$E$158))</f>
        <v>0</v>
      </c>
      <c r="BD25" s="165"/>
      <c r="BE25" s="165" cm="1">
        <f t="array" aca="1" ref="BE25" ca="1">(INDIRECT("Energie!"&amp;G10&amp;BE14)+INDIRECT("Energie!"&amp;G10&amp;BE14+1))</f>
        <v>0</v>
      </c>
      <c r="BF25" s="165"/>
      <c r="BG25" s="165">
        <f ca="1">SUM(AP25:AV25)</f>
        <v>0</v>
      </c>
      <c r="BI25" s="165">
        <f ca="1">-(AI35+AK35)</f>
        <v>0</v>
      </c>
      <c r="BJ25" s="165">
        <f ca="1">-(AI36+AK36)</f>
        <v>0</v>
      </c>
      <c r="BK25" s="165">
        <f>-(AI37+AK37)</f>
        <v>0</v>
      </c>
      <c r="BL25" s="165">
        <f ca="1">-(AI38+AK38)</f>
        <v>0</v>
      </c>
      <c r="BM25" s="165">
        <f>-(AI39+AK39)</f>
        <v>0</v>
      </c>
      <c r="BN25" s="165">
        <f>-(AI40+AK40)</f>
        <v>0</v>
      </c>
      <c r="BO25" s="165">
        <f>-(AI41+AK41)</f>
        <v>0</v>
      </c>
      <c r="BP25" s="165"/>
      <c r="BQ25" s="165">
        <f ca="1">-(SUM(X163:X214)*(1+E158))</f>
        <v>0</v>
      </c>
      <c r="BR25" s="165"/>
      <c r="BS25" s="165" cm="1">
        <f t="array" aca="1" ref="BS25" ca="1">-(INDIRECT("Energie!"&amp;$Y$10&amp;BS14)*(1+$E$158))</f>
        <v>0</v>
      </c>
      <c r="BT25" s="165" cm="1">
        <f t="array" aca="1" ref="BT25" ca="1">-(INDIRECT("Energie!"&amp;$Y$10&amp;BT14)*(1+$E$158))</f>
        <v>0</v>
      </c>
      <c r="BU25" s="165" cm="1">
        <f t="array" aca="1" ref="BU25" ca="1">-(INDIRECT("Energie!"&amp;$Y$10&amp;BU14)*(1+$E$158))</f>
        <v>0</v>
      </c>
      <c r="BV25" s="165" cm="1">
        <f t="array" aca="1" ref="BV25" ca="1">-(INDIRECT("Energie!"&amp;$Y$10&amp;BV14)*(1+$E$158))</f>
        <v>0</v>
      </c>
      <c r="BW25" s="165"/>
      <c r="BX25" s="165" cm="1">
        <f t="array" aca="1" ref="BX25" ca="1">(INDIRECT("Energie!"&amp;Y10&amp;BX14)+INDIRECT("Energie!"&amp;Y10&amp;BX14+1))</f>
        <v>0</v>
      </c>
      <c r="BZ25" s="69">
        <f ca="1">SUM(BI25:BO25)</f>
        <v>0</v>
      </c>
    </row>
    <row r="26" spans="1:78">
      <c r="A26" s="304" t="s">
        <v>1217</v>
      </c>
      <c r="B26" s="131" t="s">
        <v>1242</v>
      </c>
      <c r="C26" s="131" t="s">
        <v>206</v>
      </c>
      <c r="D26" s="162" t="str" cm="1">
        <f t="array" aca="1" ref="D26" ca="1">INDIRECT("Vergleich!"&amp;$G$2&amp;Z26)</f>
        <v>mittel</v>
      </c>
      <c r="E26" s="162" cm="1">
        <f t="array" aca="1" ref="E26" ca="1">INDIRECT("Investition_gewählt!"&amp;$I$5&amp;AA26)</f>
        <v>4000</v>
      </c>
      <c r="F26" s="25" cm="1">
        <f t="array" aca="1" ref="F26" ca="1">IF($C$5=0,0,INDEX(Faktoren!E12:GQ12,1,VLOOKUP($F$5,$L$2:$O$14,4,FALSE)+$C$9*5+VLOOKUP(D26,Auswahllisten!$E$25:$F$29,2,FALSE)))</f>
        <v>0</v>
      </c>
      <c r="G26" s="162">
        <f ca="1">E26*F26</f>
        <v>0</v>
      </c>
      <c r="H26" s="162" cm="1">
        <f t="array" aca="1" ref="H26" ca="1">INDIRECT("Investition_gewählt!"&amp;$I$6&amp;AA26)</f>
        <v>4000</v>
      </c>
      <c r="I26" s="25" cm="1">
        <f t="array" aca="1" ref="I26" ca="1">IF($C$5=0,0,INDEX(Faktoren!E12:GQ12,1,VLOOKUP($F$6,$L$2:$O$14,4,FALSE)+$C$9*5+VLOOKUP(D26,Auswahllisten!$E$25:$F$29,2,FALSE)))</f>
        <v>0</v>
      </c>
      <c r="J26" s="162">
        <f ca="1">H26*I26</f>
        <v>0</v>
      </c>
      <c r="K26" s="162">
        <f t="shared" ref="K26:K30" ca="1" si="19">IF($C$5=0,0,G26+(J26-G26)*($C$6-$F$5)/($F$6-$F$5))</f>
        <v>0</v>
      </c>
      <c r="L26" s="25" t="b">
        <f ca="1">($C$5=$L$25)</f>
        <v>0</v>
      </c>
      <c r="M26" s="162">
        <f t="shared" ref="M26:M30" ca="1" si="20">IFERROR(ROUND(K26*L26,AB26),0)</f>
        <v>0</v>
      </c>
      <c r="O26" s="25" t="str" cm="1">
        <f t="array" aca="1" ref="O26" ca="1">INDIRECT("Vergleich!"&amp;$Y$2&amp;Z26)</f>
        <v>gering</v>
      </c>
      <c r="P26" s="162" cm="1">
        <f t="array" aca="1" ref="P26" ca="1">INDIRECT("Investition_gewählt!"&amp;$AA$5&amp;AA26)</f>
        <v>4000</v>
      </c>
      <c r="Q26" s="25" cm="1">
        <f t="array" aca="1" ref="Q26" ca="1">IF($U$5=0,0,INDEX(Faktoren!E12:GQ12,1,VLOOKUP($X$5,$L$2:$O$14,4,FALSE)+$U$9*5+VLOOKUP(O26,Auswahllisten!$E$25:$F$29,2,FALSE)))</f>
        <v>0</v>
      </c>
      <c r="R26" s="162">
        <f t="shared" ref="R26:R30" ca="1" si="21">P26*Q26</f>
        <v>0</v>
      </c>
      <c r="S26" s="162" cm="1">
        <f t="array" aca="1" ref="S26" ca="1">INDIRECT("Investition_gewählt!"&amp;$AA$6&amp;AA26)</f>
        <v>4000</v>
      </c>
      <c r="T26" s="25" cm="1">
        <f t="array" aca="1" ref="T26" ca="1">IF($U$5=0,0,INDEX(Faktoren!E12:QG12,1,VLOOKUP($X$6,$L$3:$O$14,4,FALSE)+$U$9*5+VLOOKUP(O26,Auswahllisten!$E$25:$F$29,2,FALSE)))</f>
        <v>0</v>
      </c>
      <c r="U26" s="162">
        <f t="shared" ref="U26:U30" ca="1" si="22">S26*T26</f>
        <v>0</v>
      </c>
      <c r="V26" s="162">
        <f t="shared" ca="1" si="14"/>
        <v>0</v>
      </c>
      <c r="W26" s="25" t="b">
        <f ca="1">($U$5=$L$25)</f>
        <v>0</v>
      </c>
      <c r="X26" s="162">
        <f t="shared" ref="X26:X30" ca="1" si="23">IFERROR(ROUND(V26*W26,AB26),0)</f>
        <v>0</v>
      </c>
      <c r="Z26" s="1">
        <v>38</v>
      </c>
      <c r="AA26" s="1">
        <v>12</v>
      </c>
      <c r="AB26" s="1">
        <v>-2</v>
      </c>
      <c r="AC26" s="35"/>
      <c r="AD26" s="82" t="s">
        <v>1256</v>
      </c>
      <c r="AE26" s="64" t="s">
        <v>186</v>
      </c>
      <c r="AF26" s="26">
        <f ca="1">SUMIF(Variante_C!$A$19:$A$157,AD26,Variante_C!$M$19:$M$157)</f>
        <v>0</v>
      </c>
      <c r="AG26" s="162"/>
      <c r="AH26" s="26">
        <f t="shared" ca="1" si="6"/>
        <v>0</v>
      </c>
      <c r="AI26" s="26">
        <f ca="1">SUMIF(Variante_C!$A$19:$A$157,AD26,Variante_C!$X$19:$X$157)</f>
        <v>0</v>
      </c>
      <c r="AJ26" s="26"/>
      <c r="AK26" s="26">
        <f t="shared" ca="1" si="7"/>
        <v>0</v>
      </c>
      <c r="AL26" s="315"/>
      <c r="AN26" s="1">
        <v>1</v>
      </c>
      <c r="AO26" s="1">
        <f t="shared" ref="AO26:AO89" si="24">IF($AS$3&lt;AN26,0,1)</f>
        <v>1</v>
      </c>
      <c r="AP26" s="69">
        <f t="shared" ref="AP26:AV41" ca="1" si="25">IFERROR($AO26*IF(MOD($AN26,AP$20)=0,AP$25,0)*(1+$AS$10)^$AN26*IF($AS$3=$AN26,0,1),0)</f>
        <v>0</v>
      </c>
      <c r="AQ26" s="69">
        <f t="shared" ca="1" si="25"/>
        <v>0</v>
      </c>
      <c r="AR26" s="69">
        <f t="shared" si="25"/>
        <v>0</v>
      </c>
      <c r="AS26" s="69">
        <f t="shared" ca="1" si="25"/>
        <v>0</v>
      </c>
      <c r="AT26" s="69">
        <f t="shared" ca="1" si="25"/>
        <v>0</v>
      </c>
      <c r="AU26" s="69">
        <f t="shared" ca="1" si="25"/>
        <v>0</v>
      </c>
      <c r="AV26" s="69">
        <f t="shared" si="25"/>
        <v>0</v>
      </c>
      <c r="AW26" s="69">
        <f ca="1">SUM(AP26:AV26)/(1+$AS$11)^AN26</f>
        <v>0</v>
      </c>
      <c r="AX26" s="69">
        <f ca="1">$AO26*AX$25*(1+$AS$9)^$AN26</f>
        <v>0</v>
      </c>
      <c r="AY26" s="69">
        <f ca="1">SUM(AX26)/(1+$AS$11)^AN26</f>
        <v>0</v>
      </c>
      <c r="AZ26" s="69">
        <f ca="1">$AO26*IF(Auswahllisten!$G$150,AZ$25+AZ$25*AZ$13*$AN26,AZ$25*(1+AZ$13)^$AN26)</f>
        <v>0</v>
      </c>
      <c r="BA26" s="69">
        <f ca="1">$AO26*IF(Auswahllisten!$G$150,BA$25+BA$25*BA$13*$AN26,BA$25*(1+BA$13)^$AN26)</f>
        <v>0</v>
      </c>
      <c r="BB26" s="69">
        <f ca="1">$AO26*IF(Auswahllisten!$G$150,BB$25+BB$25*BB$13*$AN26,BB$25*(1+BB$13)^$AN26)</f>
        <v>0</v>
      </c>
      <c r="BC26" s="69">
        <f ca="1">$AO26*IF(Auswahllisten!$G$150,BC$25+BC$25*BC$13*$AN26,BC$25*(1+BC$13)^$AN26)</f>
        <v>0</v>
      </c>
      <c r="BD26" s="69">
        <f ca="1">SUM(AZ26:BC26)/(1+$AS$11)^AN26</f>
        <v>0</v>
      </c>
      <c r="BE26" s="69">
        <f ca="1">AO26*$BE$25*(1+$AS$8)^AN26</f>
        <v>0</v>
      </c>
      <c r="BF26" s="69">
        <f ca="1">BE26/(1+$AS$11)^AN26</f>
        <v>0</v>
      </c>
      <c r="BG26" s="69">
        <f ca="1">BG25+AW26+AY26+BD26+BF26+IF(AN26=$AS$3,$BF$22,0)</f>
        <v>0</v>
      </c>
      <c r="BI26" s="69">
        <f t="shared" ref="BI26:BO41" ca="1" si="26">IFERROR($AO26*IF(MOD($AN26,BI$20)=0,BI$25,0)*(1+$AS$10)^$AN26*IF($AS$3=$AN26,0,1),0)</f>
        <v>0</v>
      </c>
      <c r="BJ26" s="69">
        <f t="shared" ca="1" si="26"/>
        <v>0</v>
      </c>
      <c r="BK26" s="69">
        <f t="shared" si="26"/>
        <v>0</v>
      </c>
      <c r="BL26" s="69">
        <f t="shared" ca="1" si="26"/>
        <v>0</v>
      </c>
      <c r="BM26" s="69">
        <f t="shared" ca="1" si="26"/>
        <v>0</v>
      </c>
      <c r="BN26" s="69">
        <f t="shared" ca="1" si="26"/>
        <v>0</v>
      </c>
      <c r="BO26" s="69">
        <f t="shared" si="26"/>
        <v>0</v>
      </c>
      <c r="BP26" s="69">
        <f t="shared" ref="BP26:BP57" ca="1" si="27">SUM(BI26:BO26)/(1+$AS$11)^AN26</f>
        <v>0</v>
      </c>
      <c r="BQ26" s="69">
        <f ca="1">$AO26*BQ$25*(1+$AS$9)^$AN26</f>
        <v>0</v>
      </c>
      <c r="BR26" s="69">
        <f t="shared" ref="BR26:BR57" ca="1" si="28">SUM(BQ26)/(1+$AS$11)^AN26</f>
        <v>0</v>
      </c>
      <c r="BS26" s="69">
        <f ca="1">$AO26*IF(Auswahllisten!$G$150,BS$25+BS$25*BS$13*$AN26,BS$25*(1+BS$13)^$AN26)</f>
        <v>0</v>
      </c>
      <c r="BT26" s="69">
        <f ca="1">$AO26*IF(Auswahllisten!$G$150,BT$25+BT$25*BT$13*$AN26,BT$25*(1+BT$13)^$AN26)</f>
        <v>0</v>
      </c>
      <c r="BU26" s="69">
        <f ca="1">$AO26*IF(Auswahllisten!$G$150,BU$25+BU$25*BU$13*$AN26,BU$25*(1+BU$13)^$AN26)</f>
        <v>0</v>
      </c>
      <c r="BV26" s="69">
        <f ca="1">$AO26*IF(Auswahllisten!$G$150,BV$25+BV$25*BV$13*$AN26,BV$25*(1+BV$13)^$AN26)</f>
        <v>0</v>
      </c>
      <c r="BW26" s="69">
        <f ca="1">SUM(BS26:BV26)/(1+$AS$11)^AN26</f>
        <v>0</v>
      </c>
      <c r="BX26" s="69">
        <f ca="1">AO26*$BX$25*(1+$AS$8)^AN26</f>
        <v>0</v>
      </c>
      <c r="BY26" s="224">
        <f t="shared" ref="BY26:BY89" ca="1" si="29">BX26/(1+$AS$11)^AN26</f>
        <v>0</v>
      </c>
      <c r="BZ26" s="224">
        <f t="shared" ref="BZ26:BZ89" ca="1" si="30">BZ25+BP26+BR26+BW26+BY26+IF(AN26=$AS$3,$BY$22,0)</f>
        <v>0</v>
      </c>
    </row>
    <row r="27" spans="1:78">
      <c r="A27" s="305" t="s">
        <v>1215</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IF($C$5=0,0,INDEX(Faktoren!E13:GQ13,1,VLOOKUP($F$5,$L$2:$O$14,4,FALSE)+$C$9*5+VLOOKUP(D27,Auswahllisten!$E$25:$F$29,2,FALSE)))</f>
        <v>0</v>
      </c>
      <c r="G27" s="26">
        <f t="shared" ref="G27:G30" ca="1" si="31">E27*F27</f>
        <v>0</v>
      </c>
      <c r="H27" s="26" cm="1">
        <f t="array" aca="1" ref="H27" ca="1">INDIRECT("Investition_gewählt!"&amp;$I$6&amp;AA27)</f>
        <v>5100</v>
      </c>
      <c r="I27" s="25" cm="1">
        <f t="array" aca="1" ref="I27" ca="1">IF($C$5=0,0,INDEX(Faktoren!E13:GQ13,1,VLOOKUP($F$6,$L$2:$O$14,4,FALSE)+$C$9*5+VLOOKUP(D27,Auswahllisten!$E$25:$F$29,2,FALSE)))</f>
        <v>0</v>
      </c>
      <c r="J27" s="26">
        <f t="shared" ref="J27:J30" ca="1" si="32">H27*I27</f>
        <v>0</v>
      </c>
      <c r="K27" s="26">
        <f t="shared" ca="1" si="19"/>
        <v>0</v>
      </c>
      <c r="L27" s="16" t="b">
        <f ca="1">($C$5=$L$25)</f>
        <v>0</v>
      </c>
      <c r="M27" s="26">
        <f t="shared" ca="1" si="20"/>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IF($U$5=0,0,INDEX(Faktoren!E13:GQ13,1,VLOOKUP($X$5,$L$2:$O$14,4,FALSE)+$U$9*5+VLOOKUP(O27,Auswahllisten!$E$25:$F$29,2,FALSE)))</f>
        <v>0</v>
      </c>
      <c r="R27" s="26">
        <f t="shared" ca="1" si="21"/>
        <v>0</v>
      </c>
      <c r="S27" s="26" cm="1">
        <f t="array" aca="1" ref="S27" ca="1">INDIRECT("Investition_gewählt!"&amp;$AA$6&amp;AA27)</f>
        <v>5100</v>
      </c>
      <c r="T27" s="16" cm="1">
        <f t="array" aca="1" ref="T27" ca="1">IF($U$5=0,0,INDEX(Faktoren!E13:QG13,1,VLOOKUP($X$6,$L$3:$O$14,4,FALSE)+$U$9*5+VLOOKUP(O27,Auswahllisten!$E$25:$F$29,2,FALSE)))</f>
        <v>0</v>
      </c>
      <c r="U27" s="26">
        <f t="shared" ca="1" si="22"/>
        <v>0</v>
      </c>
      <c r="V27" s="26">
        <f t="shared" ca="1" si="14"/>
        <v>0</v>
      </c>
      <c r="W27" s="25" t="b">
        <f t="shared" ref="W27:W30" ca="1" si="33">($U$5=$L$25)</f>
        <v>0</v>
      </c>
      <c r="X27" s="26">
        <f t="shared" ca="1" si="23"/>
        <v>0</v>
      </c>
      <c r="Z27" s="1">
        <v>40</v>
      </c>
      <c r="AA27" s="1">
        <v>13</v>
      </c>
      <c r="AB27" s="1">
        <v>-2</v>
      </c>
      <c r="AC27" s="35"/>
      <c r="AD27" s="82" t="s">
        <v>1218</v>
      </c>
      <c r="AE27" s="64" t="s">
        <v>1243</v>
      </c>
      <c r="AF27" s="26">
        <f ca="1">SUMIF(Variante_C!$A$19:$A$157,AD27,Variante_C!$M$19:$M$157)</f>
        <v>0</v>
      </c>
      <c r="AG27" s="162"/>
      <c r="AH27" s="26">
        <f t="shared" ca="1" si="6"/>
        <v>0</v>
      </c>
      <c r="AI27" s="26">
        <f ca="1">SUMIF(Variante_C!$A$19:$A$157,AD27,Variante_C!$X$19:$X$157)</f>
        <v>0</v>
      </c>
      <c r="AJ27" s="26"/>
      <c r="AK27" s="26">
        <f t="shared" ca="1" si="7"/>
        <v>0</v>
      </c>
      <c r="AL27" s="69"/>
      <c r="AN27" s="1">
        <v>2</v>
      </c>
      <c r="AO27" s="1">
        <f t="shared" si="24"/>
        <v>1</v>
      </c>
      <c r="AP27" s="69">
        <f t="shared" ca="1" si="25"/>
        <v>0</v>
      </c>
      <c r="AQ27" s="69">
        <f t="shared" ca="1" si="25"/>
        <v>0</v>
      </c>
      <c r="AR27" s="69">
        <f t="shared" si="25"/>
        <v>0</v>
      </c>
      <c r="AS27" s="69">
        <f t="shared" ca="1" si="25"/>
        <v>0</v>
      </c>
      <c r="AT27" s="69">
        <f t="shared" ca="1" si="25"/>
        <v>0</v>
      </c>
      <c r="AU27" s="69">
        <f t="shared" ca="1" si="25"/>
        <v>0</v>
      </c>
      <c r="AV27" s="69">
        <f t="shared" si="25"/>
        <v>0</v>
      </c>
      <c r="AW27" s="69">
        <f t="shared" ref="AW27:AW44" ca="1" si="34">SUM(AP27:AV27)/(1+$AS$11)^AN27</f>
        <v>0</v>
      </c>
      <c r="AX27" s="69">
        <f t="shared" ref="AX27:AX90" ca="1" si="35">$AO27*AX$25*(1+$AS$9)^$AN27</f>
        <v>0</v>
      </c>
      <c r="AY27" s="69">
        <f t="shared" ref="AY27:AY90" ca="1" si="36">SUM(AX27)/(1+$AS$11)^AN27</f>
        <v>0</v>
      </c>
      <c r="AZ27" s="69">
        <f ca="1">$AO27*IF(Auswahllisten!$G$150,AZ$25+AZ$25*AZ$13*$AN27,AZ$25*(1+AZ$13)^$AN27)</f>
        <v>0</v>
      </c>
      <c r="BA27" s="69">
        <f ca="1">$AO27*IF(Auswahllisten!$G$150,BA$25+BA$25*BA$13*$AN27,BA$25*(1+BA$13)^$AN27)</f>
        <v>0</v>
      </c>
      <c r="BB27" s="69">
        <f ca="1">$AO27*IF(Auswahllisten!$G$150,BB$25+BB$25*BB$13*$AN27,BB$25*(1+BB$13)^$AN27)</f>
        <v>0</v>
      </c>
      <c r="BC27" s="69">
        <f ca="1">$AO27*IF(Auswahllisten!$G$150,BC$25+BC$25*BC$13*$AN27,BC$25*(1+BC$13)^$AN27)</f>
        <v>0</v>
      </c>
      <c r="BD27" s="69">
        <f t="shared" ref="BD27:BD90" ca="1" si="37">SUM(AZ27:BC27)/(1+$AS$11)^AN27</f>
        <v>0</v>
      </c>
      <c r="BE27" s="69">
        <f t="shared" ref="BE27:BE90" ca="1" si="38">AO27*$BE$25*(1+$AS$8)^AN27</f>
        <v>0</v>
      </c>
      <c r="BF27" s="69">
        <f t="shared" ref="BF27:BF90" ca="1" si="39">BE27/(1+$AS$11)^AN27</f>
        <v>0</v>
      </c>
      <c r="BG27" s="69">
        <f t="shared" ref="BG27:BG90" ca="1" si="40">BG26+AW27+AY27+BD27+BF27+IF(AN27=$AS$3,$BF$22,0)</f>
        <v>0</v>
      </c>
      <c r="BI27" s="69">
        <f t="shared" ca="1" si="26"/>
        <v>0</v>
      </c>
      <c r="BJ27" s="69">
        <f t="shared" ca="1" si="26"/>
        <v>0</v>
      </c>
      <c r="BK27" s="69">
        <f t="shared" si="26"/>
        <v>0</v>
      </c>
      <c r="BL27" s="69">
        <f t="shared" ca="1" si="26"/>
        <v>0</v>
      </c>
      <c r="BM27" s="69">
        <f t="shared" ca="1" si="26"/>
        <v>0</v>
      </c>
      <c r="BN27" s="69">
        <f t="shared" ca="1" si="26"/>
        <v>0</v>
      </c>
      <c r="BO27" s="69">
        <f t="shared" si="26"/>
        <v>0</v>
      </c>
      <c r="BP27" s="69">
        <f t="shared" ca="1" si="27"/>
        <v>0</v>
      </c>
      <c r="BQ27" s="69">
        <f t="shared" ref="BQ27:BQ90" ca="1" si="41">$AO27*BQ$25*(1+$AS$9)^$AN27</f>
        <v>0</v>
      </c>
      <c r="BR27" s="69">
        <f t="shared" ca="1" si="28"/>
        <v>0</v>
      </c>
      <c r="BS27" s="69">
        <f ca="1">$AO27*IF(Auswahllisten!$G$150,BS$25+BS$25*BS$13*$AN27,BS$25*(1+BS$13)^$AN27)</f>
        <v>0</v>
      </c>
      <c r="BT27" s="69">
        <f ca="1">$AO27*IF(Auswahllisten!$G$150,BT$25+BT$25*BT$13*$AN27,BT$25*(1+BT$13)^$AN27)</f>
        <v>0</v>
      </c>
      <c r="BU27" s="69">
        <f ca="1">$AO27*IF(Auswahllisten!$G$150,BU$25+BU$25*BU$13*$AN27,BU$25*(1+BU$13)^$AN27)</f>
        <v>0</v>
      </c>
      <c r="BV27" s="69">
        <f ca="1">$AO27*IF(Auswahllisten!$G$150,BV$25+BV$25*BV$13*$AN27,BV$25*(1+BV$13)^$AN27)</f>
        <v>0</v>
      </c>
      <c r="BW27" s="69">
        <f t="shared" ref="BW27:BW90" ca="1" si="42">SUM(BS27:BV27)/(1+$AS$11)^AN27</f>
        <v>0</v>
      </c>
      <c r="BX27" s="69">
        <f t="shared" ref="BX27:BX90" ca="1" si="43">AO27*$BX$25*(1+$AS$8)^AN27</f>
        <v>0</v>
      </c>
      <c r="BY27" s="69">
        <f t="shared" ca="1" si="29"/>
        <v>0</v>
      </c>
      <c r="BZ27" s="69">
        <f t="shared" ca="1" si="30"/>
        <v>0</v>
      </c>
    </row>
    <row r="28" spans="1:78">
      <c r="A28" s="305" t="s">
        <v>1215</v>
      </c>
      <c r="B28" s="126" t="s">
        <v>303</v>
      </c>
      <c r="C28" s="126" t="s">
        <v>965</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IF($C$5=0,0,INDEX(Faktoren!E14:GQ14,1,VLOOKUP($F$5,$L$2:$O$14,4,FALSE)+$C$9*5+VLOOKUP(D28,Auswahllisten!$E$25:$F$29,2,FALSE)))</f>
        <v>0</v>
      </c>
      <c r="G28" s="26">
        <f t="shared" ca="1" si="31"/>
        <v>0</v>
      </c>
      <c r="H28" s="26" cm="1">
        <f t="array" aca="1" ref="H28" ca="1">INDIRECT("Investition_gewählt!"&amp;$I$6&amp;AA28)</f>
        <v>3600</v>
      </c>
      <c r="I28" s="25" cm="1">
        <f t="array" aca="1" ref="I28" ca="1">IF($C$5=0,0,INDEX(Faktoren!E14:GQ14,1,VLOOKUP($F$6,$L$2:$O$14,4,FALSE)+$C$9*5+VLOOKUP(D28,Auswahllisten!$E$25:$F$29,2,FALSE)))</f>
        <v>0</v>
      </c>
      <c r="J28" s="26">
        <f t="shared" ca="1" si="32"/>
        <v>0</v>
      </c>
      <c r="K28" s="26">
        <f t="shared" ca="1" si="19"/>
        <v>0</v>
      </c>
      <c r="L28" s="16" t="b">
        <f ca="1">($C$5=$L$25)</f>
        <v>0</v>
      </c>
      <c r="M28" s="26">
        <f t="shared" ca="1" si="20"/>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IF($U$5=0,0,INDEX(Faktoren!E14:GQ14,1,VLOOKUP($X$5,$L$2:$O$14,4,FALSE)+$U$9*5+VLOOKUP(O28,Auswahllisten!$E$25:$F$29,2,FALSE)))</f>
        <v>0</v>
      </c>
      <c r="R28" s="26">
        <f t="shared" ca="1" si="21"/>
        <v>0</v>
      </c>
      <c r="S28" s="26" cm="1">
        <f t="array" aca="1" ref="S28" ca="1">INDIRECT("Investition_gewählt!"&amp;$AA$6&amp;AA28)</f>
        <v>3600</v>
      </c>
      <c r="T28" s="16" cm="1">
        <f t="array" aca="1" ref="T28" ca="1">IF($U$5=0,0,INDEX(Faktoren!E14:QG14,1,VLOOKUP($X$6,$L$3:$O$14,4,FALSE)+$U$9*5+VLOOKUP(O28,Auswahllisten!$E$25:$F$29,2,FALSE)))</f>
        <v>0</v>
      </c>
      <c r="U28" s="26">
        <f t="shared" ca="1" si="22"/>
        <v>0</v>
      </c>
      <c r="V28" s="26">
        <f t="shared" ca="1" si="14"/>
        <v>0</v>
      </c>
      <c r="W28" s="25" t="b">
        <f t="shared" ca="1" si="33"/>
        <v>0</v>
      </c>
      <c r="X28" s="26">
        <f t="shared" ca="1" si="23"/>
        <v>0</v>
      </c>
      <c r="Z28" s="1">
        <v>42</v>
      </c>
      <c r="AA28" s="1">
        <v>14</v>
      </c>
      <c r="AB28" s="1">
        <v>-2</v>
      </c>
      <c r="AC28" s="35"/>
      <c r="AD28" s="82" t="s">
        <v>1219</v>
      </c>
      <c r="AE28" s="64" t="s">
        <v>1012</v>
      </c>
      <c r="AF28" s="26">
        <f ca="1">SUMIF(Variante_C!$A$19:$A$157,AD28,Variante_C!$M$19:$M$157)</f>
        <v>0</v>
      </c>
      <c r="AG28" s="162"/>
      <c r="AH28" s="26">
        <f t="shared" ca="1" si="6"/>
        <v>0</v>
      </c>
      <c r="AI28" s="26">
        <f>SUMIF(Variante_C!$A$19:$A$157,AD28,Variante_C!$X$19:$X$157)</f>
        <v>0</v>
      </c>
      <c r="AJ28" s="26"/>
      <c r="AK28" s="26">
        <f t="shared" si="7"/>
        <v>0</v>
      </c>
      <c r="AL28" s="69"/>
      <c r="AN28" s="1">
        <v>3</v>
      </c>
      <c r="AO28" s="1">
        <f t="shared" si="24"/>
        <v>1</v>
      </c>
      <c r="AP28" s="69">
        <f t="shared" ca="1" si="25"/>
        <v>0</v>
      </c>
      <c r="AQ28" s="69">
        <f t="shared" ca="1" si="25"/>
        <v>0</v>
      </c>
      <c r="AR28" s="69">
        <f t="shared" si="25"/>
        <v>0</v>
      </c>
      <c r="AS28" s="69">
        <f t="shared" ca="1" si="25"/>
        <v>0</v>
      </c>
      <c r="AT28" s="69">
        <f t="shared" ca="1" si="25"/>
        <v>0</v>
      </c>
      <c r="AU28" s="69">
        <f t="shared" ca="1" si="25"/>
        <v>0</v>
      </c>
      <c r="AV28" s="69">
        <f t="shared" si="25"/>
        <v>0</v>
      </c>
      <c r="AW28" s="69">
        <f t="shared" ca="1" si="34"/>
        <v>0</v>
      </c>
      <c r="AX28" s="69">
        <f t="shared" ca="1" si="35"/>
        <v>0</v>
      </c>
      <c r="AY28" s="69">
        <f t="shared" ca="1" si="36"/>
        <v>0</v>
      </c>
      <c r="AZ28" s="69">
        <f ca="1">$AO28*IF(Auswahllisten!$G$150,AZ$25+AZ$25*AZ$13*$AN28,AZ$25*(1+AZ$13)^$AN28)</f>
        <v>0</v>
      </c>
      <c r="BA28" s="69">
        <f ca="1">$AO28*IF(Auswahllisten!$G$150,BA$25+BA$25*BA$13*$AN28,BA$25*(1+BA$13)^$AN28)</f>
        <v>0</v>
      </c>
      <c r="BB28" s="69">
        <f ca="1">$AO28*IF(Auswahllisten!$G$150,BB$25+BB$25*BB$13*$AN28,BB$25*(1+BB$13)^$AN28)</f>
        <v>0</v>
      </c>
      <c r="BC28" s="69">
        <f ca="1">$AO28*IF(Auswahllisten!$G$150,BC$25+BC$25*BC$13*$AN28,BC$25*(1+BC$13)^$AN28)</f>
        <v>0</v>
      </c>
      <c r="BD28" s="69">
        <f t="shared" ca="1" si="37"/>
        <v>0</v>
      </c>
      <c r="BE28" s="69">
        <f t="shared" ca="1" si="38"/>
        <v>0</v>
      </c>
      <c r="BF28" s="69">
        <f t="shared" ca="1" si="39"/>
        <v>0</v>
      </c>
      <c r="BG28" s="69">
        <f t="shared" ca="1" si="40"/>
        <v>0</v>
      </c>
      <c r="BI28" s="69">
        <f t="shared" ca="1" si="26"/>
        <v>0</v>
      </c>
      <c r="BJ28" s="69">
        <f t="shared" ca="1" si="26"/>
        <v>0</v>
      </c>
      <c r="BK28" s="69">
        <f t="shared" si="26"/>
        <v>0</v>
      </c>
      <c r="BL28" s="69">
        <f t="shared" ca="1" si="26"/>
        <v>0</v>
      </c>
      <c r="BM28" s="69">
        <f t="shared" ca="1" si="26"/>
        <v>0</v>
      </c>
      <c r="BN28" s="69">
        <f t="shared" ca="1" si="26"/>
        <v>0</v>
      </c>
      <c r="BO28" s="69">
        <f t="shared" si="26"/>
        <v>0</v>
      </c>
      <c r="BP28" s="69">
        <f t="shared" ca="1" si="27"/>
        <v>0</v>
      </c>
      <c r="BQ28" s="69">
        <f t="shared" ca="1" si="41"/>
        <v>0</v>
      </c>
      <c r="BR28" s="69">
        <f t="shared" ca="1" si="28"/>
        <v>0</v>
      </c>
      <c r="BS28" s="69">
        <f ca="1">$AO28*IF(Auswahllisten!$G$150,BS$25+BS$25*BS$13*$AN28,BS$25*(1+BS$13)^$AN28)</f>
        <v>0</v>
      </c>
      <c r="BT28" s="69">
        <f ca="1">$AO28*IF(Auswahllisten!$G$150,BT$25+BT$25*BT$13*$AN28,BT$25*(1+BT$13)^$AN28)</f>
        <v>0</v>
      </c>
      <c r="BU28" s="69">
        <f ca="1">$AO28*IF(Auswahllisten!$G$150,BU$25+BU$25*BU$13*$AN28,BU$25*(1+BU$13)^$AN28)</f>
        <v>0</v>
      </c>
      <c r="BV28" s="69">
        <f ca="1">$AO28*IF(Auswahllisten!$G$150,BV$25+BV$25*BV$13*$AN28,BV$25*(1+BV$13)^$AN28)</f>
        <v>0</v>
      </c>
      <c r="BW28" s="69">
        <f t="shared" ca="1" si="42"/>
        <v>0</v>
      </c>
      <c r="BX28" s="69">
        <f t="shared" ca="1" si="43"/>
        <v>0</v>
      </c>
      <c r="BY28" s="69">
        <f t="shared" ca="1" si="29"/>
        <v>0</v>
      </c>
      <c r="BZ28" s="69">
        <f t="shared" ca="1" si="30"/>
        <v>0</v>
      </c>
    </row>
    <row r="29" spans="1:78">
      <c r="A29" s="305" t="s">
        <v>1215</v>
      </c>
      <c r="B29" s="126" t="s">
        <v>303</v>
      </c>
      <c r="C29" s="126" t="s">
        <v>966</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IF($C$5=0,0,INDEX(Faktoren!E15:GQ15,1,VLOOKUP($F$5,$L$2:$O$14,4,FALSE)+$C$9*5+VLOOKUP(D29,Auswahllisten!$E$25:$F$29,2,FALSE)))</f>
        <v>0</v>
      </c>
      <c r="G29" s="26">
        <f t="shared" ca="1" si="31"/>
        <v>0</v>
      </c>
      <c r="H29" s="26" cm="1">
        <f t="array" aca="1" ref="H29" ca="1">INDIRECT("Investition_gewählt!"&amp;$I$6&amp;AA29)</f>
        <v>6000</v>
      </c>
      <c r="I29" s="25" cm="1">
        <f t="array" aca="1" ref="I29" ca="1">IF($C$5=0,0,INDEX(Faktoren!E15:GQ15,1,VLOOKUP($F$6,$L$2:$O$14,4,FALSE)+$C$9*5+VLOOKUP(D29,Auswahllisten!$E$25:$F$29,2,FALSE)))</f>
        <v>0</v>
      </c>
      <c r="J29" s="26">
        <f t="shared" ca="1" si="32"/>
        <v>0</v>
      </c>
      <c r="K29" s="26">
        <f t="shared" ca="1" si="19"/>
        <v>0</v>
      </c>
      <c r="L29" s="16" t="b">
        <f ca="1">($C$5=$L$25)</f>
        <v>0</v>
      </c>
      <c r="M29" s="26">
        <f t="shared" ca="1" si="20"/>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IF($U$5=0,0,INDEX(Faktoren!E15:GQ15,1,VLOOKUP($X$5,$L$2:$O$14,4,FALSE)+$U$9*5+VLOOKUP(O29,Auswahllisten!$E$25:$F$29,2,FALSE)))</f>
        <v>0</v>
      </c>
      <c r="R29" s="26">
        <f t="shared" ca="1" si="21"/>
        <v>0</v>
      </c>
      <c r="S29" s="26" cm="1">
        <f t="array" aca="1" ref="S29" ca="1">INDIRECT("Investition_gewählt!"&amp;$AA$6&amp;AA29)</f>
        <v>6000</v>
      </c>
      <c r="T29" s="16" cm="1">
        <f t="array" aca="1" ref="T29" ca="1">IF($U$5=0,0,INDEX(Faktoren!E15:QG15,1,VLOOKUP($X$6,$L$3:$O$14,4,FALSE)+$U$9*5+VLOOKUP(O29,Auswahllisten!$E$25:$F$29,2,FALSE)))</f>
        <v>0</v>
      </c>
      <c r="U29" s="26">
        <f t="shared" ca="1" si="22"/>
        <v>0</v>
      </c>
      <c r="V29" s="26">
        <f t="shared" ca="1" si="14"/>
        <v>0</v>
      </c>
      <c r="W29" s="25" t="b">
        <f t="shared" ca="1" si="33"/>
        <v>0</v>
      </c>
      <c r="X29" s="26">
        <f t="shared" ca="1" si="23"/>
        <v>0</v>
      </c>
      <c r="Z29" s="1">
        <v>47</v>
      </c>
      <c r="AA29" s="1">
        <v>15</v>
      </c>
      <c r="AB29" s="1">
        <v>-2</v>
      </c>
      <c r="AC29" s="35"/>
      <c r="AD29" s="82" t="s">
        <v>1226</v>
      </c>
      <c r="AE29" s="64" t="s">
        <v>948</v>
      </c>
      <c r="AF29" s="26">
        <f ca="1">SUMIF(Variante_C!$A$19:$A$157,AD29,Variante_C!$M$19:$M$157)</f>
        <v>0</v>
      </c>
      <c r="AG29" s="162"/>
      <c r="AH29" s="26">
        <f t="shared" ca="1" si="6"/>
        <v>0</v>
      </c>
      <c r="AI29" s="26">
        <f>SUMIF(Variante_C!$A$19:$A$157,AD29,Variante_C!$X$19:$X$157)</f>
        <v>0</v>
      </c>
      <c r="AJ29" s="26"/>
      <c r="AK29" s="26">
        <f t="shared" si="7"/>
        <v>0</v>
      </c>
      <c r="AL29" s="69"/>
      <c r="AN29" s="1">
        <v>4</v>
      </c>
      <c r="AO29" s="1">
        <f t="shared" si="24"/>
        <v>1</v>
      </c>
      <c r="AP29" s="69">
        <f t="shared" ca="1" si="25"/>
        <v>0</v>
      </c>
      <c r="AQ29" s="69">
        <f t="shared" ca="1" si="25"/>
        <v>0</v>
      </c>
      <c r="AR29" s="69">
        <f t="shared" si="25"/>
        <v>0</v>
      </c>
      <c r="AS29" s="69">
        <f t="shared" ca="1" si="25"/>
        <v>0</v>
      </c>
      <c r="AT29" s="69">
        <f t="shared" ca="1" si="25"/>
        <v>0</v>
      </c>
      <c r="AU29" s="69">
        <f t="shared" ca="1" si="25"/>
        <v>0</v>
      </c>
      <c r="AV29" s="69">
        <f t="shared" si="25"/>
        <v>0</v>
      </c>
      <c r="AW29" s="69">
        <f t="shared" ca="1" si="34"/>
        <v>0</v>
      </c>
      <c r="AX29" s="69">
        <f t="shared" ca="1" si="35"/>
        <v>0</v>
      </c>
      <c r="AY29" s="69">
        <f t="shared" ca="1" si="36"/>
        <v>0</v>
      </c>
      <c r="AZ29" s="69">
        <f ca="1">$AO29*IF(Auswahllisten!$G$150,AZ$25+AZ$25*AZ$13*$AN29,AZ$25*(1+AZ$13)^$AN29)</f>
        <v>0</v>
      </c>
      <c r="BA29" s="69">
        <f ca="1">$AO29*IF(Auswahllisten!$G$150,BA$25+BA$25*BA$13*$AN29,BA$25*(1+BA$13)^$AN29)</f>
        <v>0</v>
      </c>
      <c r="BB29" s="69">
        <f ca="1">$AO29*IF(Auswahllisten!$G$150,BB$25+BB$25*BB$13*$AN29,BB$25*(1+BB$13)^$AN29)</f>
        <v>0</v>
      </c>
      <c r="BC29" s="69">
        <f ca="1">$AO29*IF(Auswahllisten!$G$150,BC$25+BC$25*BC$13*$AN29,BC$25*(1+BC$13)^$AN29)</f>
        <v>0</v>
      </c>
      <c r="BD29" s="69">
        <f t="shared" ca="1" si="37"/>
        <v>0</v>
      </c>
      <c r="BE29" s="69">
        <f t="shared" ca="1" si="38"/>
        <v>0</v>
      </c>
      <c r="BF29" s="69">
        <f t="shared" ca="1" si="39"/>
        <v>0</v>
      </c>
      <c r="BG29" s="69">
        <f t="shared" ca="1" si="40"/>
        <v>0</v>
      </c>
      <c r="BI29" s="69">
        <f t="shared" ca="1" si="26"/>
        <v>0</v>
      </c>
      <c r="BJ29" s="69">
        <f t="shared" ca="1" si="26"/>
        <v>0</v>
      </c>
      <c r="BK29" s="69">
        <f t="shared" si="26"/>
        <v>0</v>
      </c>
      <c r="BL29" s="69">
        <f t="shared" ca="1" si="26"/>
        <v>0</v>
      </c>
      <c r="BM29" s="69">
        <f t="shared" ca="1" si="26"/>
        <v>0</v>
      </c>
      <c r="BN29" s="69">
        <f t="shared" ca="1" si="26"/>
        <v>0</v>
      </c>
      <c r="BO29" s="69">
        <f t="shared" si="26"/>
        <v>0</v>
      </c>
      <c r="BP29" s="69">
        <f t="shared" ca="1" si="27"/>
        <v>0</v>
      </c>
      <c r="BQ29" s="69">
        <f t="shared" ca="1" si="41"/>
        <v>0</v>
      </c>
      <c r="BR29" s="69">
        <f t="shared" ca="1" si="28"/>
        <v>0</v>
      </c>
      <c r="BS29" s="69">
        <f ca="1">$AO29*IF(Auswahllisten!$G$150,BS$25+BS$25*BS$13*$AN29,BS$25*(1+BS$13)^$AN29)</f>
        <v>0</v>
      </c>
      <c r="BT29" s="69">
        <f ca="1">$AO29*IF(Auswahllisten!$G$150,BT$25+BT$25*BT$13*$AN29,BT$25*(1+BT$13)^$AN29)</f>
        <v>0</v>
      </c>
      <c r="BU29" s="69">
        <f ca="1">$AO29*IF(Auswahllisten!$G$150,BU$25+BU$25*BU$13*$AN29,BU$25*(1+BU$13)^$AN29)</f>
        <v>0</v>
      </c>
      <c r="BV29" s="69">
        <f ca="1">$AO29*IF(Auswahllisten!$G$150,BV$25+BV$25*BV$13*$AN29,BV$25*(1+BV$13)^$AN29)</f>
        <v>0</v>
      </c>
      <c r="BW29" s="69">
        <f t="shared" ca="1" si="42"/>
        <v>0</v>
      </c>
      <c r="BX29" s="69">
        <f t="shared" ca="1" si="43"/>
        <v>0</v>
      </c>
      <c r="BY29" s="69">
        <f t="shared" ca="1" si="29"/>
        <v>0</v>
      </c>
      <c r="BZ29" s="69">
        <f t="shared" ca="1" si="30"/>
        <v>0</v>
      </c>
    </row>
    <row r="30" spans="1:78">
      <c r="A30" s="306" t="s">
        <v>1256</v>
      </c>
      <c r="B30" s="297" t="s">
        <v>303</v>
      </c>
      <c r="C30" s="134" t="s">
        <v>186</v>
      </c>
      <c r="D30" s="163" t="str" cm="1">
        <f t="array" aca="1" ref="D30" ca="1">INDIRECT("Vergleich!"&amp;$G$2&amp;Z30)</f>
        <v>mittel</v>
      </c>
      <c r="E30" s="163" cm="1">
        <f t="array" aca="1" ref="E30" ca="1">INDIRECT("Investition_gewählt!"&amp;$I$5&amp;AA30)</f>
        <v>4000</v>
      </c>
      <c r="F30" s="61" cm="1">
        <f t="array" aca="1" ref="F30" ca="1">IF($C$5=0,0,INDEX(Faktoren!E16:GQ16,1,VLOOKUP($F$5,$L$2:$O$14,4,FALSE)+$C$9*5+VLOOKUP(D30,Auswahllisten!$E$25:$F$29,2,FALSE)))</f>
        <v>0</v>
      </c>
      <c r="G30" s="296">
        <f t="shared" ca="1" si="31"/>
        <v>0</v>
      </c>
      <c r="H30" s="296" cm="1">
        <f t="array" aca="1" ref="H30" ca="1">INDIRECT("Investition_gewählt!"&amp;$I$6&amp;AA30)</f>
        <v>4000</v>
      </c>
      <c r="I30" s="61" cm="1">
        <f t="array" aca="1" ref="I30" ca="1">IF($C$5=0,0,INDEX(Faktoren!E16:GQ16,1,VLOOKUP($F$6,$L$2:$O$14,4,FALSE)+$C$9*5+VLOOKUP(D30,Auswahllisten!$E$25:$F$29,2,FALSE)))</f>
        <v>0</v>
      </c>
      <c r="J30" s="163">
        <f t="shared" ca="1" si="32"/>
        <v>0</v>
      </c>
      <c r="K30" s="163">
        <f t="shared" ca="1" si="19"/>
        <v>0</v>
      </c>
      <c r="L30" s="93" t="b">
        <f ca="1">($C$5=$L$25)</f>
        <v>0</v>
      </c>
      <c r="M30" s="163">
        <f t="shared" ca="1" si="20"/>
        <v>0</v>
      </c>
      <c r="O30" s="93" t="str" cm="1">
        <f t="array" aca="1" ref="O30" ca="1">INDIRECT("Vergleich!"&amp;$Y$2&amp;Z30)</f>
        <v>gering</v>
      </c>
      <c r="P30" s="163" cm="1">
        <f t="array" aca="1" ref="P30" ca="1">INDIRECT("Investition_gewählt!"&amp;$AA$5&amp;AA30)</f>
        <v>4000</v>
      </c>
      <c r="Q30" s="93" cm="1">
        <f t="array" aca="1" ref="Q30" ca="1">IF($U$5=0,0,INDEX(Faktoren!E16:GQ16,1,VLOOKUP($X$5,$L$2:$O$14,4,FALSE)+$U$9*5+VLOOKUP(O30,Auswahllisten!$E$25:$F$29,2,FALSE)))</f>
        <v>0</v>
      </c>
      <c r="R30" s="163">
        <f t="shared" ca="1" si="21"/>
        <v>0</v>
      </c>
      <c r="S30" s="163" cm="1">
        <f t="array" aca="1" ref="S30" ca="1">INDIRECT("Investition_gewählt!"&amp;$AA$6&amp;AA30)</f>
        <v>4000</v>
      </c>
      <c r="T30" s="93" cm="1">
        <f t="array" aca="1" ref="T30" ca="1">IF($U$5=0,0,INDEX(Faktoren!E16:QG16,1,VLOOKUP($X$6,$L$3:$O$14,4,FALSE)+$U$9*5+VLOOKUP(O30,Auswahllisten!$E$25:$F$29,2,FALSE)))</f>
        <v>0</v>
      </c>
      <c r="U30" s="163">
        <f t="shared" ca="1" si="22"/>
        <v>0</v>
      </c>
      <c r="V30" s="163">
        <f t="shared" ca="1" si="14"/>
        <v>0</v>
      </c>
      <c r="W30" s="61" t="b">
        <f t="shared" ca="1" si="33"/>
        <v>0</v>
      </c>
      <c r="X30" s="163">
        <f t="shared" ca="1" si="23"/>
        <v>0</v>
      </c>
      <c r="Z30" s="1">
        <v>48</v>
      </c>
      <c r="AA30" s="1">
        <v>16</v>
      </c>
      <c r="AB30" s="1">
        <v>-2</v>
      </c>
      <c r="AC30" s="35"/>
      <c r="AD30" s="82" t="s">
        <v>1225</v>
      </c>
      <c r="AE30" s="64" t="s">
        <v>1250</v>
      </c>
      <c r="AF30" s="26">
        <f ca="1">SUMIF(Variante_C!$A$19:$A$157,AD30,Variante_C!$M$19:$M$157)</f>
        <v>0</v>
      </c>
      <c r="AG30" s="162"/>
      <c r="AH30" s="26">
        <f t="shared" ca="1" si="6"/>
        <v>0</v>
      </c>
      <c r="AI30" s="26">
        <f>SUMIF(Variante_C!$A$19:$A$157,AD30,Variante_C!$X$19:$X$157)</f>
        <v>0</v>
      </c>
      <c r="AJ30" s="26"/>
      <c r="AK30" s="26">
        <f t="shared" si="7"/>
        <v>0</v>
      </c>
      <c r="AL30" s="69"/>
      <c r="AN30" s="1">
        <v>5</v>
      </c>
      <c r="AO30" s="1">
        <f t="shared" si="24"/>
        <v>1</v>
      </c>
      <c r="AP30" s="69">
        <f t="shared" ca="1" si="25"/>
        <v>0</v>
      </c>
      <c r="AQ30" s="69">
        <f t="shared" ca="1" si="25"/>
        <v>0</v>
      </c>
      <c r="AR30" s="69">
        <f t="shared" si="25"/>
        <v>0</v>
      </c>
      <c r="AS30" s="69">
        <f t="shared" ca="1" si="25"/>
        <v>0</v>
      </c>
      <c r="AT30" s="69">
        <f t="shared" ca="1" si="25"/>
        <v>0</v>
      </c>
      <c r="AU30" s="69">
        <f t="shared" ca="1" si="25"/>
        <v>0</v>
      </c>
      <c r="AV30" s="69">
        <f t="shared" si="25"/>
        <v>0</v>
      </c>
      <c r="AW30" s="69">
        <f t="shared" ca="1" si="34"/>
        <v>0</v>
      </c>
      <c r="AX30" s="69">
        <f t="shared" ca="1" si="35"/>
        <v>0</v>
      </c>
      <c r="AY30" s="69">
        <f t="shared" ca="1" si="36"/>
        <v>0</v>
      </c>
      <c r="AZ30" s="69">
        <f ca="1">$AO30*IF(Auswahllisten!$G$150,AZ$25+AZ$25*AZ$13*$AN30,AZ$25*(1+AZ$13)^$AN30)</f>
        <v>0</v>
      </c>
      <c r="BA30" s="69">
        <f ca="1">$AO30*IF(Auswahllisten!$G$150,BA$25+BA$25*BA$13*$AN30,BA$25*(1+BA$13)^$AN30)</f>
        <v>0</v>
      </c>
      <c r="BB30" s="69">
        <f ca="1">$AO30*IF(Auswahllisten!$G$150,BB$25+BB$25*BB$13*$AN30,BB$25*(1+BB$13)^$AN30)</f>
        <v>0</v>
      </c>
      <c r="BC30" s="69">
        <f ca="1">$AO30*IF(Auswahllisten!$G$150,BC$25+BC$25*BC$13*$AN30,BC$25*(1+BC$13)^$AN30)</f>
        <v>0</v>
      </c>
      <c r="BD30" s="69">
        <f t="shared" ca="1" si="37"/>
        <v>0</v>
      </c>
      <c r="BE30" s="69">
        <f t="shared" ca="1" si="38"/>
        <v>0</v>
      </c>
      <c r="BF30" s="69">
        <f t="shared" ca="1" si="39"/>
        <v>0</v>
      </c>
      <c r="BG30" s="69">
        <f t="shared" ca="1" si="40"/>
        <v>0</v>
      </c>
      <c r="BI30" s="69">
        <f t="shared" ca="1" si="26"/>
        <v>0</v>
      </c>
      <c r="BJ30" s="69">
        <f t="shared" ca="1" si="26"/>
        <v>0</v>
      </c>
      <c r="BK30" s="69">
        <f t="shared" si="26"/>
        <v>0</v>
      </c>
      <c r="BL30" s="69">
        <f t="shared" ca="1" si="26"/>
        <v>0</v>
      </c>
      <c r="BM30" s="69">
        <f t="shared" ca="1" si="26"/>
        <v>0</v>
      </c>
      <c r="BN30" s="69">
        <f t="shared" ca="1" si="26"/>
        <v>0</v>
      </c>
      <c r="BO30" s="69">
        <f t="shared" si="26"/>
        <v>0</v>
      </c>
      <c r="BP30" s="69">
        <f t="shared" ca="1" si="27"/>
        <v>0</v>
      </c>
      <c r="BQ30" s="69">
        <f t="shared" ca="1" si="41"/>
        <v>0</v>
      </c>
      <c r="BR30" s="69">
        <f t="shared" ca="1" si="28"/>
        <v>0</v>
      </c>
      <c r="BS30" s="69">
        <f ca="1">$AO30*IF(Auswahllisten!$G$150,BS$25+BS$25*BS$13*$AN30,BS$25*(1+BS$13)^$AN30)</f>
        <v>0</v>
      </c>
      <c r="BT30" s="69">
        <f ca="1">$AO30*IF(Auswahllisten!$G$150,BT$25+BT$25*BT$13*$AN30,BT$25*(1+BT$13)^$AN30)</f>
        <v>0</v>
      </c>
      <c r="BU30" s="69">
        <f ca="1">$AO30*IF(Auswahllisten!$G$150,BU$25+BU$25*BU$13*$AN30,BU$25*(1+BU$13)^$AN30)</f>
        <v>0</v>
      </c>
      <c r="BV30" s="69">
        <f ca="1">$AO30*IF(Auswahllisten!$G$150,BV$25+BV$25*BV$13*$AN30,BV$25*(1+BV$13)^$AN30)</f>
        <v>0</v>
      </c>
      <c r="BW30" s="69">
        <f t="shared" ca="1" si="42"/>
        <v>0</v>
      </c>
      <c r="BX30" s="69">
        <f t="shared" ca="1" si="43"/>
        <v>0</v>
      </c>
      <c r="BY30" s="69">
        <f t="shared" ca="1" si="29"/>
        <v>0</v>
      </c>
      <c r="BZ30" s="69">
        <f t="shared" ca="1" si="30"/>
        <v>0</v>
      </c>
    </row>
    <row r="31" spans="1:78">
      <c r="A31" s="125"/>
      <c r="B31" s="64"/>
      <c r="C31" s="64"/>
      <c r="D31" s="157"/>
      <c r="E31" s="157"/>
      <c r="G31" s="69"/>
      <c r="H31" s="157"/>
      <c r="J31" s="8"/>
      <c r="K31" s="8"/>
      <c r="L31" s="8"/>
      <c r="M31" s="157"/>
      <c r="N31" s="8"/>
      <c r="P31" s="69"/>
      <c r="R31" s="69"/>
      <c r="S31" s="69"/>
      <c r="U31" s="69"/>
      <c r="V31" s="69"/>
      <c r="X31" s="69"/>
      <c r="AA31" s="1">
        <v>17</v>
      </c>
      <c r="AB31" s="1">
        <v>-2</v>
      </c>
      <c r="AC31" s="35"/>
      <c r="AD31" s="82" t="s">
        <v>1229</v>
      </c>
      <c r="AE31" s="64" t="s">
        <v>1246</v>
      </c>
      <c r="AF31" s="26">
        <f ca="1">SUMIF(Variante_C!$A$19:$A$157,AD31,Variante_C!$M$19:$M$157)</f>
        <v>0</v>
      </c>
      <c r="AG31" s="162"/>
      <c r="AH31" s="26">
        <f t="shared" ca="1" si="6"/>
        <v>0</v>
      </c>
      <c r="AI31" s="26">
        <f ca="1">SUMIF(Variante_C!$A$19:$A$157,AD31,Variante_C!$X$19:$X$157)</f>
        <v>0</v>
      </c>
      <c r="AJ31" s="26"/>
      <c r="AK31" s="26">
        <f t="shared" ca="1" si="7"/>
        <v>0</v>
      </c>
      <c r="AL31" s="69"/>
      <c r="AN31" s="1">
        <v>6</v>
      </c>
      <c r="AO31" s="1">
        <f t="shared" si="24"/>
        <v>1</v>
      </c>
      <c r="AP31" s="69">
        <f t="shared" ca="1" si="25"/>
        <v>0</v>
      </c>
      <c r="AQ31" s="69">
        <f t="shared" ca="1" si="25"/>
        <v>0</v>
      </c>
      <c r="AR31" s="69">
        <f t="shared" si="25"/>
        <v>0</v>
      </c>
      <c r="AS31" s="69">
        <f t="shared" ca="1" si="25"/>
        <v>0</v>
      </c>
      <c r="AT31" s="69">
        <f t="shared" ca="1" si="25"/>
        <v>0</v>
      </c>
      <c r="AU31" s="69">
        <f t="shared" ca="1" si="25"/>
        <v>0</v>
      </c>
      <c r="AV31" s="69">
        <f t="shared" si="25"/>
        <v>0</v>
      </c>
      <c r="AW31" s="69">
        <f t="shared" ca="1" si="34"/>
        <v>0</v>
      </c>
      <c r="AX31" s="69">
        <f t="shared" ca="1" si="35"/>
        <v>0</v>
      </c>
      <c r="AY31" s="69">
        <f t="shared" ca="1" si="36"/>
        <v>0</v>
      </c>
      <c r="AZ31" s="69">
        <f ca="1">$AO31*IF(Auswahllisten!$G$150,AZ$25+AZ$25*AZ$13*$AN31,AZ$25*(1+AZ$13)^$AN31)</f>
        <v>0</v>
      </c>
      <c r="BA31" s="69">
        <f ca="1">$AO31*IF(Auswahllisten!$G$150,BA$25+BA$25*BA$13*$AN31,BA$25*(1+BA$13)^$AN31)</f>
        <v>0</v>
      </c>
      <c r="BB31" s="69">
        <f ca="1">$AO31*IF(Auswahllisten!$G$150,BB$25+BB$25*BB$13*$AN31,BB$25*(1+BB$13)^$AN31)</f>
        <v>0</v>
      </c>
      <c r="BC31" s="69">
        <f ca="1">$AO31*IF(Auswahllisten!$G$150,BC$25+BC$25*BC$13*$AN31,BC$25*(1+BC$13)^$AN31)</f>
        <v>0</v>
      </c>
      <c r="BD31" s="69">
        <f t="shared" ca="1" si="37"/>
        <v>0</v>
      </c>
      <c r="BE31" s="69">
        <f t="shared" ca="1" si="38"/>
        <v>0</v>
      </c>
      <c r="BF31" s="69">
        <f t="shared" ca="1" si="39"/>
        <v>0</v>
      </c>
      <c r="BG31" s="69">
        <f t="shared" ca="1" si="40"/>
        <v>0</v>
      </c>
      <c r="BI31" s="69">
        <f t="shared" ca="1" si="26"/>
        <v>0</v>
      </c>
      <c r="BJ31" s="69">
        <f t="shared" ca="1" si="26"/>
        <v>0</v>
      </c>
      <c r="BK31" s="69">
        <f t="shared" si="26"/>
        <v>0</v>
      </c>
      <c r="BL31" s="69">
        <f t="shared" ca="1" si="26"/>
        <v>0</v>
      </c>
      <c r="BM31" s="69">
        <f t="shared" ca="1" si="26"/>
        <v>0</v>
      </c>
      <c r="BN31" s="69">
        <f t="shared" ca="1" si="26"/>
        <v>0</v>
      </c>
      <c r="BO31" s="69">
        <f t="shared" si="26"/>
        <v>0</v>
      </c>
      <c r="BP31" s="69">
        <f t="shared" ca="1" si="27"/>
        <v>0</v>
      </c>
      <c r="BQ31" s="69">
        <f t="shared" ca="1" si="41"/>
        <v>0</v>
      </c>
      <c r="BR31" s="69">
        <f t="shared" ca="1" si="28"/>
        <v>0</v>
      </c>
      <c r="BS31" s="69">
        <f ca="1">$AO31*IF(Auswahllisten!$G$150,BS$25+BS$25*BS$13*$AN31,BS$25*(1+BS$13)^$AN31)</f>
        <v>0</v>
      </c>
      <c r="BT31" s="69">
        <f ca="1">$AO31*IF(Auswahllisten!$G$150,BT$25+BT$25*BT$13*$AN31,BT$25*(1+BT$13)^$AN31)</f>
        <v>0</v>
      </c>
      <c r="BU31" s="69">
        <f ca="1">$AO31*IF(Auswahllisten!$G$150,BU$25+BU$25*BU$13*$AN31,BU$25*(1+BU$13)^$AN31)</f>
        <v>0</v>
      </c>
      <c r="BV31" s="69">
        <f ca="1">$AO31*IF(Auswahllisten!$G$150,BV$25+BV$25*BV$13*$AN31,BV$25*(1+BV$13)^$AN31)</f>
        <v>0</v>
      </c>
      <c r="BW31" s="69">
        <f t="shared" ca="1" si="42"/>
        <v>0</v>
      </c>
      <c r="BX31" s="69">
        <f t="shared" ca="1" si="43"/>
        <v>0</v>
      </c>
      <c r="BY31" s="69">
        <f t="shared" ca="1" si="29"/>
        <v>0</v>
      </c>
      <c r="BZ31" s="69">
        <f t="shared" ca="1" si="30"/>
        <v>0</v>
      </c>
    </row>
    <row r="32" spans="1:78">
      <c r="A32" s="125" t="s">
        <v>991</v>
      </c>
      <c r="B32" s="125" t="s">
        <v>1</v>
      </c>
      <c r="C32" s="125"/>
      <c r="D32" s="157"/>
      <c r="E32" s="157"/>
      <c r="G32" s="69"/>
      <c r="H32" s="157"/>
      <c r="J32" s="8"/>
      <c r="L32" s="155">
        <v>3</v>
      </c>
      <c r="M32" s="157"/>
      <c r="P32" s="69"/>
      <c r="R32" s="69"/>
      <c r="S32" s="69"/>
      <c r="U32" s="69"/>
      <c r="V32" s="69"/>
      <c r="X32" s="69"/>
      <c r="AA32" s="1">
        <v>18</v>
      </c>
      <c r="AB32" s="1">
        <v>-2</v>
      </c>
      <c r="AC32" s="35"/>
      <c r="AD32" s="35" t="s">
        <v>1221</v>
      </c>
      <c r="AE32" s="1" t="s">
        <v>1252</v>
      </c>
      <c r="AF32" s="26">
        <f ca="1">SUMIF(Variante_C!$A$19:$A$157,AD32,Variante_C!$M$19:$M$157)</f>
        <v>0</v>
      </c>
      <c r="AG32" s="162"/>
      <c r="AH32" s="26">
        <f t="shared" ca="1" si="6"/>
        <v>0</v>
      </c>
      <c r="AI32" s="26">
        <f>SUMIF(Variante_C!$A$19:$A$157,AD32,Variante_C!$X$19:$X$157)</f>
        <v>0</v>
      </c>
      <c r="AJ32" s="26"/>
      <c r="AK32" s="26">
        <f t="shared" si="7"/>
        <v>0</v>
      </c>
      <c r="AL32" s="69"/>
      <c r="AN32" s="1">
        <v>7</v>
      </c>
      <c r="AO32" s="1">
        <f t="shared" si="24"/>
        <v>1</v>
      </c>
      <c r="AP32" s="69">
        <f t="shared" ca="1" si="25"/>
        <v>0</v>
      </c>
      <c r="AQ32" s="69">
        <f t="shared" ca="1" si="25"/>
        <v>0</v>
      </c>
      <c r="AR32" s="69">
        <f t="shared" si="25"/>
        <v>0</v>
      </c>
      <c r="AS32" s="69">
        <f t="shared" ca="1" si="25"/>
        <v>0</v>
      </c>
      <c r="AT32" s="69">
        <f t="shared" ca="1" si="25"/>
        <v>0</v>
      </c>
      <c r="AU32" s="69">
        <f t="shared" ca="1" si="25"/>
        <v>0</v>
      </c>
      <c r="AV32" s="69">
        <f t="shared" si="25"/>
        <v>0</v>
      </c>
      <c r="AW32" s="69">
        <f t="shared" ca="1" si="34"/>
        <v>0</v>
      </c>
      <c r="AX32" s="69">
        <f t="shared" ca="1" si="35"/>
        <v>0</v>
      </c>
      <c r="AY32" s="69">
        <f t="shared" ca="1" si="36"/>
        <v>0</v>
      </c>
      <c r="AZ32" s="69">
        <f ca="1">$AO32*IF(Auswahllisten!$G$150,AZ$25+AZ$25*AZ$13*$AN32,AZ$25*(1+AZ$13)^$AN32)</f>
        <v>0</v>
      </c>
      <c r="BA32" s="69">
        <f ca="1">$AO32*IF(Auswahllisten!$G$150,BA$25+BA$25*BA$13*$AN32,BA$25*(1+BA$13)^$AN32)</f>
        <v>0</v>
      </c>
      <c r="BB32" s="69">
        <f ca="1">$AO32*IF(Auswahllisten!$G$150,BB$25+BB$25*BB$13*$AN32,BB$25*(1+BB$13)^$AN32)</f>
        <v>0</v>
      </c>
      <c r="BC32" s="69">
        <f ca="1">$AO32*IF(Auswahllisten!$G$150,BC$25+BC$25*BC$13*$AN32,BC$25*(1+BC$13)^$AN32)</f>
        <v>0</v>
      </c>
      <c r="BD32" s="69">
        <f t="shared" ca="1" si="37"/>
        <v>0</v>
      </c>
      <c r="BE32" s="69">
        <f t="shared" ca="1" si="38"/>
        <v>0</v>
      </c>
      <c r="BF32" s="69">
        <f t="shared" ca="1" si="39"/>
        <v>0</v>
      </c>
      <c r="BG32" s="69">
        <f t="shared" ca="1" si="40"/>
        <v>0</v>
      </c>
      <c r="BI32" s="69">
        <f t="shared" ca="1" si="26"/>
        <v>0</v>
      </c>
      <c r="BJ32" s="69">
        <f t="shared" ca="1" si="26"/>
        <v>0</v>
      </c>
      <c r="BK32" s="69">
        <f t="shared" si="26"/>
        <v>0</v>
      </c>
      <c r="BL32" s="69">
        <f t="shared" ca="1" si="26"/>
        <v>0</v>
      </c>
      <c r="BM32" s="69">
        <f t="shared" ca="1" si="26"/>
        <v>0</v>
      </c>
      <c r="BN32" s="69">
        <f t="shared" ca="1" si="26"/>
        <v>0</v>
      </c>
      <c r="BO32" s="69">
        <f t="shared" si="26"/>
        <v>0</v>
      </c>
      <c r="BP32" s="69">
        <f t="shared" ca="1" si="27"/>
        <v>0</v>
      </c>
      <c r="BQ32" s="69">
        <f t="shared" ca="1" si="41"/>
        <v>0</v>
      </c>
      <c r="BR32" s="69">
        <f t="shared" ca="1" si="28"/>
        <v>0</v>
      </c>
      <c r="BS32" s="69">
        <f ca="1">$AO32*IF(Auswahllisten!$G$150,BS$25+BS$25*BS$13*$AN32,BS$25*(1+BS$13)^$AN32)</f>
        <v>0</v>
      </c>
      <c r="BT32" s="69">
        <f ca="1">$AO32*IF(Auswahllisten!$G$150,BT$25+BT$25*BT$13*$AN32,BT$25*(1+BT$13)^$AN32)</f>
        <v>0</v>
      </c>
      <c r="BU32" s="69">
        <f ca="1">$AO32*IF(Auswahllisten!$G$150,BU$25+BU$25*BU$13*$AN32,BU$25*(1+BU$13)^$AN32)</f>
        <v>0</v>
      </c>
      <c r="BV32" s="69">
        <f ca="1">$AO32*IF(Auswahllisten!$G$150,BV$25+BV$25*BV$13*$AN32,BV$25*(1+BV$13)^$AN32)</f>
        <v>0</v>
      </c>
      <c r="BW32" s="69">
        <f t="shared" ca="1" si="42"/>
        <v>0</v>
      </c>
      <c r="BX32" s="69">
        <f t="shared" ca="1" si="43"/>
        <v>0</v>
      </c>
      <c r="BY32" s="69">
        <f t="shared" ca="1" si="29"/>
        <v>0</v>
      </c>
      <c r="BZ32" s="69">
        <f t="shared" ca="1" si="30"/>
        <v>0</v>
      </c>
    </row>
    <row r="33" spans="1:78">
      <c r="A33" s="304" t="s">
        <v>1217</v>
      </c>
      <c r="B33" s="131" t="s">
        <v>1242</v>
      </c>
      <c r="C33" s="131" t="s">
        <v>243</v>
      </c>
      <c r="D33" s="162" t="str" cm="1">
        <f t="array" aca="1" ref="D33" ca="1">INDIRECT("Vergleich!"&amp;$G$2&amp;Z33)</f>
        <v>mittel</v>
      </c>
      <c r="E33" s="162" cm="1">
        <f t="array" aca="1" ref="E33" ca="1">INDIRECT("Investition_gewählt!"&amp;$I$5&amp;AA33)</f>
        <v>3000</v>
      </c>
      <c r="F33" s="25" cm="1">
        <f t="array" aca="1" ref="F33" ca="1">IF($C$5=0,0,INDEX(Faktoren!E19:GQ19,1,VLOOKUP($F$5,$L$2:$O$14,4,FALSE)+$C$9*5+VLOOKUP(D33,Auswahllisten!$E$25:$F$29,2,FALSE)))</f>
        <v>0</v>
      </c>
      <c r="G33" s="162">
        <f ca="1">E33*F33</f>
        <v>0</v>
      </c>
      <c r="H33" s="162" cm="1">
        <f t="array" aca="1" ref="H33" ca="1">INDIRECT("Investition_gewählt!"&amp;$I$6&amp;AA33)</f>
        <v>3000</v>
      </c>
      <c r="I33" s="25" cm="1">
        <f t="array" aca="1" ref="I33" ca="1">IF($C$5=0,0,INDEX(Faktoren!E19:GQ19,1,VLOOKUP($F$6,$L$2:$O$14,4,FALSE)+$C$9*5+VLOOKUP(D33,Auswahllisten!$E$25:$F$29,2,FALSE)))</f>
        <v>0</v>
      </c>
      <c r="J33" s="25">
        <f ca="1">H33*I33</f>
        <v>0</v>
      </c>
      <c r="K33" s="25">
        <f t="shared" ref="K33:K39" ca="1" si="44">IF($C$5=0,0,G33+(J33-G33)*($C$6-$F$5)/($F$6-$F$5))</f>
        <v>0</v>
      </c>
      <c r="L33" s="25" t="b">
        <f t="shared" ref="L33:L39" ca="1" si="45">($C$5=$L$32)</f>
        <v>0</v>
      </c>
      <c r="M33" s="162">
        <f t="shared" ref="M33:M39" ca="1" si="46">IFERROR(ROUND(K33*L33,AB33),0)</f>
        <v>0</v>
      </c>
      <c r="O33" s="25" t="str" cm="1">
        <f t="array" aca="1" ref="O33" ca="1">INDIRECT("Vergleich!"&amp;$Y$2&amp;Z33)</f>
        <v>gering</v>
      </c>
      <c r="P33" s="162" cm="1">
        <f t="array" aca="1" ref="P33" ca="1">INDIRECT("Investition_gewählt!"&amp;$AA$5&amp;AA33)</f>
        <v>3000</v>
      </c>
      <c r="Q33" s="25" cm="1">
        <f t="array" aca="1" ref="Q33" ca="1">IF($U$5=0,0,INDEX(Faktoren!E19:GQ19,1,VLOOKUP($X$5,$L$2:$O$14,4,FALSE)+$U$9*5+VLOOKUP(O33,Auswahllisten!$E$25:$F$29,2,FALSE)))</f>
        <v>0</v>
      </c>
      <c r="R33" s="162">
        <f t="shared" ref="R33:R39" ca="1" si="47">P33*Q33</f>
        <v>0</v>
      </c>
      <c r="S33" s="162" cm="1">
        <f t="array" aca="1" ref="S33" ca="1">INDIRECT("Investition_gewählt!"&amp;$AA$6&amp;AA33)</f>
        <v>3000</v>
      </c>
      <c r="T33" s="25" cm="1">
        <f t="array" aca="1" ref="T33" ca="1">IF($U$5=0,0,INDEX(Faktoren!E19:QG19,1,VLOOKUP($X$6,$L$3:$O$14,4,FALSE)+$U$9*5+VLOOKUP(O33,Auswahllisten!$E$25:$F$29,2,FALSE)))</f>
        <v>0</v>
      </c>
      <c r="U33" s="162">
        <f t="shared" ref="U33:U39" ca="1" si="48">S33*T33</f>
        <v>0</v>
      </c>
      <c r="V33" s="162">
        <f t="shared" ca="1" si="14"/>
        <v>0</v>
      </c>
      <c r="W33" s="25" t="b">
        <f ca="1">($U$5=$L$32)</f>
        <v>0</v>
      </c>
      <c r="X33" s="162">
        <f t="shared" ref="X33:X39" ca="1" si="49">IFERROR(ROUND(V33*W33,AB33),0)</f>
        <v>0</v>
      </c>
      <c r="Z33" s="1">
        <v>34</v>
      </c>
      <c r="AA33" s="1">
        <v>19</v>
      </c>
      <c r="AB33" s="1">
        <v>-2</v>
      </c>
      <c r="AD33" s="82"/>
      <c r="AE33" s="311" t="s">
        <v>189</v>
      </c>
      <c r="AF33" s="316">
        <f ca="1">SUM(AF18:AF32)</f>
        <v>0</v>
      </c>
      <c r="AG33" s="316">
        <f ca="1">SUM(AG18:AG32)</f>
        <v>0</v>
      </c>
      <c r="AH33" s="316">
        <f t="shared" ref="AH33:AK33" ca="1" si="50">SUM(AH18:AH32)</f>
        <v>0</v>
      </c>
      <c r="AI33" s="316">
        <f t="shared" ca="1" si="50"/>
        <v>0</v>
      </c>
      <c r="AJ33" s="316">
        <f t="shared" ca="1" si="50"/>
        <v>0</v>
      </c>
      <c r="AK33" s="316">
        <f t="shared" ca="1" si="50"/>
        <v>0</v>
      </c>
      <c r="AL33" s="69"/>
      <c r="AN33" s="1">
        <v>8</v>
      </c>
      <c r="AO33" s="1">
        <f t="shared" si="24"/>
        <v>1</v>
      </c>
      <c r="AP33" s="69">
        <f t="shared" ca="1" si="25"/>
        <v>0</v>
      </c>
      <c r="AQ33" s="69">
        <f t="shared" ca="1" si="25"/>
        <v>0</v>
      </c>
      <c r="AR33" s="69">
        <f t="shared" si="25"/>
        <v>0</v>
      </c>
      <c r="AS33" s="69">
        <f t="shared" ca="1" si="25"/>
        <v>0</v>
      </c>
      <c r="AT33" s="69">
        <f t="shared" ca="1" si="25"/>
        <v>0</v>
      </c>
      <c r="AU33" s="69">
        <f t="shared" ca="1" si="25"/>
        <v>0</v>
      </c>
      <c r="AV33" s="69">
        <f t="shared" si="25"/>
        <v>0</v>
      </c>
      <c r="AW33" s="69">
        <f t="shared" ca="1" si="34"/>
        <v>0</v>
      </c>
      <c r="AX33" s="69">
        <f t="shared" ca="1" si="35"/>
        <v>0</v>
      </c>
      <c r="AY33" s="69">
        <f t="shared" ca="1" si="36"/>
        <v>0</v>
      </c>
      <c r="AZ33" s="69">
        <f ca="1">$AO33*IF(Auswahllisten!$G$150,AZ$25+AZ$25*AZ$13*$AN33,AZ$25*(1+AZ$13)^$AN33)</f>
        <v>0</v>
      </c>
      <c r="BA33" s="69">
        <f ca="1">$AO33*IF(Auswahllisten!$G$150,BA$25+BA$25*BA$13*$AN33,BA$25*(1+BA$13)^$AN33)</f>
        <v>0</v>
      </c>
      <c r="BB33" s="69">
        <f ca="1">$AO33*IF(Auswahllisten!$G$150,BB$25+BB$25*BB$13*$AN33,BB$25*(1+BB$13)^$AN33)</f>
        <v>0</v>
      </c>
      <c r="BC33" s="69">
        <f ca="1">$AO33*IF(Auswahllisten!$G$150,BC$25+BC$25*BC$13*$AN33,BC$25*(1+BC$13)^$AN33)</f>
        <v>0</v>
      </c>
      <c r="BD33" s="69">
        <f t="shared" ca="1" si="37"/>
        <v>0</v>
      </c>
      <c r="BE33" s="69">
        <f t="shared" ca="1" si="38"/>
        <v>0</v>
      </c>
      <c r="BF33" s="69">
        <f t="shared" ca="1" si="39"/>
        <v>0</v>
      </c>
      <c r="BG33" s="69">
        <f t="shared" ca="1" si="40"/>
        <v>0</v>
      </c>
      <c r="BI33" s="69">
        <f t="shared" ca="1" si="26"/>
        <v>0</v>
      </c>
      <c r="BJ33" s="69">
        <f t="shared" ca="1" si="26"/>
        <v>0</v>
      </c>
      <c r="BK33" s="69">
        <f t="shared" si="26"/>
        <v>0</v>
      </c>
      <c r="BL33" s="69">
        <f t="shared" ca="1" si="26"/>
        <v>0</v>
      </c>
      <c r="BM33" s="69">
        <f t="shared" ca="1" si="26"/>
        <v>0</v>
      </c>
      <c r="BN33" s="69">
        <f t="shared" ca="1" si="26"/>
        <v>0</v>
      </c>
      <c r="BO33" s="69">
        <f t="shared" si="26"/>
        <v>0</v>
      </c>
      <c r="BP33" s="69">
        <f t="shared" ca="1" si="27"/>
        <v>0</v>
      </c>
      <c r="BQ33" s="69">
        <f t="shared" ca="1" si="41"/>
        <v>0</v>
      </c>
      <c r="BR33" s="69">
        <f t="shared" ca="1" si="28"/>
        <v>0</v>
      </c>
      <c r="BS33" s="69">
        <f ca="1">$AO33*IF(Auswahllisten!$G$150,BS$25+BS$25*BS$13*$AN33,BS$25*(1+BS$13)^$AN33)</f>
        <v>0</v>
      </c>
      <c r="BT33" s="69">
        <f ca="1">$AO33*IF(Auswahllisten!$G$150,BT$25+BT$25*BT$13*$AN33,BT$25*(1+BT$13)^$AN33)</f>
        <v>0</v>
      </c>
      <c r="BU33" s="69">
        <f ca="1">$AO33*IF(Auswahllisten!$G$150,BU$25+BU$25*BU$13*$AN33,BU$25*(1+BU$13)^$AN33)</f>
        <v>0</v>
      </c>
      <c r="BV33" s="69">
        <f ca="1">$AO33*IF(Auswahllisten!$G$150,BV$25+BV$25*BV$13*$AN33,BV$25*(1+BV$13)^$AN33)</f>
        <v>0</v>
      </c>
      <c r="BW33" s="69">
        <f t="shared" ca="1" si="42"/>
        <v>0</v>
      </c>
      <c r="BX33" s="69">
        <f t="shared" ca="1" si="43"/>
        <v>0</v>
      </c>
      <c r="BY33" s="69">
        <f t="shared" ca="1" si="29"/>
        <v>0</v>
      </c>
      <c r="BZ33" s="69">
        <f t="shared" ca="1" si="30"/>
        <v>0</v>
      </c>
    </row>
    <row r="34" spans="1:78">
      <c r="A34" s="305" t="s">
        <v>1217</v>
      </c>
      <c r="B34" s="131" t="s">
        <v>1242</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IF($C$5=0,0,INDEX(Faktoren!E20:GQ20,1,VLOOKUP($F$5,$L$2:$O$14,4,FALSE)+$C$9*5+VLOOKUP(D34,Auswahllisten!$E$25:$F$29,2,FALSE)))</f>
        <v>0</v>
      </c>
      <c r="G34" s="26">
        <f t="shared" ref="G34:G39" ca="1" si="51">E34*F34</f>
        <v>0</v>
      </c>
      <c r="H34" s="26" cm="1">
        <f t="array" aca="1" ref="H34" ca="1">INDIRECT("Investition_gewählt!"&amp;$I$6&amp;AA34)</f>
        <v>2000</v>
      </c>
      <c r="I34" s="25" cm="1">
        <f t="array" aca="1" ref="I34" ca="1">IF($C$5=0,0,INDEX(Faktoren!E20:GQ20,1,VLOOKUP($F$6,$L$2:$O$14,4,FALSE)+$C$9*5+VLOOKUP(D34,Auswahllisten!$E$25:$F$29,2,FALSE)))</f>
        <v>0</v>
      </c>
      <c r="J34" s="16">
        <f t="shared" ref="J34:J39" ca="1" si="52">H34*I34</f>
        <v>0</v>
      </c>
      <c r="K34" s="16">
        <f t="shared" ca="1" si="44"/>
        <v>0</v>
      </c>
      <c r="L34" s="16" t="b">
        <f t="shared" ca="1" si="45"/>
        <v>0</v>
      </c>
      <c r="M34" s="26">
        <f t="shared" ca="1" si="46"/>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IF($U$5=0,0,INDEX(Faktoren!E20:GQ20,1,VLOOKUP($X$5,$L$2:$O$14,4,FALSE)+$U$9*5+VLOOKUP(O34,Auswahllisten!$E$25:$F$29,2,FALSE)))</f>
        <v>0</v>
      </c>
      <c r="R34" s="26">
        <f t="shared" ca="1" si="47"/>
        <v>0</v>
      </c>
      <c r="S34" s="26" cm="1">
        <f t="array" aca="1" ref="S34" ca="1">INDIRECT("Investition_gewählt!"&amp;$AA$6&amp;AA34)</f>
        <v>2000</v>
      </c>
      <c r="T34" s="16" cm="1">
        <f t="array" aca="1" ref="T34" ca="1">IF($U$5=0,0,INDEX(Faktoren!E20:QG20,1,VLOOKUP($X$6,$L$3:$O$14,4,FALSE)+$U$9*5+VLOOKUP(O34,Auswahllisten!$E$25:$F$29,2,FALSE)))</f>
        <v>0</v>
      </c>
      <c r="U34" s="26">
        <f t="shared" ca="1" si="48"/>
        <v>0</v>
      </c>
      <c r="V34" s="26">
        <f t="shared" ca="1" si="14"/>
        <v>0</v>
      </c>
      <c r="W34" s="25" t="b">
        <f t="shared" ref="W34:W39" ca="1" si="53">($U$5=$L$32)</f>
        <v>0</v>
      </c>
      <c r="X34" s="26">
        <f t="shared" ca="1" si="49"/>
        <v>0</v>
      </c>
      <c r="Z34" s="1">
        <v>35</v>
      </c>
      <c r="AA34" s="1">
        <v>20</v>
      </c>
      <c r="AB34" s="1">
        <v>-2</v>
      </c>
      <c r="AN34" s="1">
        <v>9</v>
      </c>
      <c r="AO34" s="1">
        <f t="shared" si="24"/>
        <v>1</v>
      </c>
      <c r="AP34" s="69">
        <f t="shared" ca="1" si="25"/>
        <v>0</v>
      </c>
      <c r="AQ34" s="69">
        <f t="shared" ca="1" si="25"/>
        <v>0</v>
      </c>
      <c r="AR34" s="69">
        <f t="shared" si="25"/>
        <v>0</v>
      </c>
      <c r="AS34" s="69">
        <f t="shared" ca="1" si="25"/>
        <v>0</v>
      </c>
      <c r="AT34" s="69">
        <f t="shared" ca="1" si="25"/>
        <v>0</v>
      </c>
      <c r="AU34" s="69">
        <f t="shared" ca="1" si="25"/>
        <v>0</v>
      </c>
      <c r="AV34" s="69">
        <f t="shared" si="25"/>
        <v>0</v>
      </c>
      <c r="AW34" s="69">
        <f t="shared" ca="1" si="34"/>
        <v>0</v>
      </c>
      <c r="AX34" s="69">
        <f t="shared" ca="1" si="35"/>
        <v>0</v>
      </c>
      <c r="AY34" s="69">
        <f t="shared" ca="1" si="36"/>
        <v>0</v>
      </c>
      <c r="AZ34" s="69">
        <f ca="1">$AO34*IF(Auswahllisten!$G$150,AZ$25+AZ$25*AZ$13*$AN34,AZ$25*(1+AZ$13)^$AN34)</f>
        <v>0</v>
      </c>
      <c r="BA34" s="69">
        <f ca="1">$AO34*IF(Auswahllisten!$G$150,BA$25+BA$25*BA$13*$AN34,BA$25*(1+BA$13)^$AN34)</f>
        <v>0</v>
      </c>
      <c r="BB34" s="69">
        <f ca="1">$AO34*IF(Auswahllisten!$G$150,BB$25+BB$25*BB$13*$AN34,BB$25*(1+BB$13)^$AN34)</f>
        <v>0</v>
      </c>
      <c r="BC34" s="69">
        <f ca="1">$AO34*IF(Auswahllisten!$G$150,BC$25+BC$25*BC$13*$AN34,BC$25*(1+BC$13)^$AN34)</f>
        <v>0</v>
      </c>
      <c r="BD34" s="69">
        <f t="shared" ca="1" si="37"/>
        <v>0</v>
      </c>
      <c r="BE34" s="69">
        <f t="shared" ca="1" si="38"/>
        <v>0</v>
      </c>
      <c r="BF34" s="69">
        <f t="shared" ca="1" si="39"/>
        <v>0</v>
      </c>
      <c r="BG34" s="69">
        <f t="shared" ca="1" si="40"/>
        <v>0</v>
      </c>
      <c r="BI34" s="69">
        <f t="shared" ca="1" si="26"/>
        <v>0</v>
      </c>
      <c r="BJ34" s="69">
        <f t="shared" ca="1" si="26"/>
        <v>0</v>
      </c>
      <c r="BK34" s="69">
        <f t="shared" si="26"/>
        <v>0</v>
      </c>
      <c r="BL34" s="69">
        <f t="shared" ca="1" si="26"/>
        <v>0</v>
      </c>
      <c r="BM34" s="69">
        <f t="shared" ca="1" si="26"/>
        <v>0</v>
      </c>
      <c r="BN34" s="69">
        <f t="shared" ca="1" si="26"/>
        <v>0</v>
      </c>
      <c r="BO34" s="69">
        <f t="shared" si="26"/>
        <v>0</v>
      </c>
      <c r="BP34" s="69">
        <f t="shared" ca="1" si="27"/>
        <v>0</v>
      </c>
      <c r="BQ34" s="69">
        <f t="shared" ca="1" si="41"/>
        <v>0</v>
      </c>
      <c r="BR34" s="69">
        <f t="shared" ca="1" si="28"/>
        <v>0</v>
      </c>
      <c r="BS34" s="69">
        <f ca="1">$AO34*IF(Auswahllisten!$G$150,BS$25+BS$25*BS$13*$AN34,BS$25*(1+BS$13)^$AN34)</f>
        <v>0</v>
      </c>
      <c r="BT34" s="69">
        <f ca="1">$AO34*IF(Auswahllisten!$G$150,BT$25+BT$25*BT$13*$AN34,BT$25*(1+BT$13)^$AN34)</f>
        <v>0</v>
      </c>
      <c r="BU34" s="69">
        <f ca="1">$AO34*IF(Auswahllisten!$G$150,BU$25+BU$25*BU$13*$AN34,BU$25*(1+BU$13)^$AN34)</f>
        <v>0</v>
      </c>
      <c r="BV34" s="69">
        <f ca="1">$AO34*IF(Auswahllisten!$G$150,BV$25+BV$25*BV$13*$AN34,BV$25*(1+BV$13)^$AN34)</f>
        <v>0</v>
      </c>
      <c r="BW34" s="69">
        <f t="shared" ca="1" si="42"/>
        <v>0</v>
      </c>
      <c r="BX34" s="69">
        <f t="shared" ca="1" si="43"/>
        <v>0</v>
      </c>
      <c r="BY34" s="69">
        <f t="shared" ca="1" si="29"/>
        <v>0</v>
      </c>
      <c r="BZ34" s="69">
        <f t="shared" ca="1" si="30"/>
        <v>0</v>
      </c>
    </row>
    <row r="35" spans="1:78">
      <c r="A35" s="305" t="s">
        <v>1215</v>
      </c>
      <c r="B35" s="126" t="s">
        <v>303</v>
      </c>
      <c r="C35" s="126" t="s">
        <v>992</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IF($C$5=0,0,INDEX(Faktoren!E21:GQ21,1,VLOOKUP($F$5,$L$2:$O$14,4,FALSE)+$C$9*5+VLOOKUP(D35,Auswahllisten!$E$25:$F$29,2,FALSE)))</f>
        <v>0</v>
      </c>
      <c r="G35" s="26">
        <f t="shared" ca="1" si="51"/>
        <v>0</v>
      </c>
      <c r="H35" s="26" cm="1">
        <f t="array" aca="1" ref="H35" ca="1">INDIRECT("Investition_gewählt!"&amp;$I$6&amp;AA35)</f>
        <v>12000</v>
      </c>
      <c r="I35" s="25" cm="1">
        <f t="array" aca="1" ref="I35" ca="1">IF($C$5=0,0,INDEX(Faktoren!E21:GQ21,1,VLOOKUP($F$6,$L$2:$O$14,4,FALSE)+$C$9*5+VLOOKUP(D35,Auswahllisten!$E$25:$F$29,2,FALSE)))</f>
        <v>0</v>
      </c>
      <c r="J35" s="16">
        <f t="shared" ca="1" si="52"/>
        <v>0</v>
      </c>
      <c r="K35" s="16">
        <f t="shared" ca="1" si="44"/>
        <v>0</v>
      </c>
      <c r="L35" s="16" t="b">
        <f t="shared" ca="1" si="45"/>
        <v>0</v>
      </c>
      <c r="M35" s="26">
        <f t="shared" ca="1" si="46"/>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IF($U$5=0,0,INDEX(Faktoren!E21:GQ21,1,VLOOKUP($X$5,$L$2:$O$14,4,FALSE)+$U$9*5+VLOOKUP(O35,Auswahllisten!$E$25:$F$29,2,FALSE)))</f>
        <v>0</v>
      </c>
      <c r="R35" s="26">
        <f t="shared" ca="1" si="47"/>
        <v>0</v>
      </c>
      <c r="S35" s="26" cm="1">
        <f t="array" aca="1" ref="S35" ca="1">INDIRECT("Investition_gewählt!"&amp;$AA$6&amp;AA35)</f>
        <v>12000</v>
      </c>
      <c r="T35" s="16" cm="1">
        <f t="array" aca="1" ref="T35" ca="1">IF($U$5=0,0,INDEX(Faktoren!E21:QG21,1,VLOOKUP($X$6,$L$3:$O$14,4,FALSE)+$U$9*5+VLOOKUP(O35,Auswahllisten!$E$25:$F$29,2,FALSE)))</f>
        <v>0</v>
      </c>
      <c r="U35" s="26">
        <f t="shared" ca="1" si="48"/>
        <v>0</v>
      </c>
      <c r="V35" s="26">
        <f t="shared" ca="1" si="14"/>
        <v>0</v>
      </c>
      <c r="W35" s="25" t="b">
        <f t="shared" ca="1" si="53"/>
        <v>0</v>
      </c>
      <c r="X35" s="26">
        <f t="shared" ca="1" si="49"/>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24"/>
        <v>1</v>
      </c>
      <c r="AP35" s="69">
        <f t="shared" ca="1" si="25"/>
        <v>0</v>
      </c>
      <c r="AQ35" s="69">
        <f t="shared" ca="1" si="25"/>
        <v>0</v>
      </c>
      <c r="AR35" s="69">
        <f t="shared" si="25"/>
        <v>0</v>
      </c>
      <c r="AS35" s="69">
        <f t="shared" ca="1" si="25"/>
        <v>0</v>
      </c>
      <c r="AT35" s="69">
        <f t="shared" ca="1" si="25"/>
        <v>0</v>
      </c>
      <c r="AU35" s="69">
        <f t="shared" ca="1" si="25"/>
        <v>0</v>
      </c>
      <c r="AV35" s="69">
        <f t="shared" si="25"/>
        <v>0</v>
      </c>
      <c r="AW35" s="69">
        <f t="shared" ca="1" si="34"/>
        <v>0</v>
      </c>
      <c r="AX35" s="69">
        <f t="shared" ca="1" si="35"/>
        <v>0</v>
      </c>
      <c r="AY35" s="69">
        <f t="shared" ca="1" si="36"/>
        <v>0</v>
      </c>
      <c r="AZ35" s="69">
        <f ca="1">$AO35*IF(Auswahllisten!$G$150,AZ$25+AZ$25*AZ$13*$AN35,AZ$25*(1+AZ$13)^$AN35)</f>
        <v>0</v>
      </c>
      <c r="BA35" s="69">
        <f ca="1">$AO35*IF(Auswahllisten!$G$150,BA$25+BA$25*BA$13*$AN35,BA$25*(1+BA$13)^$AN35)</f>
        <v>0</v>
      </c>
      <c r="BB35" s="69">
        <f ca="1">$AO35*IF(Auswahllisten!$G$150,BB$25+BB$25*BB$13*$AN35,BB$25*(1+BB$13)^$AN35)</f>
        <v>0</v>
      </c>
      <c r="BC35" s="69">
        <f ca="1">$AO35*IF(Auswahllisten!$G$150,BC$25+BC$25*BC$13*$AN35,BC$25*(1+BC$13)^$AN35)</f>
        <v>0</v>
      </c>
      <c r="BD35" s="69">
        <f t="shared" ca="1" si="37"/>
        <v>0</v>
      </c>
      <c r="BE35" s="69">
        <f t="shared" ca="1" si="38"/>
        <v>0</v>
      </c>
      <c r="BF35" s="69">
        <f t="shared" ca="1" si="39"/>
        <v>0</v>
      </c>
      <c r="BG35" s="69">
        <f t="shared" ca="1" si="40"/>
        <v>0</v>
      </c>
      <c r="BI35" s="69">
        <f t="shared" ca="1" si="26"/>
        <v>0</v>
      </c>
      <c r="BJ35" s="69">
        <f t="shared" ca="1" si="26"/>
        <v>0</v>
      </c>
      <c r="BK35" s="69">
        <f t="shared" si="26"/>
        <v>0</v>
      </c>
      <c r="BL35" s="69">
        <f t="shared" ca="1" si="26"/>
        <v>0</v>
      </c>
      <c r="BM35" s="69">
        <f t="shared" ca="1" si="26"/>
        <v>0</v>
      </c>
      <c r="BN35" s="69">
        <f t="shared" ca="1" si="26"/>
        <v>0</v>
      </c>
      <c r="BO35" s="69">
        <f t="shared" si="26"/>
        <v>0</v>
      </c>
      <c r="BP35" s="69">
        <f t="shared" ca="1" si="27"/>
        <v>0</v>
      </c>
      <c r="BQ35" s="69">
        <f t="shared" ca="1" si="41"/>
        <v>0</v>
      </c>
      <c r="BR35" s="69">
        <f t="shared" ca="1" si="28"/>
        <v>0</v>
      </c>
      <c r="BS35" s="69">
        <f ca="1">$AO35*IF(Auswahllisten!$G$150,BS$25+BS$25*BS$13*$AN35,BS$25*(1+BS$13)^$AN35)</f>
        <v>0</v>
      </c>
      <c r="BT35" s="69">
        <f ca="1">$AO35*IF(Auswahllisten!$G$150,BT$25+BT$25*BT$13*$AN35,BT$25*(1+BT$13)^$AN35)</f>
        <v>0</v>
      </c>
      <c r="BU35" s="69">
        <f ca="1">$AO35*IF(Auswahllisten!$G$150,BU$25+BU$25*BU$13*$AN35,BU$25*(1+BU$13)^$AN35)</f>
        <v>0</v>
      </c>
      <c r="BV35" s="69">
        <f ca="1">$AO35*IF(Auswahllisten!$G$150,BV$25+BV$25*BV$13*$AN35,BV$25*(1+BV$13)^$AN35)</f>
        <v>0</v>
      </c>
      <c r="BW35" s="69">
        <f t="shared" ca="1" si="42"/>
        <v>0</v>
      </c>
      <c r="BX35" s="69">
        <f t="shared" ca="1" si="43"/>
        <v>0</v>
      </c>
      <c r="BY35" s="69">
        <f t="shared" ca="1" si="29"/>
        <v>0</v>
      </c>
      <c r="BZ35" s="69">
        <f t="shared" ca="1" si="30"/>
        <v>0</v>
      </c>
    </row>
    <row r="36" spans="1:78">
      <c r="A36" s="305" t="s">
        <v>1215</v>
      </c>
      <c r="B36" s="126" t="s">
        <v>303</v>
      </c>
      <c r="C36" s="126" t="s">
        <v>965</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IF($C$5=0,0,INDEX(Faktoren!E22:GQ22,1,VLOOKUP($F$5,$L$2:$O$14,4,FALSE)+$C$9*5+VLOOKUP(D36,Auswahllisten!$E$25:$F$29,2,FALSE)))</f>
        <v>0</v>
      </c>
      <c r="G36" s="26">
        <f t="shared" ca="1" si="51"/>
        <v>0</v>
      </c>
      <c r="H36" s="26" cm="1">
        <f t="array" aca="1" ref="H36" ca="1">INDIRECT("Investition_gewählt!"&amp;$I$6&amp;AA36)</f>
        <v>4000</v>
      </c>
      <c r="I36" s="25" cm="1">
        <f t="array" aca="1" ref="I36" ca="1">IF($C$5=0,0,INDEX(Faktoren!E22:GQ22,1,VLOOKUP($F$6,$L$2:$O$14,4,FALSE)+$C$9*5+VLOOKUP(D36,Auswahllisten!$E$25:$F$29,2,FALSE)))</f>
        <v>0</v>
      </c>
      <c r="J36" s="16">
        <f t="shared" ca="1" si="52"/>
        <v>0</v>
      </c>
      <c r="K36" s="16">
        <f t="shared" ca="1" si="44"/>
        <v>0</v>
      </c>
      <c r="L36" s="16" t="b">
        <f t="shared" ca="1" si="45"/>
        <v>0</v>
      </c>
      <c r="M36" s="26">
        <f t="shared" ca="1" si="46"/>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IF($U$5=0,0,INDEX(Faktoren!E22:GQ22,1,VLOOKUP($X$5,$L$2:$O$14,4,FALSE)+$U$9*5+VLOOKUP(O36,Auswahllisten!$E$25:$F$29,2,FALSE)))</f>
        <v>0</v>
      </c>
      <c r="R36" s="26">
        <f t="shared" ca="1" si="47"/>
        <v>0</v>
      </c>
      <c r="S36" s="26" cm="1">
        <f t="array" aca="1" ref="S36" ca="1">INDIRECT("Investition_gewählt!"&amp;$AA$6&amp;AA36)</f>
        <v>4000</v>
      </c>
      <c r="T36" s="16" cm="1">
        <f t="array" aca="1" ref="T36" ca="1">IF($U$5=0,0,INDEX(Faktoren!E22:QG22,1,VLOOKUP($X$6,$L$3:$O$14,4,FALSE)+$U$9*5+VLOOKUP(O36,Auswahllisten!$E$25:$F$29,2,FALSE)))</f>
        <v>0</v>
      </c>
      <c r="U36" s="26">
        <f t="shared" ca="1" si="48"/>
        <v>0</v>
      </c>
      <c r="V36" s="26">
        <f t="shared" ca="1" si="14"/>
        <v>0</v>
      </c>
      <c r="W36" s="25" t="b">
        <f t="shared" ca="1" si="53"/>
        <v>0</v>
      </c>
      <c r="X36" s="26">
        <f t="shared" ca="1" si="49"/>
        <v>0</v>
      </c>
      <c r="Z36" s="1">
        <v>42</v>
      </c>
      <c r="AA36" s="1">
        <v>22</v>
      </c>
      <c r="AB36" s="1">
        <v>-2</v>
      </c>
      <c r="AC36" s="35"/>
      <c r="AD36" s="35"/>
      <c r="AE36" s="310" t="s">
        <v>1242</v>
      </c>
      <c r="AF36" s="26">
        <f ca="1">AF23</f>
        <v>0</v>
      </c>
      <c r="AG36" s="26"/>
      <c r="AH36" s="26">
        <f t="shared" ref="AH36" ca="1" si="54">AH23</f>
        <v>0</v>
      </c>
      <c r="AI36" s="26">
        <f ca="1">AI23</f>
        <v>0</v>
      </c>
      <c r="AJ36" s="26"/>
      <c r="AK36" s="26">
        <f t="shared" ref="AK36" ca="1" si="55">AK23</f>
        <v>0</v>
      </c>
      <c r="AN36" s="1">
        <v>11</v>
      </c>
      <c r="AO36" s="1">
        <f t="shared" si="24"/>
        <v>1</v>
      </c>
      <c r="AP36" s="69">
        <f t="shared" ca="1" si="25"/>
        <v>0</v>
      </c>
      <c r="AQ36" s="69">
        <f t="shared" ca="1" si="25"/>
        <v>0</v>
      </c>
      <c r="AR36" s="69">
        <f t="shared" si="25"/>
        <v>0</v>
      </c>
      <c r="AS36" s="69">
        <f t="shared" ca="1" si="25"/>
        <v>0</v>
      </c>
      <c r="AT36" s="69">
        <f t="shared" ca="1" si="25"/>
        <v>0</v>
      </c>
      <c r="AU36" s="69">
        <f t="shared" ca="1" si="25"/>
        <v>0</v>
      </c>
      <c r="AV36" s="69">
        <f t="shared" si="25"/>
        <v>0</v>
      </c>
      <c r="AW36" s="69">
        <f t="shared" ca="1" si="34"/>
        <v>0</v>
      </c>
      <c r="AX36" s="69">
        <f t="shared" ca="1" si="35"/>
        <v>0</v>
      </c>
      <c r="AY36" s="69">
        <f t="shared" ca="1" si="36"/>
        <v>0</v>
      </c>
      <c r="AZ36" s="69">
        <f ca="1">$AO36*IF(Auswahllisten!$G$150,AZ$25+AZ$25*AZ$13*$AN36,AZ$25*(1+AZ$13)^$AN36)</f>
        <v>0</v>
      </c>
      <c r="BA36" s="69">
        <f ca="1">$AO36*IF(Auswahllisten!$G$150,BA$25+BA$25*BA$13*$AN36,BA$25*(1+BA$13)^$AN36)</f>
        <v>0</v>
      </c>
      <c r="BB36" s="69">
        <f ca="1">$AO36*IF(Auswahllisten!$G$150,BB$25+BB$25*BB$13*$AN36,BB$25*(1+BB$13)^$AN36)</f>
        <v>0</v>
      </c>
      <c r="BC36" s="69">
        <f ca="1">$AO36*IF(Auswahllisten!$G$150,BC$25+BC$25*BC$13*$AN36,BC$25*(1+BC$13)^$AN36)</f>
        <v>0</v>
      </c>
      <c r="BD36" s="69">
        <f t="shared" ca="1" si="37"/>
        <v>0</v>
      </c>
      <c r="BE36" s="69">
        <f t="shared" ca="1" si="38"/>
        <v>0</v>
      </c>
      <c r="BF36" s="69">
        <f t="shared" ca="1" si="39"/>
        <v>0</v>
      </c>
      <c r="BG36" s="69">
        <f t="shared" ca="1" si="40"/>
        <v>0</v>
      </c>
      <c r="BI36" s="69">
        <f t="shared" ca="1" si="26"/>
        <v>0</v>
      </c>
      <c r="BJ36" s="69">
        <f t="shared" ca="1" si="26"/>
        <v>0</v>
      </c>
      <c r="BK36" s="69">
        <f t="shared" si="26"/>
        <v>0</v>
      </c>
      <c r="BL36" s="69">
        <f t="shared" ca="1" si="26"/>
        <v>0</v>
      </c>
      <c r="BM36" s="69">
        <f t="shared" ca="1" si="26"/>
        <v>0</v>
      </c>
      <c r="BN36" s="69">
        <f t="shared" ca="1" si="26"/>
        <v>0</v>
      </c>
      <c r="BO36" s="69">
        <f t="shared" si="26"/>
        <v>0</v>
      </c>
      <c r="BP36" s="69">
        <f t="shared" ca="1" si="27"/>
        <v>0</v>
      </c>
      <c r="BQ36" s="69">
        <f t="shared" ca="1" si="41"/>
        <v>0</v>
      </c>
      <c r="BR36" s="69">
        <f t="shared" ca="1" si="28"/>
        <v>0</v>
      </c>
      <c r="BS36" s="69">
        <f ca="1">$AO36*IF(Auswahllisten!$G$150,BS$25+BS$25*BS$13*$AN36,BS$25*(1+BS$13)^$AN36)</f>
        <v>0</v>
      </c>
      <c r="BT36" s="69">
        <f ca="1">$AO36*IF(Auswahllisten!$G$150,BT$25+BT$25*BT$13*$AN36,BT$25*(1+BT$13)^$AN36)</f>
        <v>0</v>
      </c>
      <c r="BU36" s="69">
        <f ca="1">$AO36*IF(Auswahllisten!$G$150,BU$25+BU$25*BU$13*$AN36,BU$25*(1+BU$13)^$AN36)</f>
        <v>0</v>
      </c>
      <c r="BV36" s="69">
        <f ca="1">$AO36*IF(Auswahllisten!$G$150,BV$25+BV$25*BV$13*$AN36,BV$25*(1+BV$13)^$AN36)</f>
        <v>0</v>
      </c>
      <c r="BW36" s="69">
        <f t="shared" ca="1" si="42"/>
        <v>0</v>
      </c>
      <c r="BX36" s="69">
        <f t="shared" ca="1" si="43"/>
        <v>0</v>
      </c>
      <c r="BY36" s="69">
        <f t="shared" ca="1" si="29"/>
        <v>0</v>
      </c>
      <c r="BZ36" s="69">
        <f t="shared" ca="1" si="30"/>
        <v>0</v>
      </c>
    </row>
    <row r="37" spans="1:78">
      <c r="A37" s="305" t="s">
        <v>1218</v>
      </c>
      <c r="B37" s="126" t="s">
        <v>1243</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IF($C$5=0,0,INDEX(Faktoren!E23:GQ23,1,VLOOKUP($F$5,$L$2:$O$14,4,FALSE)+$C$9*5+VLOOKUP(D37,Auswahllisten!$E$25:$F$29,2,FALSE)))</f>
        <v>0</v>
      </c>
      <c r="G37" s="26">
        <f t="shared" ca="1" si="51"/>
        <v>0</v>
      </c>
      <c r="H37" s="26" cm="1">
        <f t="array" aca="1" ref="H37" ca="1">INDIRECT("Investition_gewählt!"&amp;$I$6&amp;AA37)</f>
        <v>1500</v>
      </c>
      <c r="I37" s="25" cm="1">
        <f t="array" aca="1" ref="I37" ca="1">IF($C$5=0,0,INDEX(Faktoren!E23:GQ23,1,VLOOKUP($F$6,$L$2:$O$14,4,FALSE)+$C$9*5+VLOOKUP(D37,Auswahllisten!$E$25:$F$29,2,FALSE)))</f>
        <v>0</v>
      </c>
      <c r="J37" s="16">
        <f t="shared" ca="1" si="52"/>
        <v>0</v>
      </c>
      <c r="K37" s="16">
        <f t="shared" ca="1" si="44"/>
        <v>0</v>
      </c>
      <c r="L37" s="16" t="b">
        <f t="shared" ca="1" si="45"/>
        <v>0</v>
      </c>
      <c r="M37" s="26">
        <f t="shared" ca="1" si="46"/>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IF($U$5=0,0,INDEX(Faktoren!E23:GQ23,1,VLOOKUP($X$5,$L$2:$O$14,4,FALSE)+$U$9*5+VLOOKUP(O37,Auswahllisten!$E$25:$F$29,2,FALSE)))</f>
        <v>0</v>
      </c>
      <c r="R37" s="26">
        <f t="shared" ca="1" si="47"/>
        <v>0</v>
      </c>
      <c r="S37" s="26" cm="1">
        <f t="array" aca="1" ref="S37" ca="1">INDIRECT("Investition_gewählt!"&amp;$AA$6&amp;AA37)</f>
        <v>1500</v>
      </c>
      <c r="T37" s="16" cm="1">
        <f t="array" aca="1" ref="T37" ca="1">IF($U$5=0,0,INDEX(Faktoren!E23:QG23,1,VLOOKUP($X$6,$L$3:$O$14,4,FALSE)+$U$9*5+VLOOKUP(O37,Auswahllisten!$E$25:$F$29,2,FALSE)))</f>
        <v>0</v>
      </c>
      <c r="U37" s="26">
        <f t="shared" ca="1" si="48"/>
        <v>0</v>
      </c>
      <c r="V37" s="26">
        <f t="shared" ca="1" si="14"/>
        <v>0</v>
      </c>
      <c r="W37" s="25" t="b">
        <f t="shared" ca="1" si="53"/>
        <v>0</v>
      </c>
      <c r="X37" s="26">
        <f t="shared" ca="1" si="49"/>
        <v>0</v>
      </c>
      <c r="Z37" s="1">
        <v>41</v>
      </c>
      <c r="AA37" s="1">
        <v>23</v>
      </c>
      <c r="AB37" s="1">
        <v>-2</v>
      </c>
      <c r="AC37" s="35"/>
      <c r="AD37" s="35"/>
      <c r="AE37" s="83" t="s">
        <v>1257</v>
      </c>
      <c r="AF37" s="26">
        <f ca="1">AF25-AG25</f>
        <v>0</v>
      </c>
      <c r="AG37" s="26"/>
      <c r="AH37" s="26">
        <f ca="1">AH25</f>
        <v>0</v>
      </c>
      <c r="AI37" s="26">
        <f>AI25-AJ25</f>
        <v>0</v>
      </c>
      <c r="AJ37" s="26"/>
      <c r="AK37" s="26">
        <f>AK25</f>
        <v>0</v>
      </c>
      <c r="AN37" s="1">
        <v>12</v>
      </c>
      <c r="AO37" s="1">
        <f t="shared" si="24"/>
        <v>1</v>
      </c>
      <c r="AP37" s="69">
        <f t="shared" ca="1" si="25"/>
        <v>0</v>
      </c>
      <c r="AQ37" s="69">
        <f t="shared" ca="1" si="25"/>
        <v>0</v>
      </c>
      <c r="AR37" s="69">
        <f t="shared" si="25"/>
        <v>0</v>
      </c>
      <c r="AS37" s="69">
        <f t="shared" ca="1" si="25"/>
        <v>0</v>
      </c>
      <c r="AT37" s="69">
        <f t="shared" ca="1" si="25"/>
        <v>0</v>
      </c>
      <c r="AU37" s="69">
        <f t="shared" ca="1" si="25"/>
        <v>0</v>
      </c>
      <c r="AV37" s="69">
        <f t="shared" si="25"/>
        <v>0</v>
      </c>
      <c r="AW37" s="69">
        <f t="shared" ca="1" si="34"/>
        <v>0</v>
      </c>
      <c r="AX37" s="69">
        <f t="shared" ca="1" si="35"/>
        <v>0</v>
      </c>
      <c r="AY37" s="69">
        <f t="shared" ca="1" si="36"/>
        <v>0</v>
      </c>
      <c r="AZ37" s="69">
        <f ca="1">$AO37*IF(Auswahllisten!$G$150,AZ$25+AZ$25*AZ$13*$AN37,AZ$25*(1+AZ$13)^$AN37)</f>
        <v>0</v>
      </c>
      <c r="BA37" s="69">
        <f ca="1">$AO37*IF(Auswahllisten!$G$150,BA$25+BA$25*BA$13*$AN37,BA$25*(1+BA$13)^$AN37)</f>
        <v>0</v>
      </c>
      <c r="BB37" s="69">
        <f ca="1">$AO37*IF(Auswahllisten!$G$150,BB$25+BB$25*BB$13*$AN37,BB$25*(1+BB$13)^$AN37)</f>
        <v>0</v>
      </c>
      <c r="BC37" s="69">
        <f ca="1">$AO37*IF(Auswahllisten!$G$150,BC$25+BC$25*BC$13*$AN37,BC$25*(1+BC$13)^$AN37)</f>
        <v>0</v>
      </c>
      <c r="BD37" s="69">
        <f t="shared" ca="1" si="37"/>
        <v>0</v>
      </c>
      <c r="BE37" s="69">
        <f t="shared" ca="1" si="38"/>
        <v>0</v>
      </c>
      <c r="BF37" s="69">
        <f t="shared" ca="1" si="39"/>
        <v>0</v>
      </c>
      <c r="BG37" s="69">
        <f t="shared" ca="1" si="40"/>
        <v>0</v>
      </c>
      <c r="BI37" s="69">
        <f t="shared" ca="1" si="26"/>
        <v>0</v>
      </c>
      <c r="BJ37" s="69">
        <f t="shared" ca="1" si="26"/>
        <v>0</v>
      </c>
      <c r="BK37" s="69">
        <f t="shared" si="26"/>
        <v>0</v>
      </c>
      <c r="BL37" s="69">
        <f t="shared" ca="1" si="26"/>
        <v>0</v>
      </c>
      <c r="BM37" s="69">
        <f t="shared" ca="1" si="26"/>
        <v>0</v>
      </c>
      <c r="BN37" s="69">
        <f t="shared" ca="1" si="26"/>
        <v>0</v>
      </c>
      <c r="BO37" s="69">
        <f t="shared" si="26"/>
        <v>0</v>
      </c>
      <c r="BP37" s="69">
        <f t="shared" ca="1" si="27"/>
        <v>0</v>
      </c>
      <c r="BQ37" s="69">
        <f t="shared" ca="1" si="41"/>
        <v>0</v>
      </c>
      <c r="BR37" s="69">
        <f t="shared" ca="1" si="28"/>
        <v>0</v>
      </c>
      <c r="BS37" s="69">
        <f ca="1">$AO37*IF(Auswahllisten!$G$150,BS$25+BS$25*BS$13*$AN37,BS$25*(1+BS$13)^$AN37)</f>
        <v>0</v>
      </c>
      <c r="BT37" s="69">
        <f ca="1">$AO37*IF(Auswahllisten!$G$150,BT$25+BT$25*BT$13*$AN37,BT$25*(1+BT$13)^$AN37)</f>
        <v>0</v>
      </c>
      <c r="BU37" s="69">
        <f ca="1">$AO37*IF(Auswahllisten!$G$150,BU$25+BU$25*BU$13*$AN37,BU$25*(1+BU$13)^$AN37)</f>
        <v>0</v>
      </c>
      <c r="BV37" s="69">
        <f ca="1">$AO37*IF(Auswahllisten!$G$150,BV$25+BV$25*BV$13*$AN37,BV$25*(1+BV$13)^$AN37)</f>
        <v>0</v>
      </c>
      <c r="BW37" s="69">
        <f t="shared" ca="1" si="42"/>
        <v>0</v>
      </c>
      <c r="BX37" s="69">
        <f t="shared" ca="1" si="43"/>
        <v>0</v>
      </c>
      <c r="BY37" s="69">
        <f t="shared" ca="1" si="29"/>
        <v>0</v>
      </c>
      <c r="BZ37" s="69">
        <f t="shared" ca="1" si="30"/>
        <v>0</v>
      </c>
    </row>
    <row r="38" spans="1:78">
      <c r="A38" s="305" t="s">
        <v>1215</v>
      </c>
      <c r="B38" s="126" t="s">
        <v>303</v>
      </c>
      <c r="C38" s="126" t="s">
        <v>966</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IF($C$5=0,0,INDEX(Faktoren!E24:GQ24,1,VLOOKUP($F$5,$L$2:$O$14,4,FALSE)+$C$9*5+VLOOKUP(D38,Auswahllisten!$E$25:$F$29,2,FALSE)))</f>
        <v>0</v>
      </c>
      <c r="G38" s="26">
        <f t="shared" ca="1" si="51"/>
        <v>0</v>
      </c>
      <c r="H38" s="26" cm="1">
        <f t="array" aca="1" ref="H38" ca="1">INDIRECT("Investition_gewählt!"&amp;$I$6&amp;AA38)</f>
        <v>8500</v>
      </c>
      <c r="I38" s="25" cm="1">
        <f t="array" aca="1" ref="I38" ca="1">IF($C$5=0,0,INDEX(Faktoren!E24:GQ24,1,VLOOKUP($F$6,$L$2:$O$14,4,FALSE)+$C$9*5+VLOOKUP(D38,Auswahllisten!$E$25:$F$29,2,FALSE)))</f>
        <v>0</v>
      </c>
      <c r="J38" s="16">
        <f t="shared" ca="1" si="52"/>
        <v>0</v>
      </c>
      <c r="K38" s="16">
        <f t="shared" ca="1" si="44"/>
        <v>0</v>
      </c>
      <c r="L38" s="16" t="b">
        <f t="shared" ca="1" si="45"/>
        <v>0</v>
      </c>
      <c r="M38" s="26">
        <f t="shared" ca="1" si="46"/>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IF($U$5=0,0,INDEX(Faktoren!E24:GQ24,1,VLOOKUP($X$5,$L$2:$O$14,4,FALSE)+$U$9*5+VLOOKUP(O38,Auswahllisten!$E$25:$F$29,2,FALSE)))</f>
        <v>0</v>
      </c>
      <c r="R38" s="26">
        <f t="shared" ca="1" si="47"/>
        <v>0</v>
      </c>
      <c r="S38" s="26" cm="1">
        <f t="array" aca="1" ref="S38" ca="1">INDIRECT("Investition_gewählt!"&amp;$AA$6&amp;AA38)</f>
        <v>8500</v>
      </c>
      <c r="T38" s="16" cm="1">
        <f t="array" aca="1" ref="T38" ca="1">IF($U$5=0,0,INDEX(Faktoren!E24:QG24,1,VLOOKUP($X$6,$L$3:$O$14,4,FALSE)+$U$9*5+VLOOKUP(O38,Auswahllisten!$E$25:$F$29,2,FALSE)))</f>
        <v>0</v>
      </c>
      <c r="U38" s="26">
        <f t="shared" ca="1" si="48"/>
        <v>0</v>
      </c>
      <c r="V38" s="26">
        <f t="shared" ca="1" si="14"/>
        <v>0</v>
      </c>
      <c r="W38" s="25" t="b">
        <f t="shared" ca="1" si="53"/>
        <v>0</v>
      </c>
      <c r="X38" s="26">
        <f t="shared" ca="1" si="49"/>
        <v>0</v>
      </c>
      <c r="Z38" s="1">
        <v>47</v>
      </c>
      <c r="AA38" s="1">
        <v>24</v>
      </c>
      <c r="AB38" s="1">
        <v>-2</v>
      </c>
      <c r="AC38" s="35"/>
      <c r="AD38" s="35"/>
      <c r="AE38" s="83" t="s">
        <v>186</v>
      </c>
      <c r="AF38" s="26">
        <f ca="1">AF26</f>
        <v>0</v>
      </c>
      <c r="AG38" s="26"/>
      <c r="AH38" s="26">
        <f t="shared" ref="AH38" ca="1" si="56">AH26</f>
        <v>0</v>
      </c>
      <c r="AI38" s="26">
        <f ca="1">AI26</f>
        <v>0</v>
      </c>
      <c r="AJ38" s="26"/>
      <c r="AK38" s="26">
        <f t="shared" ref="AK38" ca="1" si="57">AK26</f>
        <v>0</v>
      </c>
      <c r="AN38" s="1">
        <v>13</v>
      </c>
      <c r="AO38" s="1">
        <f t="shared" si="24"/>
        <v>1</v>
      </c>
      <c r="AP38" s="69">
        <f t="shared" ca="1" si="25"/>
        <v>0</v>
      </c>
      <c r="AQ38" s="69">
        <f t="shared" ca="1" si="25"/>
        <v>0</v>
      </c>
      <c r="AR38" s="69">
        <f t="shared" si="25"/>
        <v>0</v>
      </c>
      <c r="AS38" s="69">
        <f t="shared" ca="1" si="25"/>
        <v>0</v>
      </c>
      <c r="AT38" s="69">
        <f t="shared" ca="1" si="25"/>
        <v>0</v>
      </c>
      <c r="AU38" s="69">
        <f t="shared" ca="1" si="25"/>
        <v>0</v>
      </c>
      <c r="AV38" s="69">
        <f t="shared" si="25"/>
        <v>0</v>
      </c>
      <c r="AW38" s="69">
        <f t="shared" ca="1" si="34"/>
        <v>0</v>
      </c>
      <c r="AX38" s="69">
        <f t="shared" ca="1" si="35"/>
        <v>0</v>
      </c>
      <c r="AY38" s="69">
        <f t="shared" ca="1" si="36"/>
        <v>0</v>
      </c>
      <c r="AZ38" s="69">
        <f ca="1">$AO38*IF(Auswahllisten!$G$150,AZ$25+AZ$25*AZ$13*$AN38,AZ$25*(1+AZ$13)^$AN38)</f>
        <v>0</v>
      </c>
      <c r="BA38" s="69">
        <f ca="1">$AO38*IF(Auswahllisten!$G$150,BA$25+BA$25*BA$13*$AN38,BA$25*(1+BA$13)^$AN38)</f>
        <v>0</v>
      </c>
      <c r="BB38" s="69">
        <f ca="1">$AO38*IF(Auswahllisten!$G$150,BB$25+BB$25*BB$13*$AN38,BB$25*(1+BB$13)^$AN38)</f>
        <v>0</v>
      </c>
      <c r="BC38" s="69">
        <f ca="1">$AO38*IF(Auswahllisten!$G$150,BC$25+BC$25*BC$13*$AN38,BC$25*(1+BC$13)^$AN38)</f>
        <v>0</v>
      </c>
      <c r="BD38" s="69">
        <f t="shared" ca="1" si="37"/>
        <v>0</v>
      </c>
      <c r="BE38" s="69">
        <f t="shared" ca="1" si="38"/>
        <v>0</v>
      </c>
      <c r="BF38" s="69">
        <f t="shared" ca="1" si="39"/>
        <v>0</v>
      </c>
      <c r="BG38" s="69">
        <f t="shared" ca="1" si="40"/>
        <v>0</v>
      </c>
      <c r="BI38" s="69">
        <f t="shared" ca="1" si="26"/>
        <v>0</v>
      </c>
      <c r="BJ38" s="69">
        <f t="shared" ca="1" si="26"/>
        <v>0</v>
      </c>
      <c r="BK38" s="69">
        <f t="shared" si="26"/>
        <v>0</v>
      </c>
      <c r="BL38" s="69">
        <f t="shared" ca="1" si="26"/>
        <v>0</v>
      </c>
      <c r="BM38" s="69">
        <f t="shared" ca="1" si="26"/>
        <v>0</v>
      </c>
      <c r="BN38" s="69">
        <f t="shared" ca="1" si="26"/>
        <v>0</v>
      </c>
      <c r="BO38" s="69">
        <f t="shared" si="26"/>
        <v>0</v>
      </c>
      <c r="BP38" s="69">
        <f t="shared" ca="1" si="27"/>
        <v>0</v>
      </c>
      <c r="BQ38" s="69">
        <f t="shared" ca="1" si="41"/>
        <v>0</v>
      </c>
      <c r="BR38" s="69">
        <f t="shared" ca="1" si="28"/>
        <v>0</v>
      </c>
      <c r="BS38" s="69">
        <f ca="1">$AO38*IF(Auswahllisten!$G$150,BS$25+BS$25*BS$13*$AN38,BS$25*(1+BS$13)^$AN38)</f>
        <v>0</v>
      </c>
      <c r="BT38" s="69">
        <f ca="1">$AO38*IF(Auswahllisten!$G$150,BT$25+BT$25*BT$13*$AN38,BT$25*(1+BT$13)^$AN38)</f>
        <v>0</v>
      </c>
      <c r="BU38" s="69">
        <f ca="1">$AO38*IF(Auswahllisten!$G$150,BU$25+BU$25*BU$13*$AN38,BU$25*(1+BU$13)^$AN38)</f>
        <v>0</v>
      </c>
      <c r="BV38" s="69">
        <f ca="1">$AO38*IF(Auswahllisten!$G$150,BV$25+BV$25*BV$13*$AN38,BV$25*(1+BV$13)^$AN38)</f>
        <v>0</v>
      </c>
      <c r="BW38" s="69">
        <f t="shared" ca="1" si="42"/>
        <v>0</v>
      </c>
      <c r="BX38" s="69">
        <f t="shared" ca="1" si="43"/>
        <v>0</v>
      </c>
      <c r="BY38" s="69">
        <f t="shared" ca="1" si="29"/>
        <v>0</v>
      </c>
      <c r="BZ38" s="69">
        <f t="shared" ca="1" si="30"/>
        <v>0</v>
      </c>
    </row>
    <row r="39" spans="1:78">
      <c r="A39" s="306" t="s">
        <v>1256</v>
      </c>
      <c r="B39" s="297" t="s">
        <v>303</v>
      </c>
      <c r="C39" s="134" t="s">
        <v>186</v>
      </c>
      <c r="D39" s="163" t="str" cm="1">
        <f t="array" aca="1" ref="D39" ca="1">INDIRECT("Vergleich!"&amp;$G$2&amp;Z39)</f>
        <v>mittel</v>
      </c>
      <c r="E39" s="163" cm="1">
        <f t="array" aca="1" ref="E39" ca="1">INDIRECT("Investition_gewählt!"&amp;$I$5&amp;AA39)</f>
        <v>4000</v>
      </c>
      <c r="F39" s="61" cm="1">
        <f t="array" aca="1" ref="F39" ca="1">IF($C$5=0,0,INDEX(Faktoren!E25:GQ25,1,VLOOKUP($F$5,$L$2:$O$14,4,FALSE)+$C$9*5+VLOOKUP(D39,Auswahllisten!$E$25:$F$29,2,FALSE)))</f>
        <v>0</v>
      </c>
      <c r="G39" s="296">
        <f t="shared" ca="1" si="51"/>
        <v>0</v>
      </c>
      <c r="H39" s="296" cm="1">
        <f t="array" aca="1" ref="H39" ca="1">INDIRECT("Investition_gewählt!"&amp;$I$6&amp;AA39)</f>
        <v>4000</v>
      </c>
      <c r="I39" s="61" cm="1">
        <f t="array" aca="1" ref="I39" ca="1">IF($C$5=0,0,INDEX(Faktoren!E25:GQ25,1,VLOOKUP($F$6,$L$2:$O$14,4,FALSE)+$C$9*5+VLOOKUP(D39,Auswahllisten!$E$25:$F$29,2,FALSE)))</f>
        <v>0</v>
      </c>
      <c r="J39" s="93">
        <f t="shared" ca="1" si="52"/>
        <v>0</v>
      </c>
      <c r="K39" s="93">
        <f t="shared" ca="1" si="44"/>
        <v>0</v>
      </c>
      <c r="L39" s="93" t="b">
        <f t="shared" ca="1" si="45"/>
        <v>0</v>
      </c>
      <c r="M39" s="163">
        <f t="shared" ca="1" si="46"/>
        <v>0</v>
      </c>
      <c r="O39" s="93" t="str" cm="1">
        <f t="array" aca="1" ref="O39" ca="1">INDIRECT("Vergleich!"&amp;$Y$2&amp;Z39)</f>
        <v>gering</v>
      </c>
      <c r="P39" s="163" cm="1">
        <f t="array" aca="1" ref="P39" ca="1">INDIRECT("Investition_gewählt!"&amp;$AA$5&amp;AA39)</f>
        <v>4000</v>
      </c>
      <c r="Q39" s="93" cm="1">
        <f t="array" aca="1" ref="Q39" ca="1">IF($U$5=0,0,INDEX(Faktoren!E25:GQ25,1,VLOOKUP($X$5,$L$2:$O$14,4,FALSE)+$U$9*5+VLOOKUP(O39,Auswahllisten!$E$25:$F$29,2,FALSE)))</f>
        <v>0</v>
      </c>
      <c r="R39" s="163">
        <f t="shared" ca="1" si="47"/>
        <v>0</v>
      </c>
      <c r="S39" s="163" cm="1">
        <f t="array" aca="1" ref="S39" ca="1">INDIRECT("Investition_gewählt!"&amp;$AA$6&amp;AA39)</f>
        <v>4000</v>
      </c>
      <c r="T39" s="93" cm="1">
        <f t="array" aca="1" ref="T39" ca="1">IF($U$5=0,0,INDEX(Faktoren!E25:QG25,1,VLOOKUP($X$6,$L$3:$O$14,4,FALSE)+$U$9*5+VLOOKUP(O39,Auswahllisten!$E$25:$F$29,2,FALSE)))</f>
        <v>0</v>
      </c>
      <c r="U39" s="163">
        <f t="shared" ca="1" si="48"/>
        <v>0</v>
      </c>
      <c r="V39" s="163">
        <f t="shared" ca="1" si="14"/>
        <v>0</v>
      </c>
      <c r="W39" s="61" t="b">
        <f t="shared" ca="1" si="53"/>
        <v>0</v>
      </c>
      <c r="X39" s="163">
        <f t="shared" ca="1" si="49"/>
        <v>0</v>
      </c>
      <c r="Z39" s="1">
        <v>48</v>
      </c>
      <c r="AA39" s="1">
        <v>25</v>
      </c>
      <c r="AB39" s="1">
        <v>-2</v>
      </c>
      <c r="AC39" s="35"/>
      <c r="AD39" s="35"/>
      <c r="AE39" s="83" t="s">
        <v>1012</v>
      </c>
      <c r="AF39" s="26">
        <f ca="1">AF28</f>
        <v>0</v>
      </c>
      <c r="AG39" s="26"/>
      <c r="AH39" s="26">
        <f t="shared" ref="AH39:AH40" ca="1" si="58">AH28</f>
        <v>0</v>
      </c>
      <c r="AI39" s="26">
        <f>AI28</f>
        <v>0</v>
      </c>
      <c r="AJ39" s="26"/>
      <c r="AK39" s="26">
        <f t="shared" ref="AK39:AK40" si="59">AK28</f>
        <v>0</v>
      </c>
      <c r="AN39" s="1">
        <v>14</v>
      </c>
      <c r="AO39" s="1">
        <f t="shared" si="24"/>
        <v>1</v>
      </c>
      <c r="AP39" s="69">
        <f t="shared" ca="1" si="25"/>
        <v>0</v>
      </c>
      <c r="AQ39" s="69">
        <f t="shared" ca="1" si="25"/>
        <v>0</v>
      </c>
      <c r="AR39" s="69">
        <f t="shared" si="25"/>
        <v>0</v>
      </c>
      <c r="AS39" s="69">
        <f t="shared" ca="1" si="25"/>
        <v>0</v>
      </c>
      <c r="AT39" s="69">
        <f t="shared" ca="1" si="25"/>
        <v>0</v>
      </c>
      <c r="AU39" s="69">
        <f t="shared" ca="1" si="25"/>
        <v>0</v>
      </c>
      <c r="AV39" s="69">
        <f t="shared" si="25"/>
        <v>0</v>
      </c>
      <c r="AW39" s="69">
        <f t="shared" ca="1" si="34"/>
        <v>0</v>
      </c>
      <c r="AX39" s="69">
        <f t="shared" ca="1" si="35"/>
        <v>0</v>
      </c>
      <c r="AY39" s="69">
        <f t="shared" ca="1" si="36"/>
        <v>0</v>
      </c>
      <c r="AZ39" s="69">
        <f ca="1">$AO39*IF(Auswahllisten!$G$150,AZ$25+AZ$25*AZ$13*$AN39,AZ$25*(1+AZ$13)^$AN39)</f>
        <v>0</v>
      </c>
      <c r="BA39" s="69">
        <f ca="1">$AO39*IF(Auswahllisten!$G$150,BA$25+BA$25*BA$13*$AN39,BA$25*(1+BA$13)^$AN39)</f>
        <v>0</v>
      </c>
      <c r="BB39" s="69">
        <f ca="1">$AO39*IF(Auswahllisten!$G$150,BB$25+BB$25*BB$13*$AN39,BB$25*(1+BB$13)^$AN39)</f>
        <v>0</v>
      </c>
      <c r="BC39" s="69">
        <f ca="1">$AO39*IF(Auswahllisten!$G$150,BC$25+BC$25*BC$13*$AN39,BC$25*(1+BC$13)^$AN39)</f>
        <v>0</v>
      </c>
      <c r="BD39" s="69">
        <f t="shared" ca="1" si="37"/>
        <v>0</v>
      </c>
      <c r="BE39" s="69">
        <f t="shared" ca="1" si="38"/>
        <v>0</v>
      </c>
      <c r="BF39" s="69">
        <f t="shared" ca="1" si="39"/>
        <v>0</v>
      </c>
      <c r="BG39" s="69">
        <f t="shared" ca="1" si="40"/>
        <v>0</v>
      </c>
      <c r="BI39" s="69">
        <f t="shared" ca="1" si="26"/>
        <v>0</v>
      </c>
      <c r="BJ39" s="69">
        <f t="shared" ca="1" si="26"/>
        <v>0</v>
      </c>
      <c r="BK39" s="69">
        <f t="shared" si="26"/>
        <v>0</v>
      </c>
      <c r="BL39" s="69">
        <f t="shared" ca="1" si="26"/>
        <v>0</v>
      </c>
      <c r="BM39" s="69">
        <f t="shared" ca="1" si="26"/>
        <v>0</v>
      </c>
      <c r="BN39" s="69">
        <f t="shared" ca="1" si="26"/>
        <v>0</v>
      </c>
      <c r="BO39" s="69">
        <f t="shared" si="26"/>
        <v>0</v>
      </c>
      <c r="BP39" s="69">
        <f t="shared" ca="1" si="27"/>
        <v>0</v>
      </c>
      <c r="BQ39" s="69">
        <f t="shared" ca="1" si="41"/>
        <v>0</v>
      </c>
      <c r="BR39" s="69">
        <f t="shared" ca="1" si="28"/>
        <v>0</v>
      </c>
      <c r="BS39" s="69">
        <f ca="1">$AO39*IF(Auswahllisten!$G$150,BS$25+BS$25*BS$13*$AN39,BS$25*(1+BS$13)^$AN39)</f>
        <v>0</v>
      </c>
      <c r="BT39" s="69">
        <f ca="1">$AO39*IF(Auswahllisten!$G$150,BT$25+BT$25*BT$13*$AN39,BT$25*(1+BT$13)^$AN39)</f>
        <v>0</v>
      </c>
      <c r="BU39" s="69">
        <f ca="1">$AO39*IF(Auswahllisten!$G$150,BU$25+BU$25*BU$13*$AN39,BU$25*(1+BU$13)^$AN39)</f>
        <v>0</v>
      </c>
      <c r="BV39" s="69">
        <f ca="1">$AO39*IF(Auswahllisten!$G$150,BV$25+BV$25*BV$13*$AN39,BV$25*(1+BV$13)^$AN39)</f>
        <v>0</v>
      </c>
      <c r="BW39" s="69">
        <f t="shared" ca="1" si="42"/>
        <v>0</v>
      </c>
      <c r="BX39" s="69">
        <f t="shared" ca="1" si="43"/>
        <v>0</v>
      </c>
      <c r="BY39" s="69">
        <f t="shared" ca="1" si="29"/>
        <v>0</v>
      </c>
      <c r="BZ39" s="69">
        <f t="shared" ca="1" si="30"/>
        <v>0</v>
      </c>
    </row>
    <row r="40" spans="1:78">
      <c r="A40" s="125"/>
      <c r="B40" s="64"/>
      <c r="C40" s="64"/>
      <c r="D40" s="69"/>
      <c r="E40" s="69"/>
      <c r="G40" s="69"/>
      <c r="H40" s="69"/>
      <c r="M40" s="69"/>
      <c r="P40" s="69"/>
      <c r="R40" s="69"/>
      <c r="S40" s="69"/>
      <c r="U40" s="69"/>
      <c r="V40" s="69"/>
      <c r="X40" s="69"/>
      <c r="AA40" s="1">
        <v>26</v>
      </c>
      <c r="AB40" s="1">
        <v>-2</v>
      </c>
      <c r="AC40" s="35"/>
      <c r="AD40" s="35"/>
      <c r="AE40" s="83" t="s">
        <v>948</v>
      </c>
      <c r="AF40" s="26">
        <f ca="1">AF29</f>
        <v>0</v>
      </c>
      <c r="AG40" s="26"/>
      <c r="AH40" s="26">
        <f t="shared" ca="1" si="58"/>
        <v>0</v>
      </c>
      <c r="AI40" s="26">
        <f>AI29</f>
        <v>0</v>
      </c>
      <c r="AJ40" s="26"/>
      <c r="AK40" s="26">
        <f t="shared" si="59"/>
        <v>0</v>
      </c>
      <c r="AN40" s="1">
        <v>15</v>
      </c>
      <c r="AO40" s="1">
        <f t="shared" si="24"/>
        <v>1</v>
      </c>
      <c r="AP40" s="69">
        <f t="shared" ca="1" si="25"/>
        <v>0</v>
      </c>
      <c r="AQ40" s="69">
        <f t="shared" ca="1" si="25"/>
        <v>0</v>
      </c>
      <c r="AR40" s="69">
        <f t="shared" si="25"/>
        <v>0</v>
      </c>
      <c r="AS40" s="69">
        <f t="shared" ca="1" si="25"/>
        <v>0</v>
      </c>
      <c r="AT40" s="69">
        <f t="shared" ca="1" si="25"/>
        <v>0</v>
      </c>
      <c r="AU40" s="69">
        <f t="shared" ca="1" si="25"/>
        <v>0</v>
      </c>
      <c r="AV40" s="69">
        <f t="shared" si="25"/>
        <v>0</v>
      </c>
      <c r="AW40" s="69">
        <f t="shared" ca="1" si="34"/>
        <v>0</v>
      </c>
      <c r="AX40" s="69">
        <f t="shared" ca="1" si="35"/>
        <v>0</v>
      </c>
      <c r="AY40" s="69">
        <f t="shared" ca="1" si="36"/>
        <v>0</v>
      </c>
      <c r="AZ40" s="69">
        <f ca="1">$AO40*IF(Auswahllisten!$G$150,AZ$25+AZ$25*AZ$13*$AN40,AZ$25*(1+AZ$13)^$AN40)</f>
        <v>0</v>
      </c>
      <c r="BA40" s="69">
        <f ca="1">$AO40*IF(Auswahllisten!$G$150,BA$25+BA$25*BA$13*$AN40,BA$25*(1+BA$13)^$AN40)</f>
        <v>0</v>
      </c>
      <c r="BB40" s="69">
        <f ca="1">$AO40*IF(Auswahllisten!$G$150,BB$25+BB$25*BB$13*$AN40,BB$25*(1+BB$13)^$AN40)</f>
        <v>0</v>
      </c>
      <c r="BC40" s="69">
        <f ca="1">$AO40*IF(Auswahllisten!$G$150,BC$25+BC$25*BC$13*$AN40,BC$25*(1+BC$13)^$AN40)</f>
        <v>0</v>
      </c>
      <c r="BD40" s="69">
        <f t="shared" ca="1" si="37"/>
        <v>0</v>
      </c>
      <c r="BE40" s="69">
        <f t="shared" ca="1" si="38"/>
        <v>0</v>
      </c>
      <c r="BF40" s="69">
        <f t="shared" ca="1" si="39"/>
        <v>0</v>
      </c>
      <c r="BG40" s="69">
        <f t="shared" ca="1" si="40"/>
        <v>0</v>
      </c>
      <c r="BI40" s="69">
        <f t="shared" ca="1" si="26"/>
        <v>0</v>
      </c>
      <c r="BJ40" s="69">
        <f t="shared" ca="1" si="26"/>
        <v>0</v>
      </c>
      <c r="BK40" s="69">
        <f t="shared" si="26"/>
        <v>0</v>
      </c>
      <c r="BL40" s="69">
        <f t="shared" ca="1" si="26"/>
        <v>0</v>
      </c>
      <c r="BM40" s="69">
        <f t="shared" ca="1" si="26"/>
        <v>0</v>
      </c>
      <c r="BN40" s="69">
        <f t="shared" ca="1" si="26"/>
        <v>0</v>
      </c>
      <c r="BO40" s="69">
        <f t="shared" si="26"/>
        <v>0</v>
      </c>
      <c r="BP40" s="69">
        <f t="shared" ca="1" si="27"/>
        <v>0</v>
      </c>
      <c r="BQ40" s="69">
        <f t="shared" ca="1" si="41"/>
        <v>0</v>
      </c>
      <c r="BR40" s="69">
        <f t="shared" ca="1" si="28"/>
        <v>0</v>
      </c>
      <c r="BS40" s="69">
        <f ca="1">$AO40*IF(Auswahllisten!$G$150,BS$25+BS$25*BS$13*$AN40,BS$25*(1+BS$13)^$AN40)</f>
        <v>0</v>
      </c>
      <c r="BT40" s="69">
        <f ca="1">$AO40*IF(Auswahllisten!$G$150,BT$25+BT$25*BT$13*$AN40,BT$25*(1+BT$13)^$AN40)</f>
        <v>0</v>
      </c>
      <c r="BU40" s="69">
        <f ca="1">$AO40*IF(Auswahllisten!$G$150,BU$25+BU$25*BU$13*$AN40,BU$25*(1+BU$13)^$AN40)</f>
        <v>0</v>
      </c>
      <c r="BV40" s="69">
        <f ca="1">$AO40*IF(Auswahllisten!$G$150,BV$25+BV$25*BV$13*$AN40,BV$25*(1+BV$13)^$AN40)</f>
        <v>0</v>
      </c>
      <c r="BW40" s="69">
        <f t="shared" ca="1" si="42"/>
        <v>0</v>
      </c>
      <c r="BX40" s="69">
        <f t="shared" ca="1" si="43"/>
        <v>0</v>
      </c>
      <c r="BY40" s="69">
        <f t="shared" ca="1" si="29"/>
        <v>0</v>
      </c>
      <c r="BZ40" s="69">
        <f t="shared" ca="1" si="30"/>
        <v>0</v>
      </c>
    </row>
    <row r="41" spans="1:78">
      <c r="A41" s="125" t="s">
        <v>993</v>
      </c>
      <c r="B41" s="125" t="s">
        <v>15</v>
      </c>
      <c r="C41" s="125"/>
      <c r="D41" s="69"/>
      <c r="E41" s="69"/>
      <c r="G41" s="69"/>
      <c r="H41" s="69"/>
      <c r="L41" s="155">
        <v>4</v>
      </c>
      <c r="M41" s="69"/>
      <c r="P41" s="69"/>
      <c r="R41" s="69"/>
      <c r="S41" s="69"/>
      <c r="U41" s="69"/>
      <c r="V41" s="69"/>
      <c r="X41" s="69"/>
      <c r="AA41" s="1">
        <v>27</v>
      </c>
      <c r="AB41" s="1">
        <v>-2</v>
      </c>
      <c r="AC41" s="35"/>
      <c r="AD41" s="35"/>
      <c r="AE41" s="83" t="s">
        <v>677</v>
      </c>
      <c r="AF41" s="26">
        <f ca="1">AF20-AG20</f>
        <v>0</v>
      </c>
      <c r="AG41" s="26"/>
      <c r="AH41" s="26">
        <f ca="1">AH20</f>
        <v>0</v>
      </c>
      <c r="AI41" s="26">
        <f>AI20-AJ20</f>
        <v>0</v>
      </c>
      <c r="AJ41" s="26"/>
      <c r="AK41" s="26">
        <f>AK20</f>
        <v>0</v>
      </c>
      <c r="AN41" s="1">
        <v>16</v>
      </c>
      <c r="AO41" s="1">
        <f t="shared" si="24"/>
        <v>1</v>
      </c>
      <c r="AP41" s="69">
        <f t="shared" ca="1" si="25"/>
        <v>0</v>
      </c>
      <c r="AQ41" s="69">
        <f t="shared" ca="1" si="25"/>
        <v>0</v>
      </c>
      <c r="AR41" s="69">
        <f t="shared" si="25"/>
        <v>0</v>
      </c>
      <c r="AS41" s="69">
        <f t="shared" ca="1" si="25"/>
        <v>0</v>
      </c>
      <c r="AT41" s="69">
        <f t="shared" ca="1" si="25"/>
        <v>0</v>
      </c>
      <c r="AU41" s="69">
        <f t="shared" ca="1" si="25"/>
        <v>0</v>
      </c>
      <c r="AV41" s="69">
        <f t="shared" si="25"/>
        <v>0</v>
      </c>
      <c r="AW41" s="69">
        <f t="shared" ca="1" si="34"/>
        <v>0</v>
      </c>
      <c r="AX41" s="69">
        <f t="shared" ca="1" si="35"/>
        <v>0</v>
      </c>
      <c r="AY41" s="69">
        <f t="shared" ca="1" si="36"/>
        <v>0</v>
      </c>
      <c r="AZ41" s="69">
        <f ca="1">$AO41*IF(Auswahllisten!$G$150,AZ$25+AZ$25*AZ$13*$AN41,AZ$25*(1+AZ$13)^$AN41)</f>
        <v>0</v>
      </c>
      <c r="BA41" s="69">
        <f ca="1">$AO41*IF(Auswahllisten!$G$150,BA$25+BA$25*BA$13*$AN41,BA$25*(1+BA$13)^$AN41)</f>
        <v>0</v>
      </c>
      <c r="BB41" s="69">
        <f ca="1">$AO41*IF(Auswahllisten!$G$150,BB$25+BB$25*BB$13*$AN41,BB$25*(1+BB$13)^$AN41)</f>
        <v>0</v>
      </c>
      <c r="BC41" s="69">
        <f ca="1">$AO41*IF(Auswahllisten!$G$150,BC$25+BC$25*BC$13*$AN41,BC$25*(1+BC$13)^$AN41)</f>
        <v>0</v>
      </c>
      <c r="BD41" s="69">
        <f t="shared" ca="1" si="37"/>
        <v>0</v>
      </c>
      <c r="BE41" s="69">
        <f t="shared" ca="1" si="38"/>
        <v>0</v>
      </c>
      <c r="BF41" s="69">
        <f t="shared" ca="1" si="39"/>
        <v>0</v>
      </c>
      <c r="BG41" s="69">
        <f t="shared" ca="1" si="40"/>
        <v>0</v>
      </c>
      <c r="BI41" s="69">
        <f t="shared" ca="1" si="26"/>
        <v>0</v>
      </c>
      <c r="BJ41" s="69">
        <f t="shared" ca="1" si="26"/>
        <v>0</v>
      </c>
      <c r="BK41" s="69">
        <f t="shared" si="26"/>
        <v>0</v>
      </c>
      <c r="BL41" s="69">
        <f t="shared" ca="1" si="26"/>
        <v>0</v>
      </c>
      <c r="BM41" s="69">
        <f t="shared" ca="1" si="26"/>
        <v>0</v>
      </c>
      <c r="BN41" s="69">
        <f t="shared" ca="1" si="26"/>
        <v>0</v>
      </c>
      <c r="BO41" s="69">
        <f t="shared" si="26"/>
        <v>0</v>
      </c>
      <c r="BP41" s="69">
        <f t="shared" ca="1" si="27"/>
        <v>0</v>
      </c>
      <c r="BQ41" s="69">
        <f t="shared" ca="1" si="41"/>
        <v>0</v>
      </c>
      <c r="BR41" s="69">
        <f t="shared" ca="1" si="28"/>
        <v>0</v>
      </c>
      <c r="BS41" s="69">
        <f ca="1">$AO41*IF(Auswahllisten!$G$150,BS$25+BS$25*BS$13*$AN41,BS$25*(1+BS$13)^$AN41)</f>
        <v>0</v>
      </c>
      <c r="BT41" s="69">
        <f ca="1">$AO41*IF(Auswahllisten!$G$150,BT$25+BT$25*BT$13*$AN41,BT$25*(1+BT$13)^$AN41)</f>
        <v>0</v>
      </c>
      <c r="BU41" s="69">
        <f ca="1">$AO41*IF(Auswahllisten!$G$150,BU$25+BU$25*BU$13*$AN41,BU$25*(1+BU$13)^$AN41)</f>
        <v>0</v>
      </c>
      <c r="BV41" s="69">
        <f ca="1">$AO41*IF(Auswahllisten!$G$150,BV$25+BV$25*BV$13*$AN41,BV$25*(1+BV$13)^$AN41)</f>
        <v>0</v>
      </c>
      <c r="BW41" s="69">
        <f t="shared" ca="1" si="42"/>
        <v>0</v>
      </c>
      <c r="BX41" s="69">
        <f t="shared" ca="1" si="43"/>
        <v>0</v>
      </c>
      <c r="BY41" s="69">
        <f t="shared" ca="1" si="29"/>
        <v>0</v>
      </c>
      <c r="BZ41" s="69">
        <f t="shared" ca="1" si="30"/>
        <v>0</v>
      </c>
    </row>
    <row r="42" spans="1:78">
      <c r="A42" s="304" t="s">
        <v>1217</v>
      </c>
      <c r="B42" s="131" t="s">
        <v>1242</v>
      </c>
      <c r="C42" s="131" t="s">
        <v>994</v>
      </c>
      <c r="D42" s="162" t="str" cm="1">
        <f t="array" aca="1" ref="D42" ca="1">INDIRECT("Vergleich!"&amp;$G$2&amp;Z42)</f>
        <v>mittel</v>
      </c>
      <c r="E42" s="162" cm="1">
        <f t="array" aca="1" ref="E42" ca="1">INDIRECT("Investition_gewählt!"&amp;$I$5&amp;AA42)</f>
        <v>0</v>
      </c>
      <c r="F42" s="25" cm="1">
        <f t="array" aca="1" ref="F42" ca="1">IF($C$5=0,0,INDEX(Faktoren!E28:GQ28,1,VLOOKUP($F$5,$L$2:$O$14,4,FALSE)+$C$9*5+VLOOKUP(D42,Auswahllisten!$E$25:$F$29,2,FALSE)))</f>
        <v>0</v>
      </c>
      <c r="G42" s="162">
        <f ca="1">E42*F42</f>
        <v>0</v>
      </c>
      <c r="H42" s="162" cm="1">
        <f t="array" aca="1" ref="H42" ca="1">INDIRECT("Investition_gewählt!"&amp;$I$6&amp;AA42)</f>
        <v>0</v>
      </c>
      <c r="I42" s="25" cm="1">
        <f t="array" aca="1" ref="I42" ca="1">IF($C$5=0,0,INDEX(Faktoren!E28:GQ28,1,VLOOKUP($F$6,$L$2:$O$14,4,FALSE)+$C$9*5+VLOOKUP(D42,Auswahllisten!$E$25:$F$29,2,FALSE)))</f>
        <v>0</v>
      </c>
      <c r="J42" s="25">
        <f ca="1">H42*I42</f>
        <v>0</v>
      </c>
      <c r="K42" s="25">
        <f t="shared" ref="K42:K48" ca="1" si="60">IF($C$5=0,0,G42+(J42-G42)*($C$6-$F$5)/($F$6-$F$5))</f>
        <v>0</v>
      </c>
      <c r="L42" s="25" t="b">
        <f t="shared" ref="L42:L48" ca="1" si="61">($C$5=$L$41)</f>
        <v>0</v>
      </c>
      <c r="M42" s="162">
        <f t="shared" ref="M42:M48" ca="1" si="62">IFERROR(ROUND(K42*L42,AB42),0)</f>
        <v>0</v>
      </c>
      <c r="O42" s="25" t="str" cm="1">
        <f t="array" aca="1" ref="O42" ca="1">INDIRECT("Vergleich!"&amp;$Y$2&amp;Z42)</f>
        <v>gering</v>
      </c>
      <c r="P42" s="162" cm="1">
        <f t="array" aca="1" ref="P42" ca="1">INDIRECT("Investition_gewählt!"&amp;$AA$5&amp;AA42)</f>
        <v>0</v>
      </c>
      <c r="Q42" s="25" cm="1">
        <f t="array" aca="1" ref="Q42" ca="1">IF($U$5=0,0,INDEX(Faktoren!E28:GQ28,1,VLOOKUP($X$5,$L$2:$O$14,4,FALSE)+$U$9*5+VLOOKUP(O42,Auswahllisten!$E$25:$F$29,2,FALSE)))</f>
        <v>0</v>
      </c>
      <c r="R42" s="162">
        <f t="shared" ref="R42:R48" ca="1" si="63">P42*Q42</f>
        <v>0</v>
      </c>
      <c r="S42" s="162" cm="1">
        <f t="array" aca="1" ref="S42" ca="1">INDIRECT("Investition_gewählt!"&amp;$AA$6&amp;AA42)</f>
        <v>0</v>
      </c>
      <c r="T42" s="25" cm="1">
        <f t="array" aca="1" ref="T42" ca="1">IF($U$5=0,0,INDEX(Faktoren!E28:QG28,1,VLOOKUP($X$6,$L$3:$O$14,4,FALSE)+$U$9*5+VLOOKUP(O42,Auswahllisten!$E$25:$F$29,2,FALSE)))</f>
        <v>0</v>
      </c>
      <c r="U42" s="162">
        <f t="shared" ref="U42:U48" ca="1" si="64">S42*T42</f>
        <v>0</v>
      </c>
      <c r="V42" s="162">
        <f t="shared" ca="1" si="14"/>
        <v>0</v>
      </c>
      <c r="W42" s="25" t="b">
        <f ca="1">($U$5=$L$41)</f>
        <v>0</v>
      </c>
      <c r="X42" s="162">
        <f t="shared" ref="X42:X48" ca="1" si="65">IFERROR(ROUND(V42*W42,AB42),0)</f>
        <v>0</v>
      </c>
      <c r="Z42" s="1">
        <v>36</v>
      </c>
      <c r="AA42" s="1">
        <v>28</v>
      </c>
      <c r="AB42" s="1">
        <v>-2</v>
      </c>
      <c r="AD42" s="35"/>
      <c r="AN42" s="1">
        <v>17</v>
      </c>
      <c r="AO42" s="1">
        <f t="shared" si="24"/>
        <v>1</v>
      </c>
      <c r="AP42" s="69">
        <f t="shared" ref="AP42:AV45" ca="1" si="66">IFERROR($AO42*IF(MOD($AN42,AP$20)=0,AP$25,0)*(1+$AS$10)^$AN42*IF($AS$3=$AN42,0,1),0)</f>
        <v>0</v>
      </c>
      <c r="AQ42" s="69">
        <f t="shared" ca="1" si="66"/>
        <v>0</v>
      </c>
      <c r="AR42" s="69">
        <f t="shared" si="66"/>
        <v>0</v>
      </c>
      <c r="AS42" s="69">
        <f t="shared" ca="1" si="66"/>
        <v>0</v>
      </c>
      <c r="AT42" s="69">
        <f t="shared" ca="1" si="66"/>
        <v>0</v>
      </c>
      <c r="AU42" s="69">
        <f t="shared" ca="1" si="66"/>
        <v>0</v>
      </c>
      <c r="AV42" s="69">
        <f t="shared" si="66"/>
        <v>0</v>
      </c>
      <c r="AW42" s="69">
        <f t="shared" ca="1" si="34"/>
        <v>0</v>
      </c>
      <c r="AX42" s="69">
        <f t="shared" ca="1" si="35"/>
        <v>0</v>
      </c>
      <c r="AY42" s="69">
        <f t="shared" ca="1" si="36"/>
        <v>0</v>
      </c>
      <c r="AZ42" s="69">
        <f ca="1">$AO42*IF(Auswahllisten!$G$150,AZ$25+AZ$25*AZ$13*$AN42,AZ$25*(1+AZ$13)^$AN42)</f>
        <v>0</v>
      </c>
      <c r="BA42" s="69">
        <f ca="1">$AO42*IF(Auswahllisten!$G$150,BA$25+BA$25*BA$13*$AN42,BA$25*(1+BA$13)^$AN42)</f>
        <v>0</v>
      </c>
      <c r="BB42" s="69">
        <f ca="1">$AO42*IF(Auswahllisten!$G$150,BB$25+BB$25*BB$13*$AN42,BB$25*(1+BB$13)^$AN42)</f>
        <v>0</v>
      </c>
      <c r="BC42" s="69">
        <f ca="1">$AO42*IF(Auswahllisten!$G$150,BC$25+BC$25*BC$13*$AN42,BC$25*(1+BC$13)^$AN42)</f>
        <v>0</v>
      </c>
      <c r="BD42" s="69">
        <f t="shared" ca="1" si="37"/>
        <v>0</v>
      </c>
      <c r="BE42" s="69">
        <f t="shared" ca="1" si="38"/>
        <v>0</v>
      </c>
      <c r="BF42" s="69">
        <f t="shared" ca="1" si="39"/>
        <v>0</v>
      </c>
      <c r="BG42" s="69">
        <f t="shared" ca="1" si="40"/>
        <v>0</v>
      </c>
      <c r="BI42" s="69">
        <f t="shared" ref="BI42:BO78" ca="1" si="67">IFERROR($AO42*IF(MOD($AN42,BI$20)=0,BI$25,0)*(1+$AS$10)^$AN42*IF($AS$3=$AN42,0,1),0)</f>
        <v>0</v>
      </c>
      <c r="BJ42" s="69">
        <f t="shared" ca="1" si="67"/>
        <v>0</v>
      </c>
      <c r="BK42" s="69">
        <f t="shared" si="67"/>
        <v>0</v>
      </c>
      <c r="BL42" s="69">
        <f t="shared" ca="1" si="67"/>
        <v>0</v>
      </c>
      <c r="BM42" s="69">
        <f t="shared" ca="1" si="67"/>
        <v>0</v>
      </c>
      <c r="BN42" s="69">
        <f t="shared" ca="1" si="67"/>
        <v>0</v>
      </c>
      <c r="BO42" s="69">
        <f t="shared" si="67"/>
        <v>0</v>
      </c>
      <c r="BP42" s="69">
        <f t="shared" ca="1" si="27"/>
        <v>0</v>
      </c>
      <c r="BQ42" s="69">
        <f t="shared" ca="1" si="41"/>
        <v>0</v>
      </c>
      <c r="BR42" s="69">
        <f t="shared" ca="1" si="28"/>
        <v>0</v>
      </c>
      <c r="BS42" s="69">
        <f ca="1">$AO42*IF(Auswahllisten!$G$150,BS$25+BS$25*BS$13*$AN42,BS$25*(1+BS$13)^$AN42)</f>
        <v>0</v>
      </c>
      <c r="BT42" s="69">
        <f ca="1">$AO42*IF(Auswahllisten!$G$150,BT$25+BT$25*BT$13*$AN42,BT$25*(1+BT$13)^$AN42)</f>
        <v>0</v>
      </c>
      <c r="BU42" s="69">
        <f ca="1">$AO42*IF(Auswahllisten!$G$150,BU$25+BU$25*BU$13*$AN42,BU$25*(1+BU$13)^$AN42)</f>
        <v>0</v>
      </c>
      <c r="BV42" s="69">
        <f ca="1">$AO42*IF(Auswahllisten!$G$150,BV$25+BV$25*BV$13*$AN42,BV$25*(1+BV$13)^$AN42)</f>
        <v>0</v>
      </c>
      <c r="BW42" s="69">
        <f t="shared" ca="1" si="42"/>
        <v>0</v>
      </c>
      <c r="BX42" s="69">
        <f t="shared" ca="1" si="43"/>
        <v>0</v>
      </c>
      <c r="BY42" s="69">
        <f t="shared" ca="1" si="29"/>
        <v>0</v>
      </c>
      <c r="BZ42" s="69">
        <f t="shared" ca="1" si="30"/>
        <v>0</v>
      </c>
    </row>
    <row r="43" spans="1:78">
      <c r="A43" s="305" t="s">
        <v>1217</v>
      </c>
      <c r="B43" s="131" t="s">
        <v>1242</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IF($C$5=0,0,INDEX(Faktoren!E29:GQ29,1,VLOOKUP($F$5,$L$2:$O$14,4,FALSE)+$C$9*5+VLOOKUP(D43,Auswahllisten!$E$25:$F$29,2,FALSE)))</f>
        <v>0</v>
      </c>
      <c r="G43" s="26">
        <f t="shared" ref="G43:G48" ca="1" si="68">E43*F43</f>
        <v>0</v>
      </c>
      <c r="H43" s="26" cm="1">
        <f t="array" aca="1" ref="H43" ca="1">INDIRECT("Investition_gewählt!"&amp;$I$6&amp;AA43)</f>
        <v>0</v>
      </c>
      <c r="I43" s="25" cm="1">
        <f t="array" aca="1" ref="I43" ca="1">IF($C$5=0,0,INDEX(Faktoren!E29:GQ29,1,VLOOKUP($F$6,$L$2:$O$14,4,FALSE)+$C$9*5+VLOOKUP(D43,Auswahllisten!$E$25:$F$29,2,FALSE)))</f>
        <v>0</v>
      </c>
      <c r="J43" s="16">
        <f t="shared" ref="J43:J48" ca="1" si="69">H43*I43</f>
        <v>0</v>
      </c>
      <c r="K43" s="16">
        <f t="shared" ca="1" si="60"/>
        <v>0</v>
      </c>
      <c r="L43" s="16" t="b">
        <f t="shared" ca="1" si="61"/>
        <v>0</v>
      </c>
      <c r="M43" s="26">
        <f t="shared" ca="1" si="62"/>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IF($U$5=0,0,INDEX(Faktoren!E29:GQ29,1,VLOOKUP($X$5,$L$2:$O$14,4,FALSE)+$U$9*5+VLOOKUP(O43,Auswahllisten!$E$25:$F$29,2,FALSE)))</f>
        <v>0</v>
      </c>
      <c r="R43" s="26">
        <f t="shared" ca="1" si="63"/>
        <v>0</v>
      </c>
      <c r="S43" s="26" cm="1">
        <f t="array" aca="1" ref="S43" ca="1">INDIRECT("Investition_gewählt!"&amp;$AA$6&amp;AA43)</f>
        <v>0</v>
      </c>
      <c r="T43" s="16" cm="1">
        <f t="array" aca="1" ref="T43" ca="1">IF($U$5=0,0,INDEX(Faktoren!E29:QG29,1,VLOOKUP($X$6,$L$3:$O$14,4,FALSE)+$U$9*5+VLOOKUP(O43,Auswahllisten!$E$25:$F$29,2,FALSE)))</f>
        <v>0</v>
      </c>
      <c r="U43" s="26">
        <f t="shared" ca="1" si="64"/>
        <v>0</v>
      </c>
      <c r="V43" s="26">
        <f t="shared" ca="1" si="14"/>
        <v>0</v>
      </c>
      <c r="W43" s="25" t="b">
        <f t="shared" ref="W43:W48" ca="1" si="70">($U$5=$L$41)</f>
        <v>0</v>
      </c>
      <c r="X43" s="26">
        <f t="shared" ca="1" si="65"/>
        <v>0</v>
      </c>
      <c r="Z43" s="1">
        <v>37</v>
      </c>
      <c r="AA43" s="1">
        <v>29</v>
      </c>
      <c r="AB43" s="1">
        <v>-2</v>
      </c>
      <c r="AD43" s="35"/>
      <c r="AE43" s="83" t="s">
        <v>1259</v>
      </c>
      <c r="AF43" s="69">
        <f ca="1">AF33+AI33</f>
        <v>0</v>
      </c>
      <c r="AN43" s="1">
        <v>18</v>
      </c>
      <c r="AO43" s="1">
        <f t="shared" si="24"/>
        <v>1</v>
      </c>
      <c r="AP43" s="69">
        <f t="shared" ca="1" si="66"/>
        <v>0</v>
      </c>
      <c r="AQ43" s="69">
        <f t="shared" ca="1" si="66"/>
        <v>0</v>
      </c>
      <c r="AR43" s="69">
        <f t="shared" si="66"/>
        <v>0</v>
      </c>
      <c r="AS43" s="69">
        <f t="shared" ca="1" si="66"/>
        <v>0</v>
      </c>
      <c r="AT43" s="69">
        <f t="shared" ca="1" si="66"/>
        <v>0</v>
      </c>
      <c r="AU43" s="69">
        <f t="shared" ca="1" si="66"/>
        <v>0</v>
      </c>
      <c r="AV43" s="69">
        <f t="shared" si="66"/>
        <v>0</v>
      </c>
      <c r="AW43" s="69">
        <f t="shared" ca="1" si="34"/>
        <v>0</v>
      </c>
      <c r="AX43" s="69">
        <f t="shared" ca="1" si="35"/>
        <v>0</v>
      </c>
      <c r="AY43" s="69">
        <f t="shared" ca="1" si="36"/>
        <v>0</v>
      </c>
      <c r="AZ43" s="69">
        <f ca="1">$AO43*IF(Auswahllisten!$G$150,AZ$25+AZ$25*AZ$13*$AN43,AZ$25*(1+AZ$13)^$AN43)</f>
        <v>0</v>
      </c>
      <c r="BA43" s="69">
        <f ca="1">$AO43*IF(Auswahllisten!$G$150,BA$25+BA$25*BA$13*$AN43,BA$25*(1+BA$13)^$AN43)</f>
        <v>0</v>
      </c>
      <c r="BB43" s="69">
        <f ca="1">$AO43*IF(Auswahllisten!$G$150,BB$25+BB$25*BB$13*$AN43,BB$25*(1+BB$13)^$AN43)</f>
        <v>0</v>
      </c>
      <c r="BC43" s="69">
        <f ca="1">$AO43*IF(Auswahllisten!$G$150,BC$25+BC$25*BC$13*$AN43,BC$25*(1+BC$13)^$AN43)</f>
        <v>0</v>
      </c>
      <c r="BD43" s="69">
        <f t="shared" ca="1" si="37"/>
        <v>0</v>
      </c>
      <c r="BE43" s="69">
        <f t="shared" ca="1" si="38"/>
        <v>0</v>
      </c>
      <c r="BF43" s="69">
        <f t="shared" ca="1" si="39"/>
        <v>0</v>
      </c>
      <c r="BG43" s="69">
        <f t="shared" ca="1" si="40"/>
        <v>0</v>
      </c>
      <c r="BI43" s="69">
        <f t="shared" ca="1" si="67"/>
        <v>0</v>
      </c>
      <c r="BJ43" s="69">
        <f t="shared" ca="1" si="67"/>
        <v>0</v>
      </c>
      <c r="BK43" s="69">
        <f t="shared" si="67"/>
        <v>0</v>
      </c>
      <c r="BL43" s="69">
        <f t="shared" ca="1" si="67"/>
        <v>0</v>
      </c>
      <c r="BM43" s="69">
        <f t="shared" ca="1" si="67"/>
        <v>0</v>
      </c>
      <c r="BN43" s="69">
        <f t="shared" ca="1" si="67"/>
        <v>0</v>
      </c>
      <c r="BO43" s="69">
        <f t="shared" si="67"/>
        <v>0</v>
      </c>
      <c r="BP43" s="69">
        <f t="shared" ca="1" si="27"/>
        <v>0</v>
      </c>
      <c r="BQ43" s="69">
        <f t="shared" ca="1" si="41"/>
        <v>0</v>
      </c>
      <c r="BR43" s="69">
        <f t="shared" ca="1" si="28"/>
        <v>0</v>
      </c>
      <c r="BS43" s="69">
        <f ca="1">$AO43*IF(Auswahllisten!$G$150,BS$25+BS$25*BS$13*$AN43,BS$25*(1+BS$13)^$AN43)</f>
        <v>0</v>
      </c>
      <c r="BT43" s="69">
        <f ca="1">$AO43*IF(Auswahllisten!$G$150,BT$25+BT$25*BT$13*$AN43,BT$25*(1+BT$13)^$AN43)</f>
        <v>0</v>
      </c>
      <c r="BU43" s="69">
        <f ca="1">$AO43*IF(Auswahllisten!$G$150,BU$25+BU$25*BU$13*$AN43,BU$25*(1+BU$13)^$AN43)</f>
        <v>0</v>
      </c>
      <c r="BV43" s="69">
        <f ca="1">$AO43*IF(Auswahllisten!$G$150,BV$25+BV$25*BV$13*$AN43,BV$25*(1+BV$13)^$AN43)</f>
        <v>0</v>
      </c>
      <c r="BW43" s="69">
        <f t="shared" ca="1" si="42"/>
        <v>0</v>
      </c>
      <c r="BX43" s="69">
        <f t="shared" ca="1" si="43"/>
        <v>0</v>
      </c>
      <c r="BY43" s="69">
        <f t="shared" ca="1" si="29"/>
        <v>0</v>
      </c>
      <c r="BZ43" s="69">
        <f t="shared" ca="1" si="30"/>
        <v>0</v>
      </c>
    </row>
    <row r="44" spans="1:78">
      <c r="A44" s="305" t="s">
        <v>1215</v>
      </c>
      <c r="B44" s="126" t="s">
        <v>303</v>
      </c>
      <c r="C44" s="126" t="s">
        <v>995</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IF($C$5=0,0,INDEX(Faktoren!E30:GQ30,1,VLOOKUP($F$5,$L$2:$O$14,4,FALSE)+$C$9*5+VLOOKUP(D44,Auswahllisten!$E$25:$F$29,2,FALSE)))</f>
        <v>0</v>
      </c>
      <c r="G44" s="26">
        <f t="shared" ca="1" si="68"/>
        <v>0</v>
      </c>
      <c r="H44" s="26" cm="1">
        <f t="array" aca="1" ref="H44" ca="1">INDIRECT("Investition_gewählt!"&amp;$I$6&amp;AA44)</f>
        <v>0</v>
      </c>
      <c r="I44" s="25" cm="1">
        <f t="array" aca="1" ref="I44" ca="1">IF($C$5=0,0,INDEX(Faktoren!E30:GQ30,1,VLOOKUP($F$6,$L$2:$O$14,4,FALSE)+$C$9*5+VLOOKUP(D44,Auswahllisten!$E$25:$F$29,2,FALSE)))</f>
        <v>0</v>
      </c>
      <c r="J44" s="16">
        <f t="shared" ca="1" si="69"/>
        <v>0</v>
      </c>
      <c r="K44" s="16">
        <f t="shared" ca="1" si="60"/>
        <v>0</v>
      </c>
      <c r="L44" s="16" t="b">
        <f t="shared" ca="1" si="61"/>
        <v>0</v>
      </c>
      <c r="M44" s="26">
        <f t="shared" ca="1" si="62"/>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IF($U$5=0,0,INDEX(Faktoren!E30:GQ30,1,VLOOKUP($X$5,$L$2:$O$14,4,FALSE)+$U$9*5+VLOOKUP(O44,Auswahllisten!$E$25:$F$29,2,FALSE)))</f>
        <v>0</v>
      </c>
      <c r="R44" s="26">
        <f t="shared" ca="1" si="63"/>
        <v>0</v>
      </c>
      <c r="S44" s="26" cm="1">
        <f t="array" aca="1" ref="S44" ca="1">INDIRECT("Investition_gewählt!"&amp;$AA$6&amp;AA44)</f>
        <v>0</v>
      </c>
      <c r="T44" s="16" cm="1">
        <f t="array" aca="1" ref="T44" ca="1">IF($U$5=0,0,INDEX(Faktoren!E30:QG30,1,VLOOKUP($X$6,$L$3:$O$14,4,FALSE)+$U$9*5+VLOOKUP(O44,Auswahllisten!$E$25:$F$29,2,FALSE)))</f>
        <v>0</v>
      </c>
      <c r="U44" s="26">
        <f t="shared" ca="1" si="64"/>
        <v>0</v>
      </c>
      <c r="V44" s="26">
        <f t="shared" ca="1" si="14"/>
        <v>0</v>
      </c>
      <c r="W44" s="25" t="b">
        <f t="shared" ca="1" si="70"/>
        <v>0</v>
      </c>
      <c r="X44" s="26">
        <f t="shared" ca="1" si="65"/>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24"/>
        <v>1</v>
      </c>
      <c r="AP44" s="69">
        <f t="shared" ca="1" si="66"/>
        <v>0</v>
      </c>
      <c r="AQ44" s="69">
        <f t="shared" ca="1" si="66"/>
        <v>0</v>
      </c>
      <c r="AR44" s="69">
        <f t="shared" si="66"/>
        <v>0</v>
      </c>
      <c r="AS44" s="69">
        <f t="shared" ca="1" si="66"/>
        <v>0</v>
      </c>
      <c r="AT44" s="69">
        <f t="shared" ca="1" si="66"/>
        <v>0</v>
      </c>
      <c r="AU44" s="69">
        <f t="shared" ca="1" si="66"/>
        <v>0</v>
      </c>
      <c r="AV44" s="69">
        <f t="shared" si="66"/>
        <v>0</v>
      </c>
      <c r="AW44" s="69">
        <f t="shared" ca="1" si="34"/>
        <v>0</v>
      </c>
      <c r="AX44" s="69">
        <f t="shared" ca="1" si="35"/>
        <v>0</v>
      </c>
      <c r="AY44" s="69">
        <f t="shared" ca="1" si="36"/>
        <v>0</v>
      </c>
      <c r="AZ44" s="69">
        <f ca="1">$AO44*IF(Auswahllisten!$G$150,AZ$25+AZ$25*AZ$13*$AN44,AZ$25*(1+AZ$13)^$AN44)</f>
        <v>0</v>
      </c>
      <c r="BA44" s="69">
        <f ca="1">$AO44*IF(Auswahllisten!$G$150,BA$25+BA$25*BA$13*$AN44,BA$25*(1+BA$13)^$AN44)</f>
        <v>0</v>
      </c>
      <c r="BB44" s="69">
        <f ca="1">$AO44*IF(Auswahllisten!$G$150,BB$25+BB$25*BB$13*$AN44,BB$25*(1+BB$13)^$AN44)</f>
        <v>0</v>
      </c>
      <c r="BC44" s="69">
        <f ca="1">$AO44*IF(Auswahllisten!$G$150,BC$25+BC$25*BC$13*$AN44,BC$25*(1+BC$13)^$AN44)</f>
        <v>0</v>
      </c>
      <c r="BD44" s="69">
        <f t="shared" ca="1" si="37"/>
        <v>0</v>
      </c>
      <c r="BE44" s="69">
        <f t="shared" ca="1" si="38"/>
        <v>0</v>
      </c>
      <c r="BF44" s="69">
        <f t="shared" ca="1" si="39"/>
        <v>0</v>
      </c>
      <c r="BG44" s="69">
        <f t="shared" ca="1" si="40"/>
        <v>0</v>
      </c>
      <c r="BI44" s="69">
        <f t="shared" ca="1" si="67"/>
        <v>0</v>
      </c>
      <c r="BJ44" s="69">
        <f t="shared" ca="1" si="67"/>
        <v>0</v>
      </c>
      <c r="BK44" s="69">
        <f t="shared" si="67"/>
        <v>0</v>
      </c>
      <c r="BL44" s="69">
        <f t="shared" ca="1" si="67"/>
        <v>0</v>
      </c>
      <c r="BM44" s="69">
        <f t="shared" ca="1" si="67"/>
        <v>0</v>
      </c>
      <c r="BN44" s="69">
        <f t="shared" ca="1" si="67"/>
        <v>0</v>
      </c>
      <c r="BO44" s="69">
        <f t="shared" si="67"/>
        <v>0</v>
      </c>
      <c r="BP44" s="69">
        <f t="shared" ca="1" si="27"/>
        <v>0</v>
      </c>
      <c r="BQ44" s="69">
        <f t="shared" ca="1" si="41"/>
        <v>0</v>
      </c>
      <c r="BR44" s="69">
        <f t="shared" ca="1" si="28"/>
        <v>0</v>
      </c>
      <c r="BS44" s="69">
        <f ca="1">$AO44*IF(Auswahllisten!$G$150,BS$25+BS$25*BS$13*$AN44,BS$25*(1+BS$13)^$AN44)</f>
        <v>0</v>
      </c>
      <c r="BT44" s="69">
        <f ca="1">$AO44*IF(Auswahllisten!$G$150,BT$25+BT$25*BT$13*$AN44,BT$25*(1+BT$13)^$AN44)</f>
        <v>0</v>
      </c>
      <c r="BU44" s="69">
        <f ca="1">$AO44*IF(Auswahllisten!$G$150,BU$25+BU$25*BU$13*$AN44,BU$25*(1+BU$13)^$AN44)</f>
        <v>0</v>
      </c>
      <c r="BV44" s="69">
        <f ca="1">$AO44*IF(Auswahllisten!$G$150,BV$25+BV$25*BV$13*$AN44,BV$25*(1+BV$13)^$AN44)</f>
        <v>0</v>
      </c>
      <c r="BW44" s="69">
        <f t="shared" ca="1" si="42"/>
        <v>0</v>
      </c>
      <c r="BX44" s="69">
        <f t="shared" ca="1" si="43"/>
        <v>0</v>
      </c>
      <c r="BY44" s="69">
        <f t="shared" ca="1" si="29"/>
        <v>0</v>
      </c>
      <c r="BZ44" s="69">
        <f t="shared" ca="1" si="30"/>
        <v>0</v>
      </c>
    </row>
    <row r="45" spans="1:78">
      <c r="A45" s="305" t="s">
        <v>1215</v>
      </c>
      <c r="B45" s="126" t="s">
        <v>303</v>
      </c>
      <c r="C45" s="126" t="s">
        <v>965</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IF($C$5=0,0,INDEX(Faktoren!E31:GQ31,1,VLOOKUP($F$5,$L$2:$O$14,4,FALSE)+$C$9*5+VLOOKUP(D45,Auswahllisten!$E$25:$F$29,2,FALSE)))</f>
        <v>0</v>
      </c>
      <c r="G45" s="26">
        <f t="shared" ca="1" si="68"/>
        <v>0</v>
      </c>
      <c r="H45" s="26" cm="1">
        <f t="array" aca="1" ref="H45" ca="1">INDIRECT("Investition_gewählt!"&amp;$I$6&amp;AA45)</f>
        <v>0</v>
      </c>
      <c r="I45" s="25" cm="1">
        <f t="array" aca="1" ref="I45" ca="1">IF($C$5=0,0,INDEX(Faktoren!E31:GQ31,1,VLOOKUP($F$6,$L$2:$O$14,4,FALSE)+$C$9*5+VLOOKUP(D45,Auswahllisten!$E$25:$F$29,2,FALSE)))</f>
        <v>0</v>
      </c>
      <c r="J45" s="16">
        <f t="shared" ca="1" si="69"/>
        <v>0</v>
      </c>
      <c r="K45" s="16">
        <f t="shared" ca="1" si="60"/>
        <v>0</v>
      </c>
      <c r="L45" s="16" t="b">
        <f t="shared" ca="1" si="61"/>
        <v>0</v>
      </c>
      <c r="M45" s="26">
        <f t="shared" ca="1" si="62"/>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IF($U$5=0,0,INDEX(Faktoren!E31:GQ31,1,VLOOKUP($X$5,$L$2:$O$14,4,FALSE)+$U$9*5+VLOOKUP(O45,Auswahllisten!$E$25:$F$29,2,FALSE)))</f>
        <v>0</v>
      </c>
      <c r="R45" s="26">
        <f t="shared" ca="1" si="63"/>
        <v>0</v>
      </c>
      <c r="S45" s="26" cm="1">
        <f t="array" aca="1" ref="S45" ca="1">INDIRECT("Investition_gewählt!"&amp;$AA$6&amp;AA45)</f>
        <v>0</v>
      </c>
      <c r="T45" s="16" cm="1">
        <f t="array" aca="1" ref="T45" ca="1">IF($U$5=0,0,INDEX(Faktoren!E31:QG31,1,VLOOKUP($X$6,$L$3:$O$14,4,FALSE)+$U$9*5+VLOOKUP(O45,Auswahllisten!$E$25:$F$29,2,FALSE)))</f>
        <v>0</v>
      </c>
      <c r="U45" s="26">
        <f t="shared" ca="1" si="64"/>
        <v>0</v>
      </c>
      <c r="V45" s="26">
        <f t="shared" ca="1" si="14"/>
        <v>0</v>
      </c>
      <c r="W45" s="25" t="b">
        <f t="shared" ca="1" si="70"/>
        <v>0</v>
      </c>
      <c r="X45" s="26">
        <f t="shared" ca="1" si="65"/>
        <v>0</v>
      </c>
      <c r="Z45" s="1">
        <v>42</v>
      </c>
      <c r="AA45" s="1">
        <v>31</v>
      </c>
      <c r="AB45" s="1">
        <v>-2</v>
      </c>
      <c r="AF45" s="69">
        <f ca="1">AF44+AI44</f>
        <v>0</v>
      </c>
      <c r="AG45" s="69"/>
      <c r="AH45" s="69"/>
      <c r="AI45" s="69"/>
      <c r="AJ45" s="69"/>
      <c r="AN45" s="1">
        <v>20</v>
      </c>
      <c r="AO45" s="1">
        <f t="shared" si="24"/>
        <v>1</v>
      </c>
      <c r="AP45" s="69">
        <f ca="1">IFERROR($AO45*IF(MOD($AN45,AP$20)=0,AP$25,0)*(1+$AS$10)^$AN45*IF($AS$3=$AN45,0,1),0)</f>
        <v>0</v>
      </c>
      <c r="AQ45" s="69">
        <f t="shared" ca="1" si="66"/>
        <v>0</v>
      </c>
      <c r="AR45" s="69">
        <f t="shared" ca="1" si="66"/>
        <v>0</v>
      </c>
      <c r="AS45" s="69">
        <f t="shared" ca="1" si="66"/>
        <v>0</v>
      </c>
      <c r="AT45" s="69">
        <f t="shared" ca="1" si="66"/>
        <v>0</v>
      </c>
      <c r="AU45" s="69">
        <f t="shared" ca="1" si="66"/>
        <v>0</v>
      </c>
      <c r="AV45" s="69">
        <f t="shared" ca="1" si="66"/>
        <v>0</v>
      </c>
      <c r="AW45" s="69">
        <f ca="1">SUM(AP45:AV45)/(1+$AS$11)^AN45</f>
        <v>0</v>
      </c>
      <c r="AX45" s="69">
        <f t="shared" ca="1" si="35"/>
        <v>0</v>
      </c>
      <c r="AY45" s="69">
        <f t="shared" ca="1" si="36"/>
        <v>0</v>
      </c>
      <c r="AZ45" s="69">
        <f ca="1">$AO45*IF(Auswahllisten!$G$150,AZ$25+AZ$25*AZ$13*$AN45,AZ$25*(1+AZ$13)^$AN45)</f>
        <v>0</v>
      </c>
      <c r="BA45" s="69">
        <f ca="1">$AO45*IF(Auswahllisten!$G$150,BA$25+BA$25*BA$13*$AN45,BA$25*(1+BA$13)^$AN45)</f>
        <v>0</v>
      </c>
      <c r="BB45" s="69">
        <f ca="1">$AO45*IF(Auswahllisten!$G$150,BB$25+BB$25*BB$13*$AN45,BB$25*(1+BB$13)^$AN45)</f>
        <v>0</v>
      </c>
      <c r="BC45" s="69">
        <f ca="1">$AO45*IF(Auswahllisten!$G$150,BC$25+BC$25*BC$13*$AN45,BC$25*(1+BC$13)^$AN45)</f>
        <v>0</v>
      </c>
      <c r="BD45" s="69">
        <f t="shared" ca="1" si="37"/>
        <v>0</v>
      </c>
      <c r="BE45" s="69">
        <f t="shared" ca="1" si="38"/>
        <v>0</v>
      </c>
      <c r="BF45" s="69">
        <f t="shared" ca="1" si="39"/>
        <v>0</v>
      </c>
      <c r="BG45" s="69">
        <f t="shared" ca="1" si="40"/>
        <v>0</v>
      </c>
      <c r="BI45" s="69">
        <f t="shared" ca="1" si="67"/>
        <v>0</v>
      </c>
      <c r="BJ45" s="69">
        <f t="shared" ca="1" si="67"/>
        <v>0</v>
      </c>
      <c r="BK45" s="69">
        <f t="shared" si="67"/>
        <v>0</v>
      </c>
      <c r="BL45" s="69">
        <f t="shared" ca="1" si="67"/>
        <v>0</v>
      </c>
      <c r="BM45" s="69">
        <f t="shared" ca="1" si="67"/>
        <v>0</v>
      </c>
      <c r="BN45" s="69">
        <f t="shared" ca="1" si="67"/>
        <v>0</v>
      </c>
      <c r="BO45" s="69">
        <f t="shared" si="67"/>
        <v>0</v>
      </c>
      <c r="BP45" s="69">
        <f t="shared" ca="1" si="27"/>
        <v>0</v>
      </c>
      <c r="BQ45" s="69">
        <f t="shared" ca="1" si="41"/>
        <v>0</v>
      </c>
      <c r="BR45" s="69">
        <f t="shared" ca="1" si="28"/>
        <v>0</v>
      </c>
      <c r="BS45" s="69">
        <f ca="1">$AO45*IF(Auswahllisten!$G$150,BS$25+BS$25*BS$13*$AN45,BS$25*(1+BS$13)^$AN45)</f>
        <v>0</v>
      </c>
      <c r="BT45" s="69">
        <f ca="1">$AO45*IF(Auswahllisten!$G$150,BT$25+BT$25*BT$13*$AN45,BT$25*(1+BT$13)^$AN45)</f>
        <v>0</v>
      </c>
      <c r="BU45" s="69">
        <f ca="1">$AO45*IF(Auswahllisten!$G$150,BU$25+BU$25*BU$13*$AN45,BU$25*(1+BU$13)^$AN45)</f>
        <v>0</v>
      </c>
      <c r="BV45" s="69">
        <f ca="1">$AO45*IF(Auswahllisten!$G$150,BV$25+BV$25*BV$13*$AN45,BV$25*(1+BV$13)^$AN45)</f>
        <v>0</v>
      </c>
      <c r="BW45" s="69">
        <f t="shared" ca="1" si="42"/>
        <v>0</v>
      </c>
      <c r="BX45" s="69">
        <f t="shared" ca="1" si="43"/>
        <v>0</v>
      </c>
      <c r="BY45" s="69">
        <f t="shared" ca="1" si="29"/>
        <v>0</v>
      </c>
      <c r="BZ45" s="69">
        <f t="shared" ca="1" si="30"/>
        <v>0</v>
      </c>
    </row>
    <row r="46" spans="1:78">
      <c r="A46" s="305" t="s">
        <v>1218</v>
      </c>
      <c r="B46" s="126" t="s">
        <v>1243</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IF($C$5=0,0,INDEX(Faktoren!E32:GQ32,1,VLOOKUP($F$5,$L$2:$O$14,4,FALSE)+$C$9*5+VLOOKUP(D46,Auswahllisten!$E$25:$F$29,2,FALSE)))</f>
        <v>0</v>
      </c>
      <c r="G46" s="26">
        <f t="shared" ca="1" si="68"/>
        <v>0</v>
      </c>
      <c r="H46" s="26" cm="1">
        <f t="array" aca="1" ref="H46" ca="1">INDIRECT("Investition_gewählt!"&amp;$I$6&amp;AA46)</f>
        <v>0</v>
      </c>
      <c r="I46" s="25" cm="1">
        <f t="array" aca="1" ref="I46" ca="1">IF($C$5=0,0,INDEX(Faktoren!E32:GQ32,1,VLOOKUP($F$6,$L$2:$O$14,4,FALSE)+$C$9*5+VLOOKUP(D46,Auswahllisten!$E$25:$F$29,2,FALSE)))</f>
        <v>0</v>
      </c>
      <c r="J46" s="16">
        <f t="shared" ca="1" si="69"/>
        <v>0</v>
      </c>
      <c r="K46" s="16">
        <f t="shared" ca="1" si="60"/>
        <v>0</v>
      </c>
      <c r="L46" s="16" t="b">
        <f t="shared" ca="1" si="61"/>
        <v>0</v>
      </c>
      <c r="M46" s="26">
        <f t="shared" ca="1" si="62"/>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IF($U$5=0,0,INDEX(Faktoren!E32:GQ32,1,VLOOKUP($X$5,$L$2:$O$14,4,FALSE)+$U$9*5+VLOOKUP(O46,Auswahllisten!$E$25:$F$29,2,FALSE)))</f>
        <v>0</v>
      </c>
      <c r="R46" s="26">
        <f t="shared" ca="1" si="63"/>
        <v>0</v>
      </c>
      <c r="S46" s="26" cm="1">
        <f t="array" aca="1" ref="S46" ca="1">INDIRECT("Investition_gewählt!"&amp;$AA$6&amp;AA46)</f>
        <v>0</v>
      </c>
      <c r="T46" s="16" cm="1">
        <f t="array" aca="1" ref="T46" ca="1">IF($U$5=0,0,INDEX(Faktoren!E32:QG32,1,VLOOKUP($X$6,$L$3:$O$14,4,FALSE)+$U$9*5+VLOOKUP(O46,Auswahllisten!$E$25:$F$29,2,FALSE)))</f>
        <v>0</v>
      </c>
      <c r="U46" s="26">
        <f t="shared" ca="1" si="64"/>
        <v>0</v>
      </c>
      <c r="V46" s="26">
        <f t="shared" ca="1" si="14"/>
        <v>0</v>
      </c>
      <c r="W46" s="25" t="b">
        <f t="shared" ca="1" si="70"/>
        <v>0</v>
      </c>
      <c r="X46" s="26">
        <f t="shared" ca="1" si="65"/>
        <v>0</v>
      </c>
      <c r="Z46" s="1">
        <v>41</v>
      </c>
      <c r="AA46" s="1">
        <v>32</v>
      </c>
      <c r="AB46" s="1">
        <v>-2</v>
      </c>
      <c r="AF46" s="69">
        <f ca="1">AH44+AK44</f>
        <v>0</v>
      </c>
      <c r="AG46" s="69"/>
      <c r="AN46" s="1">
        <v>21</v>
      </c>
      <c r="AO46" s="1">
        <f t="shared" si="24"/>
        <v>0</v>
      </c>
      <c r="AP46" s="69">
        <f t="shared" ref="AP46:AV61" ca="1" si="71">IFERROR($AO46*IF(MOD($AN46,AP$20)=0,AP$25,0)*(1+$AS$10)^$AN46*IF($AS$3=$AN46,0,1),0)</f>
        <v>0</v>
      </c>
      <c r="AQ46" s="69">
        <f t="shared" ca="1" si="71"/>
        <v>0</v>
      </c>
      <c r="AR46" s="69">
        <f t="shared" si="71"/>
        <v>0</v>
      </c>
      <c r="AS46" s="69">
        <f t="shared" ca="1" si="71"/>
        <v>0</v>
      </c>
      <c r="AT46" s="69">
        <f t="shared" ca="1" si="71"/>
        <v>0</v>
      </c>
      <c r="AU46" s="69">
        <f t="shared" ca="1" si="71"/>
        <v>0</v>
      </c>
      <c r="AV46" s="69">
        <f t="shared" si="71"/>
        <v>0</v>
      </c>
      <c r="AW46" s="69">
        <f t="shared" ref="AW46:AW90" ca="1" si="72">SUM(AP46:AV46)/(1+$AS$11)^AN46</f>
        <v>0</v>
      </c>
      <c r="AX46" s="69">
        <f t="shared" ca="1" si="35"/>
        <v>0</v>
      </c>
      <c r="AY46" s="69">
        <f t="shared" ca="1" si="36"/>
        <v>0</v>
      </c>
      <c r="AZ46" s="69">
        <f ca="1">$AO46*IF(Auswahllisten!$G$150,AZ$25+AZ$25*AZ$13*$AN46,AZ$25*(1+AZ$13)^$AN46)</f>
        <v>0</v>
      </c>
      <c r="BA46" s="69">
        <f ca="1">$AO46*IF(Auswahllisten!$G$150,BA$25+BA$25*BA$13*$AN46,BA$25*(1+BA$13)^$AN46)</f>
        <v>0</v>
      </c>
      <c r="BB46" s="69">
        <f ca="1">$AO46*IF(Auswahllisten!$G$150,BB$25+BB$25*BB$13*$AN46,BB$25*(1+BB$13)^$AN46)</f>
        <v>0</v>
      </c>
      <c r="BC46" s="69">
        <f ca="1">$AO46*IF(Auswahllisten!$G$150,BC$25+BC$25*BC$13*$AN46,BC$25*(1+BC$13)^$AN46)</f>
        <v>0</v>
      </c>
      <c r="BD46" s="69">
        <f t="shared" ca="1" si="37"/>
        <v>0</v>
      </c>
      <c r="BE46" s="69">
        <f t="shared" ca="1" si="38"/>
        <v>0</v>
      </c>
      <c r="BF46" s="69">
        <f t="shared" ca="1" si="39"/>
        <v>0</v>
      </c>
      <c r="BG46" s="69">
        <f t="shared" ca="1" si="40"/>
        <v>0</v>
      </c>
      <c r="BI46" s="69">
        <f t="shared" ca="1" si="67"/>
        <v>0</v>
      </c>
      <c r="BJ46" s="69">
        <f t="shared" ca="1" si="67"/>
        <v>0</v>
      </c>
      <c r="BK46" s="69">
        <f t="shared" si="67"/>
        <v>0</v>
      </c>
      <c r="BL46" s="69">
        <f t="shared" ca="1" si="67"/>
        <v>0</v>
      </c>
      <c r="BM46" s="69">
        <f t="shared" ca="1" si="67"/>
        <v>0</v>
      </c>
      <c r="BN46" s="69">
        <f t="shared" ca="1" si="67"/>
        <v>0</v>
      </c>
      <c r="BO46" s="69">
        <f t="shared" si="67"/>
        <v>0</v>
      </c>
      <c r="BP46" s="69">
        <f t="shared" ca="1" si="27"/>
        <v>0</v>
      </c>
      <c r="BQ46" s="69">
        <f t="shared" ca="1" si="41"/>
        <v>0</v>
      </c>
      <c r="BR46" s="69">
        <f t="shared" ca="1" si="28"/>
        <v>0</v>
      </c>
      <c r="BS46" s="69">
        <f ca="1">$AO46*IF(Auswahllisten!$G$150,BS$25+BS$25*BS$13*$AN46,BS$25*(1+BS$13)^$AN46)</f>
        <v>0</v>
      </c>
      <c r="BT46" s="69">
        <f ca="1">$AO46*IF(Auswahllisten!$G$150,BT$25+BT$25*BT$13*$AN46,BT$25*(1+BT$13)^$AN46)</f>
        <v>0</v>
      </c>
      <c r="BU46" s="69">
        <f ca="1">$AO46*IF(Auswahllisten!$G$150,BU$25+BU$25*BU$13*$AN46,BU$25*(1+BU$13)^$AN46)</f>
        <v>0</v>
      </c>
      <c r="BV46" s="69">
        <f ca="1">$AO46*IF(Auswahllisten!$G$150,BV$25+BV$25*BV$13*$AN46,BV$25*(1+BV$13)^$AN46)</f>
        <v>0</v>
      </c>
      <c r="BW46" s="69">
        <f t="shared" ca="1" si="42"/>
        <v>0</v>
      </c>
      <c r="BX46" s="69">
        <f t="shared" ca="1" si="43"/>
        <v>0</v>
      </c>
      <c r="BY46" s="69">
        <f t="shared" ca="1" si="29"/>
        <v>0</v>
      </c>
      <c r="BZ46" s="69">
        <f t="shared" ca="1" si="30"/>
        <v>0</v>
      </c>
    </row>
    <row r="47" spans="1:78">
      <c r="A47" s="305" t="s">
        <v>1215</v>
      </c>
      <c r="B47" s="126" t="s">
        <v>303</v>
      </c>
      <c r="C47" s="126" t="s">
        <v>966</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IF($C$5=0,0,INDEX(Faktoren!E33:GQ33,1,VLOOKUP($F$5,$L$2:$O$14,4,FALSE)+$C$9*5+VLOOKUP(D47,Auswahllisten!$E$25:$F$29,2,FALSE)))</f>
        <v>0</v>
      </c>
      <c r="G47" s="26">
        <f t="shared" ca="1" si="68"/>
        <v>0</v>
      </c>
      <c r="H47" s="26" cm="1">
        <f t="array" aca="1" ref="H47" ca="1">INDIRECT("Investition_gewählt!"&amp;$I$6&amp;AA47)</f>
        <v>0</v>
      </c>
      <c r="I47" s="25" cm="1">
        <f t="array" aca="1" ref="I47" ca="1">IF($C$5=0,0,INDEX(Faktoren!E33:GQ33,1,VLOOKUP($F$6,$L$2:$O$14,4,FALSE)+$C$9*5+VLOOKUP(D47,Auswahllisten!$E$25:$F$29,2,FALSE)))</f>
        <v>0</v>
      </c>
      <c r="J47" s="16">
        <f t="shared" ca="1" si="69"/>
        <v>0</v>
      </c>
      <c r="K47" s="16">
        <f t="shared" ca="1" si="60"/>
        <v>0</v>
      </c>
      <c r="L47" s="16" t="b">
        <f t="shared" ca="1" si="61"/>
        <v>0</v>
      </c>
      <c r="M47" s="26">
        <f t="shared" ca="1" si="62"/>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IF($U$5=0,0,INDEX(Faktoren!E33:GQ33,1,VLOOKUP($X$5,$L$2:$O$14,4,FALSE)+$U$9*5+VLOOKUP(O47,Auswahllisten!$E$25:$F$29,2,FALSE)))</f>
        <v>0</v>
      </c>
      <c r="R47" s="26">
        <f t="shared" ca="1" si="63"/>
        <v>0</v>
      </c>
      <c r="S47" s="26" cm="1">
        <f t="array" aca="1" ref="S47" ca="1">INDIRECT("Investition_gewählt!"&amp;$AA$6&amp;AA47)</f>
        <v>0</v>
      </c>
      <c r="T47" s="16" cm="1">
        <f t="array" aca="1" ref="T47" ca="1">IF($U$5=0,0,INDEX(Faktoren!E33:QG33,1,VLOOKUP($X$6,$L$3:$O$14,4,FALSE)+$U$9*5+VLOOKUP(O47,Auswahllisten!$E$25:$F$29,2,FALSE)))</f>
        <v>0</v>
      </c>
      <c r="U47" s="26">
        <f t="shared" ca="1" si="64"/>
        <v>0</v>
      </c>
      <c r="V47" s="26">
        <f t="shared" ca="1" si="14"/>
        <v>0</v>
      </c>
      <c r="W47" s="25" t="b">
        <f t="shared" ca="1" si="70"/>
        <v>0</v>
      </c>
      <c r="X47" s="26">
        <f t="shared" ca="1" si="65"/>
        <v>0</v>
      </c>
      <c r="Z47" s="1">
        <v>47</v>
      </c>
      <c r="AA47" s="1">
        <v>33</v>
      </c>
      <c r="AB47" s="1">
        <v>-2</v>
      </c>
      <c r="AF47" s="69">
        <f ca="1">AF45+AF46</f>
        <v>0</v>
      </c>
      <c r="AG47" s="69"/>
      <c r="AN47" s="1">
        <v>22</v>
      </c>
      <c r="AO47" s="1">
        <f t="shared" si="24"/>
        <v>0</v>
      </c>
      <c r="AP47" s="69">
        <f t="shared" ca="1" si="71"/>
        <v>0</v>
      </c>
      <c r="AQ47" s="69">
        <f t="shared" ca="1" si="71"/>
        <v>0</v>
      </c>
      <c r="AR47" s="69">
        <f t="shared" si="71"/>
        <v>0</v>
      </c>
      <c r="AS47" s="69">
        <f t="shared" ca="1" si="71"/>
        <v>0</v>
      </c>
      <c r="AT47" s="69">
        <f t="shared" ca="1" si="71"/>
        <v>0</v>
      </c>
      <c r="AU47" s="69">
        <f t="shared" ca="1" si="71"/>
        <v>0</v>
      </c>
      <c r="AV47" s="69">
        <f t="shared" si="71"/>
        <v>0</v>
      </c>
      <c r="AW47" s="69">
        <f t="shared" ca="1" si="72"/>
        <v>0</v>
      </c>
      <c r="AX47" s="69">
        <f t="shared" ca="1" si="35"/>
        <v>0</v>
      </c>
      <c r="AY47" s="69">
        <f t="shared" ca="1" si="36"/>
        <v>0</v>
      </c>
      <c r="AZ47" s="69">
        <f ca="1">$AO47*IF(Auswahllisten!$G$150,AZ$25+AZ$25*AZ$13*$AN47,AZ$25*(1+AZ$13)^$AN47)</f>
        <v>0</v>
      </c>
      <c r="BA47" s="69">
        <f ca="1">$AO47*IF(Auswahllisten!$G$150,BA$25+BA$25*BA$13*$AN47,BA$25*(1+BA$13)^$AN47)</f>
        <v>0</v>
      </c>
      <c r="BB47" s="69">
        <f ca="1">$AO47*IF(Auswahllisten!$G$150,BB$25+BB$25*BB$13*$AN47,BB$25*(1+BB$13)^$AN47)</f>
        <v>0</v>
      </c>
      <c r="BC47" s="69">
        <f ca="1">$AO47*IF(Auswahllisten!$G$150,BC$25+BC$25*BC$13*$AN47,BC$25*(1+BC$13)^$AN47)</f>
        <v>0</v>
      </c>
      <c r="BD47" s="69">
        <f t="shared" ca="1" si="37"/>
        <v>0</v>
      </c>
      <c r="BE47" s="69">
        <f t="shared" ca="1" si="38"/>
        <v>0</v>
      </c>
      <c r="BF47" s="69">
        <f t="shared" ca="1" si="39"/>
        <v>0</v>
      </c>
      <c r="BG47" s="69">
        <f t="shared" ca="1" si="40"/>
        <v>0</v>
      </c>
      <c r="BI47" s="69">
        <f t="shared" ca="1" si="67"/>
        <v>0</v>
      </c>
      <c r="BJ47" s="69">
        <f t="shared" ca="1" si="67"/>
        <v>0</v>
      </c>
      <c r="BK47" s="69">
        <f t="shared" si="67"/>
        <v>0</v>
      </c>
      <c r="BL47" s="69">
        <f t="shared" ca="1" si="67"/>
        <v>0</v>
      </c>
      <c r="BM47" s="69">
        <f t="shared" ca="1" si="67"/>
        <v>0</v>
      </c>
      <c r="BN47" s="69">
        <f t="shared" ca="1" si="67"/>
        <v>0</v>
      </c>
      <c r="BO47" s="69">
        <f t="shared" si="67"/>
        <v>0</v>
      </c>
      <c r="BP47" s="69">
        <f t="shared" ca="1" si="27"/>
        <v>0</v>
      </c>
      <c r="BQ47" s="69">
        <f t="shared" ca="1" si="41"/>
        <v>0</v>
      </c>
      <c r="BR47" s="69">
        <f t="shared" ca="1" si="28"/>
        <v>0</v>
      </c>
      <c r="BS47" s="69">
        <f ca="1">$AO47*IF(Auswahllisten!$G$150,BS$25+BS$25*BS$13*$AN47,BS$25*(1+BS$13)^$AN47)</f>
        <v>0</v>
      </c>
      <c r="BT47" s="69">
        <f ca="1">$AO47*IF(Auswahllisten!$G$150,BT$25+BT$25*BT$13*$AN47,BT$25*(1+BT$13)^$AN47)</f>
        <v>0</v>
      </c>
      <c r="BU47" s="69">
        <f ca="1">$AO47*IF(Auswahllisten!$G$150,BU$25+BU$25*BU$13*$AN47,BU$25*(1+BU$13)^$AN47)</f>
        <v>0</v>
      </c>
      <c r="BV47" s="69">
        <f ca="1">$AO47*IF(Auswahllisten!$G$150,BV$25+BV$25*BV$13*$AN47,BV$25*(1+BV$13)^$AN47)</f>
        <v>0</v>
      </c>
      <c r="BW47" s="69">
        <f t="shared" ca="1" si="42"/>
        <v>0</v>
      </c>
      <c r="BX47" s="69">
        <f t="shared" ca="1" si="43"/>
        <v>0</v>
      </c>
      <c r="BY47" s="69">
        <f t="shared" ca="1" si="29"/>
        <v>0</v>
      </c>
      <c r="BZ47" s="69">
        <f t="shared" ca="1" si="30"/>
        <v>0</v>
      </c>
    </row>
    <row r="48" spans="1:78">
      <c r="A48" s="306" t="s">
        <v>1256</v>
      </c>
      <c r="B48" s="297" t="s">
        <v>303</v>
      </c>
      <c r="C48" s="134" t="s">
        <v>186</v>
      </c>
      <c r="D48" s="163" t="str" cm="1">
        <f t="array" aca="1" ref="D48" ca="1">INDIRECT("Vergleich!"&amp;$G$2&amp;Z48)</f>
        <v>mittel</v>
      </c>
      <c r="E48" s="163" cm="1">
        <f t="array" aca="1" ref="E48" ca="1">INDIRECT("Investition_gewählt!"&amp;$I$5&amp;AA48)</f>
        <v>0</v>
      </c>
      <c r="F48" s="61" cm="1">
        <f t="array" aca="1" ref="F48" ca="1">IF($C$5=0,0,INDEX(Faktoren!E34:GQ34,1,VLOOKUP($F$5,$L$2:$O$14,4,FALSE)+$C$9*5+VLOOKUP(D48,Auswahllisten!$E$25:$F$29,2,FALSE)))</f>
        <v>0</v>
      </c>
      <c r="G48" s="296">
        <f t="shared" ca="1" si="68"/>
        <v>0</v>
      </c>
      <c r="H48" s="296" cm="1">
        <f t="array" aca="1" ref="H48" ca="1">INDIRECT("Investition_gewählt!"&amp;$I$6&amp;AA48)</f>
        <v>0</v>
      </c>
      <c r="I48" s="61" cm="1">
        <f t="array" aca="1" ref="I48" ca="1">IF($C$5=0,0,INDEX(Faktoren!E34:GQ34,1,VLOOKUP($F$6,$L$2:$O$14,4,FALSE)+$C$9*5+VLOOKUP(D48,Auswahllisten!$E$25:$F$29,2,FALSE)))</f>
        <v>0</v>
      </c>
      <c r="J48" s="93">
        <f t="shared" ca="1" si="69"/>
        <v>0</v>
      </c>
      <c r="K48" s="93">
        <f t="shared" ca="1" si="60"/>
        <v>0</v>
      </c>
      <c r="L48" s="93" t="b">
        <f t="shared" ca="1" si="61"/>
        <v>0</v>
      </c>
      <c r="M48" s="163">
        <f t="shared" ca="1" si="62"/>
        <v>0</v>
      </c>
      <c r="O48" s="93" t="str" cm="1">
        <f t="array" aca="1" ref="O48" ca="1">INDIRECT("Vergleich!"&amp;$Y$2&amp;Z48)</f>
        <v>gering</v>
      </c>
      <c r="P48" s="163" cm="1">
        <f t="array" aca="1" ref="P48" ca="1">INDIRECT("Investition_gewählt!"&amp;$AA$5&amp;AA48)</f>
        <v>0</v>
      </c>
      <c r="Q48" s="93" cm="1">
        <f t="array" aca="1" ref="Q48" ca="1">IF($U$5=0,0,INDEX(Faktoren!E34:GQ34,1,VLOOKUP($X$5,$L$2:$O$14,4,FALSE)+$U$9*5+VLOOKUP(O48,Auswahllisten!$E$25:$F$29,2,FALSE)))</f>
        <v>0</v>
      </c>
      <c r="R48" s="163">
        <f t="shared" ca="1" si="63"/>
        <v>0</v>
      </c>
      <c r="S48" s="163" cm="1">
        <f t="array" aca="1" ref="S48" ca="1">INDIRECT("Investition_gewählt!"&amp;$AA$6&amp;AA48)</f>
        <v>0</v>
      </c>
      <c r="T48" s="93" cm="1">
        <f t="array" aca="1" ref="T48" ca="1">IF($U$5=0,0,INDEX(Faktoren!E34:QG34,1,VLOOKUP($X$6,$L$3:$O$14,4,FALSE)+$U$9*5+VLOOKUP(O48,Auswahllisten!$E$25:$F$29,2,FALSE)))</f>
        <v>0</v>
      </c>
      <c r="U48" s="163">
        <f t="shared" ca="1" si="64"/>
        <v>0</v>
      </c>
      <c r="V48" s="163">
        <f t="shared" ca="1" si="14"/>
        <v>0</v>
      </c>
      <c r="W48" s="61" t="b">
        <f t="shared" ca="1" si="70"/>
        <v>0</v>
      </c>
      <c r="X48" s="163">
        <f t="shared" ca="1" si="65"/>
        <v>0</v>
      </c>
      <c r="Z48" s="1">
        <v>48</v>
      </c>
      <c r="AA48" s="1">
        <v>34</v>
      </c>
      <c r="AB48" s="1">
        <v>-2</v>
      </c>
      <c r="AF48" s="69"/>
      <c r="AN48" s="1">
        <v>23</v>
      </c>
      <c r="AO48" s="1">
        <f t="shared" si="24"/>
        <v>0</v>
      </c>
      <c r="AP48" s="69">
        <f t="shared" ca="1" si="71"/>
        <v>0</v>
      </c>
      <c r="AQ48" s="69">
        <f t="shared" ca="1" si="71"/>
        <v>0</v>
      </c>
      <c r="AR48" s="69">
        <f t="shared" si="71"/>
        <v>0</v>
      </c>
      <c r="AS48" s="69">
        <f t="shared" ca="1" si="71"/>
        <v>0</v>
      </c>
      <c r="AT48" s="69">
        <f t="shared" ca="1" si="71"/>
        <v>0</v>
      </c>
      <c r="AU48" s="69">
        <f t="shared" ca="1" si="71"/>
        <v>0</v>
      </c>
      <c r="AV48" s="69">
        <f t="shared" si="71"/>
        <v>0</v>
      </c>
      <c r="AW48" s="69">
        <f t="shared" ca="1" si="72"/>
        <v>0</v>
      </c>
      <c r="AX48" s="69">
        <f t="shared" ca="1" si="35"/>
        <v>0</v>
      </c>
      <c r="AY48" s="69">
        <f t="shared" ca="1" si="36"/>
        <v>0</v>
      </c>
      <c r="AZ48" s="69">
        <f ca="1">$AO48*IF(Auswahllisten!$G$150,AZ$25+AZ$25*AZ$13*$AN48,AZ$25*(1+AZ$13)^$AN48)</f>
        <v>0</v>
      </c>
      <c r="BA48" s="69">
        <f ca="1">$AO48*IF(Auswahllisten!$G$150,BA$25+BA$25*BA$13*$AN48,BA$25*(1+BA$13)^$AN48)</f>
        <v>0</v>
      </c>
      <c r="BB48" s="69">
        <f ca="1">$AO48*IF(Auswahllisten!$G$150,BB$25+BB$25*BB$13*$AN48,BB$25*(1+BB$13)^$AN48)</f>
        <v>0</v>
      </c>
      <c r="BC48" s="69">
        <f ca="1">$AO48*IF(Auswahllisten!$G$150,BC$25+BC$25*BC$13*$AN48,BC$25*(1+BC$13)^$AN48)</f>
        <v>0</v>
      </c>
      <c r="BD48" s="69">
        <f t="shared" ca="1" si="37"/>
        <v>0</v>
      </c>
      <c r="BE48" s="69">
        <f t="shared" ca="1" si="38"/>
        <v>0</v>
      </c>
      <c r="BF48" s="69">
        <f t="shared" ca="1" si="39"/>
        <v>0</v>
      </c>
      <c r="BG48" s="69">
        <f t="shared" ca="1" si="40"/>
        <v>0</v>
      </c>
      <c r="BI48" s="69">
        <f t="shared" ca="1" si="67"/>
        <v>0</v>
      </c>
      <c r="BJ48" s="69">
        <f t="shared" ca="1" si="67"/>
        <v>0</v>
      </c>
      <c r="BK48" s="69">
        <f t="shared" si="67"/>
        <v>0</v>
      </c>
      <c r="BL48" s="69">
        <f t="shared" ca="1" si="67"/>
        <v>0</v>
      </c>
      <c r="BM48" s="69">
        <f t="shared" ca="1" si="67"/>
        <v>0</v>
      </c>
      <c r="BN48" s="69">
        <f t="shared" ca="1" si="67"/>
        <v>0</v>
      </c>
      <c r="BO48" s="69">
        <f t="shared" si="67"/>
        <v>0</v>
      </c>
      <c r="BP48" s="69">
        <f t="shared" ca="1" si="27"/>
        <v>0</v>
      </c>
      <c r="BQ48" s="69">
        <f t="shared" ca="1" si="41"/>
        <v>0</v>
      </c>
      <c r="BR48" s="69">
        <f t="shared" ca="1" si="28"/>
        <v>0</v>
      </c>
      <c r="BS48" s="69">
        <f ca="1">$AO48*IF(Auswahllisten!$G$150,BS$25+BS$25*BS$13*$AN48,BS$25*(1+BS$13)^$AN48)</f>
        <v>0</v>
      </c>
      <c r="BT48" s="69">
        <f ca="1">$AO48*IF(Auswahllisten!$G$150,BT$25+BT$25*BT$13*$AN48,BT$25*(1+BT$13)^$AN48)</f>
        <v>0</v>
      </c>
      <c r="BU48" s="69">
        <f ca="1">$AO48*IF(Auswahllisten!$G$150,BU$25+BU$25*BU$13*$AN48,BU$25*(1+BU$13)^$AN48)</f>
        <v>0</v>
      </c>
      <c r="BV48" s="69">
        <f ca="1">$AO48*IF(Auswahllisten!$G$150,BV$25+BV$25*BV$13*$AN48,BV$25*(1+BV$13)^$AN48)</f>
        <v>0</v>
      </c>
      <c r="BW48" s="69">
        <f t="shared" ca="1" si="42"/>
        <v>0</v>
      </c>
      <c r="BX48" s="69">
        <f t="shared" ca="1" si="43"/>
        <v>0</v>
      </c>
      <c r="BY48" s="69">
        <f t="shared" ca="1" si="29"/>
        <v>0</v>
      </c>
      <c r="BZ48" s="69">
        <f t="shared" ca="1" si="30"/>
        <v>0</v>
      </c>
    </row>
    <row r="49" spans="1:78">
      <c r="A49" s="125"/>
      <c r="B49" s="64"/>
      <c r="C49" s="64"/>
      <c r="D49" s="69"/>
      <c r="M49" s="69"/>
      <c r="X49" s="69"/>
      <c r="AA49" s="1">
        <v>35</v>
      </c>
      <c r="AB49" s="1">
        <v>-2</v>
      </c>
      <c r="AF49" s="69"/>
      <c r="AN49" s="1">
        <v>24</v>
      </c>
      <c r="AO49" s="1">
        <f t="shared" si="24"/>
        <v>0</v>
      </c>
      <c r="AP49" s="69">
        <f t="shared" ca="1" si="71"/>
        <v>0</v>
      </c>
      <c r="AQ49" s="69">
        <f t="shared" ca="1" si="71"/>
        <v>0</v>
      </c>
      <c r="AR49" s="69">
        <f t="shared" si="71"/>
        <v>0</v>
      </c>
      <c r="AS49" s="69">
        <f t="shared" ca="1" si="71"/>
        <v>0</v>
      </c>
      <c r="AT49" s="69">
        <f t="shared" ca="1" si="71"/>
        <v>0</v>
      </c>
      <c r="AU49" s="69">
        <f t="shared" ca="1" si="71"/>
        <v>0</v>
      </c>
      <c r="AV49" s="69">
        <f t="shared" si="71"/>
        <v>0</v>
      </c>
      <c r="AW49" s="69">
        <f t="shared" ca="1" si="72"/>
        <v>0</v>
      </c>
      <c r="AX49" s="69">
        <f t="shared" ca="1" si="35"/>
        <v>0</v>
      </c>
      <c r="AY49" s="69">
        <f t="shared" ca="1" si="36"/>
        <v>0</v>
      </c>
      <c r="AZ49" s="69">
        <f ca="1">$AO49*IF(Auswahllisten!$G$150,AZ$25+AZ$25*AZ$13*$AN49,AZ$25*(1+AZ$13)^$AN49)</f>
        <v>0</v>
      </c>
      <c r="BA49" s="69">
        <f ca="1">$AO49*IF(Auswahllisten!$G$150,BA$25+BA$25*BA$13*$AN49,BA$25*(1+BA$13)^$AN49)</f>
        <v>0</v>
      </c>
      <c r="BB49" s="69">
        <f ca="1">$AO49*IF(Auswahllisten!$G$150,BB$25+BB$25*BB$13*$AN49,BB$25*(1+BB$13)^$AN49)</f>
        <v>0</v>
      </c>
      <c r="BC49" s="69">
        <f ca="1">$AO49*IF(Auswahllisten!$G$150,BC$25+BC$25*BC$13*$AN49,BC$25*(1+BC$13)^$AN49)</f>
        <v>0</v>
      </c>
      <c r="BD49" s="69">
        <f t="shared" ca="1" si="37"/>
        <v>0</v>
      </c>
      <c r="BE49" s="69">
        <f t="shared" ca="1" si="38"/>
        <v>0</v>
      </c>
      <c r="BF49" s="69">
        <f t="shared" ca="1" si="39"/>
        <v>0</v>
      </c>
      <c r="BG49" s="69">
        <f t="shared" ca="1" si="40"/>
        <v>0</v>
      </c>
      <c r="BI49" s="69">
        <f t="shared" ca="1" si="67"/>
        <v>0</v>
      </c>
      <c r="BJ49" s="69">
        <f t="shared" ca="1" si="67"/>
        <v>0</v>
      </c>
      <c r="BK49" s="69">
        <f t="shared" si="67"/>
        <v>0</v>
      </c>
      <c r="BL49" s="69">
        <f t="shared" ca="1" si="67"/>
        <v>0</v>
      </c>
      <c r="BM49" s="69">
        <f t="shared" ca="1" si="67"/>
        <v>0</v>
      </c>
      <c r="BN49" s="69">
        <f t="shared" ca="1" si="67"/>
        <v>0</v>
      </c>
      <c r="BO49" s="69">
        <f t="shared" si="67"/>
        <v>0</v>
      </c>
      <c r="BP49" s="69">
        <f t="shared" ca="1" si="27"/>
        <v>0</v>
      </c>
      <c r="BQ49" s="69">
        <f t="shared" ca="1" si="41"/>
        <v>0</v>
      </c>
      <c r="BR49" s="69">
        <f t="shared" ca="1" si="28"/>
        <v>0</v>
      </c>
      <c r="BS49" s="69">
        <f ca="1">$AO49*IF(Auswahllisten!$G$150,BS$25+BS$25*BS$13*$AN49,BS$25*(1+BS$13)^$AN49)</f>
        <v>0</v>
      </c>
      <c r="BT49" s="69">
        <f ca="1">$AO49*IF(Auswahllisten!$G$150,BT$25+BT$25*BT$13*$AN49,BT$25*(1+BT$13)^$AN49)</f>
        <v>0</v>
      </c>
      <c r="BU49" s="69">
        <f ca="1">$AO49*IF(Auswahllisten!$G$150,BU$25+BU$25*BU$13*$AN49,BU$25*(1+BU$13)^$AN49)</f>
        <v>0</v>
      </c>
      <c r="BV49" s="69">
        <f ca="1">$AO49*IF(Auswahllisten!$G$150,BV$25+BV$25*BV$13*$AN49,BV$25*(1+BV$13)^$AN49)</f>
        <v>0</v>
      </c>
      <c r="BW49" s="69">
        <f t="shared" ca="1" si="42"/>
        <v>0</v>
      </c>
      <c r="BX49" s="69">
        <f t="shared" ca="1" si="43"/>
        <v>0</v>
      </c>
      <c r="BY49" s="69">
        <f t="shared" ca="1" si="29"/>
        <v>0</v>
      </c>
      <c r="BZ49" s="69">
        <f t="shared" ca="1" si="30"/>
        <v>0</v>
      </c>
    </row>
    <row r="50" spans="1:78">
      <c r="A50" s="125" t="s">
        <v>996</v>
      </c>
      <c r="B50" s="125" t="s">
        <v>141</v>
      </c>
      <c r="C50" s="125"/>
      <c r="D50" s="69"/>
      <c r="L50" s="155">
        <v>5</v>
      </c>
      <c r="M50" s="69"/>
      <c r="X50" s="69"/>
      <c r="AA50" s="1">
        <v>36</v>
      </c>
      <c r="AB50" s="1">
        <v>-2</v>
      </c>
      <c r="AN50" s="1">
        <v>25</v>
      </c>
      <c r="AO50" s="1">
        <f t="shared" si="24"/>
        <v>0</v>
      </c>
      <c r="AP50" s="69">
        <f t="shared" ca="1" si="71"/>
        <v>0</v>
      </c>
      <c r="AQ50" s="69">
        <f t="shared" ca="1" si="71"/>
        <v>0</v>
      </c>
      <c r="AR50" s="69">
        <f t="shared" si="71"/>
        <v>0</v>
      </c>
      <c r="AS50" s="69">
        <f t="shared" ca="1" si="71"/>
        <v>0</v>
      </c>
      <c r="AT50" s="69">
        <f t="shared" ca="1" si="71"/>
        <v>0</v>
      </c>
      <c r="AU50" s="69">
        <f t="shared" ca="1" si="71"/>
        <v>0</v>
      </c>
      <c r="AV50" s="69">
        <f t="shared" si="71"/>
        <v>0</v>
      </c>
      <c r="AW50" s="69">
        <f t="shared" ca="1" si="72"/>
        <v>0</v>
      </c>
      <c r="AX50" s="69">
        <f t="shared" ca="1" si="35"/>
        <v>0</v>
      </c>
      <c r="AY50" s="69">
        <f t="shared" ca="1" si="36"/>
        <v>0</v>
      </c>
      <c r="AZ50" s="69">
        <f ca="1">$AO50*IF(Auswahllisten!$G$150,AZ$25+AZ$25*AZ$13*$AN50,AZ$25*(1+AZ$13)^$AN50)</f>
        <v>0</v>
      </c>
      <c r="BA50" s="69">
        <f ca="1">$AO50*IF(Auswahllisten!$G$150,BA$25+BA$25*BA$13*$AN50,BA$25*(1+BA$13)^$AN50)</f>
        <v>0</v>
      </c>
      <c r="BB50" s="69">
        <f ca="1">$AO50*IF(Auswahllisten!$G$150,BB$25+BB$25*BB$13*$AN50,BB$25*(1+BB$13)^$AN50)</f>
        <v>0</v>
      </c>
      <c r="BC50" s="69">
        <f ca="1">$AO50*IF(Auswahllisten!$G$150,BC$25+BC$25*BC$13*$AN50,BC$25*(1+BC$13)^$AN50)</f>
        <v>0</v>
      </c>
      <c r="BD50" s="69">
        <f t="shared" ca="1" si="37"/>
        <v>0</v>
      </c>
      <c r="BE50" s="69">
        <f t="shared" ca="1" si="38"/>
        <v>0</v>
      </c>
      <c r="BF50" s="69">
        <f t="shared" ca="1" si="39"/>
        <v>0</v>
      </c>
      <c r="BG50" s="69">
        <f t="shared" ca="1" si="40"/>
        <v>0</v>
      </c>
      <c r="BI50" s="69">
        <f t="shared" ca="1" si="67"/>
        <v>0</v>
      </c>
      <c r="BJ50" s="69">
        <f t="shared" ca="1" si="67"/>
        <v>0</v>
      </c>
      <c r="BK50" s="69">
        <f t="shared" si="67"/>
        <v>0</v>
      </c>
      <c r="BL50" s="69">
        <f t="shared" ca="1" si="67"/>
        <v>0</v>
      </c>
      <c r="BM50" s="69">
        <f t="shared" ca="1" si="67"/>
        <v>0</v>
      </c>
      <c r="BN50" s="69">
        <f t="shared" ca="1" si="67"/>
        <v>0</v>
      </c>
      <c r="BO50" s="69">
        <f t="shared" si="67"/>
        <v>0</v>
      </c>
      <c r="BP50" s="69">
        <f t="shared" ca="1" si="27"/>
        <v>0</v>
      </c>
      <c r="BQ50" s="69">
        <f t="shared" ca="1" si="41"/>
        <v>0</v>
      </c>
      <c r="BR50" s="69">
        <f t="shared" ca="1" si="28"/>
        <v>0</v>
      </c>
      <c r="BS50" s="69">
        <f ca="1">$AO50*IF(Auswahllisten!$G$150,BS$25+BS$25*BS$13*$AN50,BS$25*(1+BS$13)^$AN50)</f>
        <v>0</v>
      </c>
      <c r="BT50" s="69">
        <f ca="1">$AO50*IF(Auswahllisten!$G$150,BT$25+BT$25*BT$13*$AN50,BT$25*(1+BT$13)^$AN50)</f>
        <v>0</v>
      </c>
      <c r="BU50" s="69">
        <f ca="1">$AO50*IF(Auswahllisten!$G$150,BU$25+BU$25*BU$13*$AN50,BU$25*(1+BU$13)^$AN50)</f>
        <v>0</v>
      </c>
      <c r="BV50" s="69">
        <f ca="1">$AO50*IF(Auswahllisten!$G$150,BV$25+BV$25*BV$13*$AN50,BV$25*(1+BV$13)^$AN50)</f>
        <v>0</v>
      </c>
      <c r="BW50" s="69">
        <f t="shared" ca="1" si="42"/>
        <v>0</v>
      </c>
      <c r="BX50" s="69">
        <f t="shared" ca="1" si="43"/>
        <v>0</v>
      </c>
      <c r="BY50" s="69">
        <f t="shared" ca="1" si="29"/>
        <v>0</v>
      </c>
      <c r="BZ50" s="69">
        <f t="shared" ca="1" si="30"/>
        <v>0</v>
      </c>
    </row>
    <row r="51" spans="1:78">
      <c r="A51" s="304" t="s">
        <v>1217</v>
      </c>
      <c r="B51" s="131" t="s">
        <v>1242</v>
      </c>
      <c r="C51" s="131" t="s">
        <v>964</v>
      </c>
      <c r="D51" s="162" t="str" cm="1">
        <f t="array" aca="1" ref="D51" ca="1">INDIRECT("Vergleich!"&amp;$G$2&amp;Z51)</f>
        <v>mittel</v>
      </c>
      <c r="E51" s="162" cm="1">
        <f t="array" aca="1" ref="E51" ca="1">INDIRECT("Investition_gewählt!"&amp;$I$5&amp;AA51)</f>
        <v>3000</v>
      </c>
      <c r="F51" s="25" cm="1">
        <f t="array" aca="1" ref="F51" ca="1">IF($C$5=0,0,INDEX(Faktoren!E37:GQ37,1,VLOOKUP($F$5,$L$2:$O$14,4,FALSE)+$C$9*5+VLOOKUP(D51,Auswahllisten!$E$25:$F$29,2,FALSE)))</f>
        <v>0</v>
      </c>
      <c r="G51" s="162">
        <f ca="1">E51*F51</f>
        <v>0</v>
      </c>
      <c r="H51" s="162" cm="1">
        <f t="array" aca="1" ref="H51" ca="1">INDIRECT("Investition_gewählt!"&amp;$I$6&amp;AA51)</f>
        <v>3000</v>
      </c>
      <c r="I51" s="25" cm="1">
        <f t="array" aca="1" ref="I51" ca="1">IF($C$5=0,0,INDEX(Faktoren!E37:GQ37,1,VLOOKUP($F$6,$L$2:$O$14,4,FALSE)+$C$9*5+VLOOKUP(D51,Auswahllisten!$E$25:$F$29,2,FALSE)))</f>
        <v>0</v>
      </c>
      <c r="J51" s="162">
        <f ca="1">H51*I51</f>
        <v>0</v>
      </c>
      <c r="K51" s="162">
        <f t="shared" ref="K51:K58" ca="1" si="73">IF($C$5=0,0,G51+(J51-G51)*($C$6-$F$5)/($F$6-$F$5))</f>
        <v>0</v>
      </c>
      <c r="L51" s="25" t="b">
        <f t="shared" ref="L51:L58" ca="1" si="74">($C$5=$L$50)</f>
        <v>0</v>
      </c>
      <c r="M51" s="162">
        <f t="shared" ref="M51:M58" ca="1" si="75">IFERROR(ROUND(K51*L51,AB51),0)</f>
        <v>0</v>
      </c>
      <c r="O51" s="25" t="str" cm="1">
        <f t="array" aca="1" ref="O51" ca="1">INDIRECT("Vergleich!"&amp;$Y$2&amp;Z51)</f>
        <v>gering</v>
      </c>
      <c r="P51" s="162" cm="1">
        <f t="array" aca="1" ref="P51" ca="1">INDIRECT("Investition_gewählt!"&amp;$AA$5&amp;AA51)</f>
        <v>3000</v>
      </c>
      <c r="Q51" s="25" cm="1">
        <f t="array" aca="1" ref="Q51" ca="1">IF($U$5=0,0,INDEX(Faktoren!E37:GQ37,1,VLOOKUP($X$5,$L$2:$O$14,4,FALSE)+$U$9*5+VLOOKUP(O51,Auswahllisten!$E$25:$F$29,2,FALSE)))</f>
        <v>0</v>
      </c>
      <c r="R51" s="162">
        <f t="shared" ref="R51:R58" ca="1" si="76">P51*Q51</f>
        <v>0</v>
      </c>
      <c r="S51" s="162" cm="1">
        <f t="array" aca="1" ref="S51" ca="1">INDIRECT("Investition_gewählt!"&amp;$AA$6&amp;AA51)</f>
        <v>3000</v>
      </c>
      <c r="T51" s="25" cm="1">
        <f t="array" aca="1" ref="T51" ca="1">IF($U$5=0,0,INDEX(Faktoren!E37:QG37,1,VLOOKUP($X$6,$L$3:$O$14,4,FALSE)+$U$9*5+VLOOKUP(O51,Auswahllisten!$E$25:$F$29,2,FALSE)))</f>
        <v>0</v>
      </c>
      <c r="U51" s="25">
        <f t="shared" ref="U51:U58" ca="1" si="77">S51*T51</f>
        <v>0</v>
      </c>
      <c r="V51" s="25">
        <f t="shared" ca="1" si="14"/>
        <v>0</v>
      </c>
      <c r="W51" s="25" t="b">
        <f ca="1">($U$5=$L$50)</f>
        <v>0</v>
      </c>
      <c r="X51" s="162">
        <f t="shared" ref="X51:X58" ca="1" si="78">IFERROR(ROUND(V51*W51,AB51),0)</f>
        <v>0</v>
      </c>
      <c r="Z51" s="1">
        <v>33</v>
      </c>
      <c r="AA51" s="1">
        <v>37</v>
      </c>
      <c r="AB51" s="1">
        <v>-2</v>
      </c>
      <c r="AN51" s="1">
        <v>26</v>
      </c>
      <c r="AO51" s="1">
        <f t="shared" si="24"/>
        <v>0</v>
      </c>
      <c r="AP51" s="69">
        <f t="shared" ca="1" si="71"/>
        <v>0</v>
      </c>
      <c r="AQ51" s="69">
        <f t="shared" ca="1" si="71"/>
        <v>0</v>
      </c>
      <c r="AR51" s="69">
        <f t="shared" si="71"/>
        <v>0</v>
      </c>
      <c r="AS51" s="69">
        <f t="shared" ca="1" si="71"/>
        <v>0</v>
      </c>
      <c r="AT51" s="69">
        <f t="shared" ca="1" si="71"/>
        <v>0</v>
      </c>
      <c r="AU51" s="69">
        <f t="shared" ca="1" si="71"/>
        <v>0</v>
      </c>
      <c r="AV51" s="69">
        <f t="shared" si="71"/>
        <v>0</v>
      </c>
      <c r="AW51" s="69">
        <f t="shared" ca="1" si="72"/>
        <v>0</v>
      </c>
      <c r="AX51" s="69">
        <f t="shared" ca="1" si="35"/>
        <v>0</v>
      </c>
      <c r="AY51" s="69">
        <f t="shared" ca="1" si="36"/>
        <v>0</v>
      </c>
      <c r="AZ51" s="69">
        <f ca="1">$AO51*IF(Auswahllisten!$G$150,AZ$25+AZ$25*AZ$13*$AN51,AZ$25*(1+AZ$13)^$AN51)</f>
        <v>0</v>
      </c>
      <c r="BA51" s="69">
        <f ca="1">$AO51*IF(Auswahllisten!$G$150,BA$25+BA$25*BA$13*$AN51,BA$25*(1+BA$13)^$AN51)</f>
        <v>0</v>
      </c>
      <c r="BB51" s="69">
        <f ca="1">$AO51*IF(Auswahllisten!$G$150,BB$25+BB$25*BB$13*$AN51,BB$25*(1+BB$13)^$AN51)</f>
        <v>0</v>
      </c>
      <c r="BC51" s="69">
        <f ca="1">$AO51*IF(Auswahllisten!$G$150,BC$25+BC$25*BC$13*$AN51,BC$25*(1+BC$13)^$AN51)</f>
        <v>0</v>
      </c>
      <c r="BD51" s="69">
        <f t="shared" ca="1" si="37"/>
        <v>0</v>
      </c>
      <c r="BE51" s="69">
        <f t="shared" ca="1" si="38"/>
        <v>0</v>
      </c>
      <c r="BF51" s="69">
        <f t="shared" ca="1" si="39"/>
        <v>0</v>
      </c>
      <c r="BG51" s="69">
        <f t="shared" ca="1" si="40"/>
        <v>0</v>
      </c>
      <c r="BI51" s="69">
        <f t="shared" ca="1" si="67"/>
        <v>0</v>
      </c>
      <c r="BJ51" s="69">
        <f t="shared" ca="1" si="67"/>
        <v>0</v>
      </c>
      <c r="BK51" s="69">
        <f t="shared" si="67"/>
        <v>0</v>
      </c>
      <c r="BL51" s="69">
        <f t="shared" ca="1" si="67"/>
        <v>0</v>
      </c>
      <c r="BM51" s="69">
        <f t="shared" ca="1" si="67"/>
        <v>0</v>
      </c>
      <c r="BN51" s="69">
        <f t="shared" ca="1" si="67"/>
        <v>0</v>
      </c>
      <c r="BO51" s="69">
        <f t="shared" si="67"/>
        <v>0</v>
      </c>
      <c r="BP51" s="69">
        <f t="shared" ca="1" si="27"/>
        <v>0</v>
      </c>
      <c r="BQ51" s="69">
        <f t="shared" ca="1" si="41"/>
        <v>0</v>
      </c>
      <c r="BR51" s="69">
        <f t="shared" ca="1" si="28"/>
        <v>0</v>
      </c>
      <c r="BS51" s="69">
        <f ca="1">$AO51*IF(Auswahllisten!$G$150,BS$25+BS$25*BS$13*$AN51,BS$25*(1+BS$13)^$AN51)</f>
        <v>0</v>
      </c>
      <c r="BT51" s="69">
        <f ca="1">$AO51*IF(Auswahllisten!$G$150,BT$25+BT$25*BT$13*$AN51,BT$25*(1+BT$13)^$AN51)</f>
        <v>0</v>
      </c>
      <c r="BU51" s="69">
        <f ca="1">$AO51*IF(Auswahllisten!$G$150,BU$25+BU$25*BU$13*$AN51,BU$25*(1+BU$13)^$AN51)</f>
        <v>0</v>
      </c>
      <c r="BV51" s="69">
        <f ca="1">$AO51*IF(Auswahllisten!$G$150,BV$25+BV$25*BV$13*$AN51,BV$25*(1+BV$13)^$AN51)</f>
        <v>0</v>
      </c>
      <c r="BW51" s="69">
        <f t="shared" ca="1" si="42"/>
        <v>0</v>
      </c>
      <c r="BX51" s="69">
        <f t="shared" ca="1" si="43"/>
        <v>0</v>
      </c>
      <c r="BY51" s="69">
        <f t="shared" ca="1" si="29"/>
        <v>0</v>
      </c>
      <c r="BZ51" s="69">
        <f t="shared" ca="1" si="30"/>
        <v>0</v>
      </c>
    </row>
    <row r="52" spans="1:78">
      <c r="A52" s="305" t="s">
        <v>1215</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IF($C$5=0,0,INDEX(Faktoren!E38:GQ38,1,VLOOKUP($F$5,$L$2:$O$14,4,FALSE)+$C$9*5+VLOOKUP(D52,Auswahllisten!$E$25:$F$29,2,FALSE)))</f>
        <v>0</v>
      </c>
      <c r="G52" s="26">
        <f t="shared" ref="G52:G58" ca="1" si="79">E52*F52</f>
        <v>0</v>
      </c>
      <c r="H52" s="26" cm="1">
        <f t="array" aca="1" ref="H52" ca="1">INDIRECT("Investition_gewählt!"&amp;$I$6&amp;AA52)</f>
        <v>15800</v>
      </c>
      <c r="I52" s="25" cm="1">
        <f t="array" aca="1" ref="I52" ca="1">IF($C$5=0,0,INDEX(Faktoren!E38:GQ38,1,VLOOKUP($F$6,$L$2:$O$14,4,FALSE)+$C$9*5+VLOOKUP(D52,Auswahllisten!$E$25:$F$29,2,FALSE)))</f>
        <v>0</v>
      </c>
      <c r="J52" s="26">
        <f t="shared" ref="J52:J58" ca="1" si="80">H52*I52</f>
        <v>0</v>
      </c>
      <c r="K52" s="26">
        <f t="shared" ca="1" si="73"/>
        <v>0</v>
      </c>
      <c r="L52" s="16" t="b">
        <f t="shared" ca="1" si="74"/>
        <v>0</v>
      </c>
      <c r="M52" s="26">
        <f t="shared" ca="1" si="75"/>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IF($U$5=0,0,INDEX(Faktoren!E38:GQ38,1,VLOOKUP($X$5,$L$2:$O$14,4,FALSE)+$U$9*5+VLOOKUP(O52,Auswahllisten!$E$25:$F$29,2,FALSE)))</f>
        <v>0</v>
      </c>
      <c r="R52" s="26">
        <f t="shared" ca="1" si="76"/>
        <v>0</v>
      </c>
      <c r="S52" s="26" cm="1">
        <f t="array" aca="1" ref="S52" ca="1">INDIRECT("Investition_gewählt!"&amp;$AA$6&amp;AA52)</f>
        <v>15800</v>
      </c>
      <c r="T52" s="16" cm="1">
        <f t="array" aca="1" ref="T52" ca="1">IF($U$5=0,0,INDEX(Faktoren!E38:QG38,1,VLOOKUP($X$6,$L$3:$O$14,4,FALSE)+$U$9*5+VLOOKUP(O52,Auswahllisten!$E$25:$F$29,2,FALSE)))</f>
        <v>0</v>
      </c>
      <c r="U52" s="26">
        <f t="shared" ca="1" si="77"/>
        <v>0</v>
      </c>
      <c r="V52" s="26">
        <f t="shared" ca="1" si="14"/>
        <v>0</v>
      </c>
      <c r="W52" s="16" t="b">
        <f t="shared" ref="W52:W58" ca="1" si="81">($U$5=$L$50)</f>
        <v>0</v>
      </c>
      <c r="X52" s="26">
        <f t="shared" ca="1" si="78"/>
        <v>0</v>
      </c>
      <c r="Z52" s="1">
        <v>40</v>
      </c>
      <c r="AA52" s="1">
        <v>38</v>
      </c>
      <c r="AB52" s="1">
        <v>-2</v>
      </c>
      <c r="AN52" s="1">
        <v>27</v>
      </c>
      <c r="AO52" s="1">
        <f t="shared" si="24"/>
        <v>0</v>
      </c>
      <c r="AP52" s="69">
        <f t="shared" ca="1" si="71"/>
        <v>0</v>
      </c>
      <c r="AQ52" s="69">
        <f t="shared" ca="1" si="71"/>
        <v>0</v>
      </c>
      <c r="AR52" s="69">
        <f t="shared" si="71"/>
        <v>0</v>
      </c>
      <c r="AS52" s="69">
        <f t="shared" ca="1" si="71"/>
        <v>0</v>
      </c>
      <c r="AT52" s="69">
        <f t="shared" ca="1" si="71"/>
        <v>0</v>
      </c>
      <c r="AU52" s="69">
        <f t="shared" ca="1" si="71"/>
        <v>0</v>
      </c>
      <c r="AV52" s="69">
        <f t="shared" si="71"/>
        <v>0</v>
      </c>
      <c r="AW52" s="69">
        <f t="shared" ca="1" si="72"/>
        <v>0</v>
      </c>
      <c r="AX52" s="69">
        <f t="shared" ca="1" si="35"/>
        <v>0</v>
      </c>
      <c r="AY52" s="69">
        <f t="shared" ca="1" si="36"/>
        <v>0</v>
      </c>
      <c r="AZ52" s="69">
        <f ca="1">$AO52*IF(Auswahllisten!$G$150,AZ$25+AZ$25*AZ$13*$AN52,AZ$25*(1+AZ$13)^$AN52)</f>
        <v>0</v>
      </c>
      <c r="BA52" s="69">
        <f ca="1">$AO52*IF(Auswahllisten!$G$150,BA$25+BA$25*BA$13*$AN52,BA$25*(1+BA$13)^$AN52)</f>
        <v>0</v>
      </c>
      <c r="BB52" s="69">
        <f ca="1">$AO52*IF(Auswahllisten!$G$150,BB$25+BB$25*BB$13*$AN52,BB$25*(1+BB$13)^$AN52)</f>
        <v>0</v>
      </c>
      <c r="BC52" s="69">
        <f ca="1">$AO52*IF(Auswahllisten!$G$150,BC$25+BC$25*BC$13*$AN52,BC$25*(1+BC$13)^$AN52)</f>
        <v>0</v>
      </c>
      <c r="BD52" s="69">
        <f t="shared" ca="1" si="37"/>
        <v>0</v>
      </c>
      <c r="BE52" s="69">
        <f t="shared" ca="1" si="38"/>
        <v>0</v>
      </c>
      <c r="BF52" s="69">
        <f t="shared" ca="1" si="39"/>
        <v>0</v>
      </c>
      <c r="BG52" s="69">
        <f t="shared" ca="1" si="40"/>
        <v>0</v>
      </c>
      <c r="BI52" s="69">
        <f t="shared" ca="1" si="67"/>
        <v>0</v>
      </c>
      <c r="BJ52" s="69">
        <f t="shared" ca="1" si="67"/>
        <v>0</v>
      </c>
      <c r="BK52" s="69">
        <f t="shared" si="67"/>
        <v>0</v>
      </c>
      <c r="BL52" s="69">
        <f t="shared" ca="1" si="67"/>
        <v>0</v>
      </c>
      <c r="BM52" s="69">
        <f t="shared" ca="1" si="67"/>
        <v>0</v>
      </c>
      <c r="BN52" s="69">
        <f t="shared" ca="1" si="67"/>
        <v>0</v>
      </c>
      <c r="BO52" s="69">
        <f t="shared" si="67"/>
        <v>0</v>
      </c>
      <c r="BP52" s="69">
        <f t="shared" ca="1" si="27"/>
        <v>0</v>
      </c>
      <c r="BQ52" s="69">
        <f t="shared" ca="1" si="41"/>
        <v>0</v>
      </c>
      <c r="BR52" s="69">
        <f t="shared" ca="1" si="28"/>
        <v>0</v>
      </c>
      <c r="BS52" s="69">
        <f ca="1">$AO52*IF(Auswahllisten!$G$150,BS$25+BS$25*BS$13*$AN52,BS$25*(1+BS$13)^$AN52)</f>
        <v>0</v>
      </c>
      <c r="BT52" s="69">
        <f ca="1">$AO52*IF(Auswahllisten!$G$150,BT$25+BT$25*BT$13*$AN52,BT$25*(1+BT$13)^$AN52)</f>
        <v>0</v>
      </c>
      <c r="BU52" s="69">
        <f ca="1">$AO52*IF(Auswahllisten!$G$150,BU$25+BU$25*BU$13*$AN52,BU$25*(1+BU$13)^$AN52)</f>
        <v>0</v>
      </c>
      <c r="BV52" s="69">
        <f ca="1">$AO52*IF(Auswahllisten!$G$150,BV$25+BV$25*BV$13*$AN52,BV$25*(1+BV$13)^$AN52)</f>
        <v>0</v>
      </c>
      <c r="BW52" s="69">
        <f t="shared" ca="1" si="42"/>
        <v>0</v>
      </c>
      <c r="BX52" s="69">
        <f t="shared" ca="1" si="43"/>
        <v>0</v>
      </c>
      <c r="BY52" s="69">
        <f t="shared" ca="1" si="29"/>
        <v>0</v>
      </c>
      <c r="BZ52" s="69">
        <f t="shared" ca="1" si="30"/>
        <v>0</v>
      </c>
    </row>
    <row r="53" spans="1:78">
      <c r="A53" s="305" t="s">
        <v>1215</v>
      </c>
      <c r="B53" s="126" t="s">
        <v>303</v>
      </c>
      <c r="C53" s="126" t="s">
        <v>965</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IF($C$5=0,0,INDEX(Faktoren!E39:GQ39,1,VLOOKUP($F$5,$L$2:$O$14,4,FALSE)+$C$9*5+VLOOKUP(D53,Auswahllisten!$E$25:$F$29,2,FALSE)))</f>
        <v>0</v>
      </c>
      <c r="G53" s="26">
        <f t="shared" ca="1" si="79"/>
        <v>0</v>
      </c>
      <c r="H53" s="26" cm="1">
        <f t="array" aca="1" ref="H53" ca="1">INDIRECT("Investition_gewählt!"&amp;$I$6&amp;AA53)</f>
        <v>3800</v>
      </c>
      <c r="I53" s="25" cm="1">
        <f t="array" aca="1" ref="I53" ca="1">IF($C$5=0,0,INDEX(Faktoren!E39:GQ39,1,VLOOKUP($F$6,$L$2:$O$14,4,FALSE)+$C$9*5+VLOOKUP(D53,Auswahllisten!$E$25:$F$29,2,FALSE)))</f>
        <v>0</v>
      </c>
      <c r="J53" s="26">
        <f t="shared" ca="1" si="80"/>
        <v>0</v>
      </c>
      <c r="K53" s="26">
        <f t="shared" ca="1" si="73"/>
        <v>0</v>
      </c>
      <c r="L53" s="16" t="b">
        <f t="shared" ca="1" si="74"/>
        <v>0</v>
      </c>
      <c r="M53" s="26">
        <f t="shared" ca="1" si="75"/>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IF($U$5=0,0,INDEX(Faktoren!E39:GQ39,1,VLOOKUP($X$5,$L$2:$O$14,4,FALSE)+$U$9*5+VLOOKUP(O53,Auswahllisten!$E$25:$F$29,2,FALSE)))</f>
        <v>0</v>
      </c>
      <c r="R53" s="26">
        <f t="shared" ca="1" si="76"/>
        <v>0</v>
      </c>
      <c r="S53" s="26" cm="1">
        <f t="array" aca="1" ref="S53" ca="1">INDIRECT("Investition_gewählt!"&amp;$AA$6&amp;AA53)</f>
        <v>3800</v>
      </c>
      <c r="T53" s="16" cm="1">
        <f t="array" aca="1" ref="T53" ca="1">IF($U$5=0,0,INDEX(Faktoren!E39:QG39,1,VLOOKUP($X$6,$L$3:$O$14,4,FALSE)+$U$9*5+VLOOKUP(O53,Auswahllisten!$E$25:$F$29,2,FALSE)))</f>
        <v>0</v>
      </c>
      <c r="U53" s="26">
        <f t="shared" ca="1" si="77"/>
        <v>0</v>
      </c>
      <c r="V53" s="26">
        <f t="shared" ca="1" si="14"/>
        <v>0</v>
      </c>
      <c r="W53" s="16" t="b">
        <f t="shared" ca="1" si="81"/>
        <v>0</v>
      </c>
      <c r="X53" s="26">
        <f t="shared" ca="1" si="78"/>
        <v>0</v>
      </c>
      <c r="Z53" s="1">
        <v>42</v>
      </c>
      <c r="AA53" s="1">
        <v>39</v>
      </c>
      <c r="AB53" s="1">
        <v>-2</v>
      </c>
      <c r="AN53" s="1">
        <v>28</v>
      </c>
      <c r="AO53" s="1">
        <f t="shared" si="24"/>
        <v>0</v>
      </c>
      <c r="AP53" s="69">
        <f t="shared" ca="1" si="71"/>
        <v>0</v>
      </c>
      <c r="AQ53" s="69">
        <f t="shared" ca="1" si="71"/>
        <v>0</v>
      </c>
      <c r="AR53" s="69">
        <f t="shared" si="71"/>
        <v>0</v>
      </c>
      <c r="AS53" s="69">
        <f t="shared" ca="1" si="71"/>
        <v>0</v>
      </c>
      <c r="AT53" s="69">
        <f t="shared" ca="1" si="71"/>
        <v>0</v>
      </c>
      <c r="AU53" s="69">
        <f t="shared" ca="1" si="71"/>
        <v>0</v>
      </c>
      <c r="AV53" s="69">
        <f t="shared" si="71"/>
        <v>0</v>
      </c>
      <c r="AW53" s="69">
        <f t="shared" ca="1" si="72"/>
        <v>0</v>
      </c>
      <c r="AX53" s="69">
        <f t="shared" ca="1" si="35"/>
        <v>0</v>
      </c>
      <c r="AY53" s="69">
        <f t="shared" ca="1" si="36"/>
        <v>0</v>
      </c>
      <c r="AZ53" s="69">
        <f ca="1">$AO53*IF(Auswahllisten!$G$150,AZ$25+AZ$25*AZ$13*$AN53,AZ$25*(1+AZ$13)^$AN53)</f>
        <v>0</v>
      </c>
      <c r="BA53" s="69">
        <f ca="1">$AO53*IF(Auswahllisten!$G$150,BA$25+BA$25*BA$13*$AN53,BA$25*(1+BA$13)^$AN53)</f>
        <v>0</v>
      </c>
      <c r="BB53" s="69">
        <f ca="1">$AO53*IF(Auswahllisten!$G$150,BB$25+BB$25*BB$13*$AN53,BB$25*(1+BB$13)^$AN53)</f>
        <v>0</v>
      </c>
      <c r="BC53" s="69">
        <f ca="1">$AO53*IF(Auswahllisten!$G$150,BC$25+BC$25*BC$13*$AN53,BC$25*(1+BC$13)^$AN53)</f>
        <v>0</v>
      </c>
      <c r="BD53" s="69">
        <f t="shared" ca="1" si="37"/>
        <v>0</v>
      </c>
      <c r="BE53" s="69">
        <f t="shared" ca="1" si="38"/>
        <v>0</v>
      </c>
      <c r="BF53" s="69">
        <f t="shared" ca="1" si="39"/>
        <v>0</v>
      </c>
      <c r="BG53" s="69">
        <f t="shared" ca="1" si="40"/>
        <v>0</v>
      </c>
      <c r="BI53" s="69">
        <f t="shared" ca="1" si="67"/>
        <v>0</v>
      </c>
      <c r="BJ53" s="69">
        <f t="shared" ca="1" si="67"/>
        <v>0</v>
      </c>
      <c r="BK53" s="69">
        <f t="shared" si="67"/>
        <v>0</v>
      </c>
      <c r="BL53" s="69">
        <f t="shared" ca="1" si="67"/>
        <v>0</v>
      </c>
      <c r="BM53" s="69">
        <f t="shared" ca="1" si="67"/>
        <v>0</v>
      </c>
      <c r="BN53" s="69">
        <f t="shared" ca="1" si="67"/>
        <v>0</v>
      </c>
      <c r="BO53" s="69">
        <f t="shared" si="67"/>
        <v>0</v>
      </c>
      <c r="BP53" s="69">
        <f t="shared" ca="1" si="27"/>
        <v>0</v>
      </c>
      <c r="BQ53" s="69">
        <f t="shared" ca="1" si="41"/>
        <v>0</v>
      </c>
      <c r="BR53" s="69">
        <f t="shared" ca="1" si="28"/>
        <v>0</v>
      </c>
      <c r="BS53" s="69">
        <f ca="1">$AO53*IF(Auswahllisten!$G$150,BS$25+BS$25*BS$13*$AN53,BS$25*(1+BS$13)^$AN53)</f>
        <v>0</v>
      </c>
      <c r="BT53" s="69">
        <f ca="1">$AO53*IF(Auswahllisten!$G$150,BT$25+BT$25*BT$13*$AN53,BT$25*(1+BT$13)^$AN53)</f>
        <v>0</v>
      </c>
      <c r="BU53" s="69">
        <f ca="1">$AO53*IF(Auswahllisten!$G$150,BU$25+BU$25*BU$13*$AN53,BU$25*(1+BU$13)^$AN53)</f>
        <v>0</v>
      </c>
      <c r="BV53" s="69">
        <f ca="1">$AO53*IF(Auswahllisten!$G$150,BV$25+BV$25*BV$13*$AN53,BV$25*(1+BV$13)^$AN53)</f>
        <v>0</v>
      </c>
      <c r="BW53" s="69">
        <f t="shared" ca="1" si="42"/>
        <v>0</v>
      </c>
      <c r="BX53" s="69">
        <f t="shared" ca="1" si="43"/>
        <v>0</v>
      </c>
      <c r="BY53" s="69">
        <f t="shared" ca="1" si="29"/>
        <v>0</v>
      </c>
      <c r="BZ53" s="69">
        <f t="shared" ca="1" si="30"/>
        <v>0</v>
      </c>
    </row>
    <row r="54" spans="1:78">
      <c r="A54" s="305" t="s">
        <v>1218</v>
      </c>
      <c r="B54" s="126" t="s">
        <v>1243</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IF($C$5=0,0,INDEX(Faktoren!E40:GQ40,1,VLOOKUP($F$5,$L$2:$O$14,4,FALSE)+$C$9*5+VLOOKUP(D54,Auswahllisten!$E$25:$F$29,2,FALSE)))</f>
        <v>0</v>
      </c>
      <c r="G54" s="26">
        <f t="shared" ca="1" si="79"/>
        <v>0</v>
      </c>
      <c r="H54" s="26" cm="1">
        <f t="array" aca="1" ref="H54" ca="1">INDIRECT("Investition_gewählt!"&amp;$I$6&amp;AA54)</f>
        <v>1500</v>
      </c>
      <c r="I54" s="25" cm="1">
        <f t="array" aca="1" ref="I54" ca="1">IF($C$5=0,0,INDEX(Faktoren!E40:GQ40,1,VLOOKUP($F$6,$L$2:$O$14,4,FALSE)+$C$9*5+VLOOKUP(D54,Auswahllisten!$E$25:$F$29,2,FALSE)))</f>
        <v>0</v>
      </c>
      <c r="J54" s="26">
        <f t="shared" ca="1" si="80"/>
        <v>0</v>
      </c>
      <c r="K54" s="26">
        <f t="shared" ca="1" si="73"/>
        <v>0</v>
      </c>
      <c r="L54" s="16" t="b">
        <f t="shared" ca="1" si="74"/>
        <v>0</v>
      </c>
      <c r="M54" s="26">
        <f t="shared" ca="1" si="75"/>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IF($U$5=0,0,INDEX(Faktoren!E40:GQ40,1,VLOOKUP($X$5,$L$2:$O$14,4,FALSE)+$U$9*5+VLOOKUP(O54,Auswahllisten!$E$25:$F$29,2,FALSE)))</f>
        <v>0</v>
      </c>
      <c r="R54" s="26">
        <f t="shared" ca="1" si="76"/>
        <v>0</v>
      </c>
      <c r="S54" s="26" cm="1">
        <f t="array" aca="1" ref="S54" ca="1">INDIRECT("Investition_gewählt!"&amp;$AA$6&amp;AA54)</f>
        <v>1500</v>
      </c>
      <c r="T54" s="16" cm="1">
        <f t="array" aca="1" ref="T54" ca="1">IF($U$5=0,0,INDEX(Faktoren!E40:QG40,1,VLOOKUP($X$6,$L$3:$O$14,4,FALSE)+$U$9*5+VLOOKUP(O54,Auswahllisten!$E$25:$F$29,2,FALSE)))</f>
        <v>0</v>
      </c>
      <c r="U54" s="26">
        <f t="shared" ca="1" si="77"/>
        <v>0</v>
      </c>
      <c r="V54" s="26">
        <f t="shared" ca="1" si="14"/>
        <v>0</v>
      </c>
      <c r="W54" s="16" t="b">
        <f t="shared" ca="1" si="81"/>
        <v>0</v>
      </c>
      <c r="X54" s="26">
        <f t="shared" ca="1" si="78"/>
        <v>0</v>
      </c>
      <c r="Z54" s="1">
        <v>41</v>
      </c>
      <c r="AA54" s="1">
        <v>40</v>
      </c>
      <c r="AB54" s="1">
        <v>-2</v>
      </c>
      <c r="AN54" s="1">
        <v>29</v>
      </c>
      <c r="AO54" s="1">
        <f t="shared" si="24"/>
        <v>0</v>
      </c>
      <c r="AP54" s="69">
        <f t="shared" ca="1" si="71"/>
        <v>0</v>
      </c>
      <c r="AQ54" s="69">
        <f t="shared" ca="1" si="71"/>
        <v>0</v>
      </c>
      <c r="AR54" s="69">
        <f t="shared" si="71"/>
        <v>0</v>
      </c>
      <c r="AS54" s="69">
        <f t="shared" ca="1" si="71"/>
        <v>0</v>
      </c>
      <c r="AT54" s="69">
        <f t="shared" ca="1" si="71"/>
        <v>0</v>
      </c>
      <c r="AU54" s="69">
        <f t="shared" ca="1" si="71"/>
        <v>0</v>
      </c>
      <c r="AV54" s="69">
        <f t="shared" si="71"/>
        <v>0</v>
      </c>
      <c r="AW54" s="69">
        <f t="shared" ca="1" si="72"/>
        <v>0</v>
      </c>
      <c r="AX54" s="69">
        <f t="shared" ca="1" si="35"/>
        <v>0</v>
      </c>
      <c r="AY54" s="69">
        <f t="shared" ca="1" si="36"/>
        <v>0</v>
      </c>
      <c r="AZ54" s="69">
        <f ca="1">$AO54*IF(Auswahllisten!$G$150,AZ$25+AZ$25*AZ$13*$AN54,AZ$25*(1+AZ$13)^$AN54)</f>
        <v>0</v>
      </c>
      <c r="BA54" s="69">
        <f ca="1">$AO54*IF(Auswahllisten!$G$150,BA$25+BA$25*BA$13*$AN54,BA$25*(1+BA$13)^$AN54)</f>
        <v>0</v>
      </c>
      <c r="BB54" s="69">
        <f ca="1">$AO54*IF(Auswahllisten!$G$150,BB$25+BB$25*BB$13*$AN54,BB$25*(1+BB$13)^$AN54)</f>
        <v>0</v>
      </c>
      <c r="BC54" s="69">
        <f ca="1">$AO54*IF(Auswahllisten!$G$150,BC$25+BC$25*BC$13*$AN54,BC$25*(1+BC$13)^$AN54)</f>
        <v>0</v>
      </c>
      <c r="BD54" s="69">
        <f t="shared" ca="1" si="37"/>
        <v>0</v>
      </c>
      <c r="BE54" s="69">
        <f t="shared" ca="1" si="38"/>
        <v>0</v>
      </c>
      <c r="BF54" s="69">
        <f t="shared" ca="1" si="39"/>
        <v>0</v>
      </c>
      <c r="BG54" s="69">
        <f t="shared" ca="1" si="40"/>
        <v>0</v>
      </c>
      <c r="BI54" s="69">
        <f t="shared" ca="1" si="67"/>
        <v>0</v>
      </c>
      <c r="BJ54" s="69">
        <f t="shared" ca="1" si="67"/>
        <v>0</v>
      </c>
      <c r="BK54" s="69">
        <f t="shared" si="67"/>
        <v>0</v>
      </c>
      <c r="BL54" s="69">
        <f t="shared" ca="1" si="67"/>
        <v>0</v>
      </c>
      <c r="BM54" s="69">
        <f t="shared" ca="1" si="67"/>
        <v>0</v>
      </c>
      <c r="BN54" s="69">
        <f t="shared" ca="1" si="67"/>
        <v>0</v>
      </c>
      <c r="BO54" s="69">
        <f t="shared" si="67"/>
        <v>0</v>
      </c>
      <c r="BP54" s="69">
        <f t="shared" ca="1" si="27"/>
        <v>0</v>
      </c>
      <c r="BQ54" s="69">
        <f t="shared" ca="1" si="41"/>
        <v>0</v>
      </c>
      <c r="BR54" s="69">
        <f t="shared" ca="1" si="28"/>
        <v>0</v>
      </c>
      <c r="BS54" s="69">
        <f ca="1">$AO54*IF(Auswahllisten!$G$150,BS$25+BS$25*BS$13*$AN54,BS$25*(1+BS$13)^$AN54)</f>
        <v>0</v>
      </c>
      <c r="BT54" s="69">
        <f ca="1">$AO54*IF(Auswahllisten!$G$150,BT$25+BT$25*BT$13*$AN54,BT$25*(1+BT$13)^$AN54)</f>
        <v>0</v>
      </c>
      <c r="BU54" s="69">
        <f ca="1">$AO54*IF(Auswahllisten!$G$150,BU$25+BU$25*BU$13*$AN54,BU$25*(1+BU$13)^$AN54)</f>
        <v>0</v>
      </c>
      <c r="BV54" s="69">
        <f ca="1">$AO54*IF(Auswahllisten!$G$150,BV$25+BV$25*BV$13*$AN54,BV$25*(1+BV$13)^$AN54)</f>
        <v>0</v>
      </c>
      <c r="BW54" s="69">
        <f t="shared" ca="1" si="42"/>
        <v>0</v>
      </c>
      <c r="BX54" s="69">
        <f t="shared" ca="1" si="43"/>
        <v>0</v>
      </c>
      <c r="BY54" s="69">
        <f t="shared" ca="1" si="29"/>
        <v>0</v>
      </c>
      <c r="BZ54" s="69">
        <f t="shared" ca="1" si="30"/>
        <v>0</v>
      </c>
    </row>
    <row r="55" spans="1:78">
      <c r="A55" s="305" t="s">
        <v>1215</v>
      </c>
      <c r="B55" s="126" t="s">
        <v>303</v>
      </c>
      <c r="C55" s="126" t="s">
        <v>966</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IF($C$5=0,0,INDEX(Faktoren!E41:GQ41,1,VLOOKUP($F$5,$L$2:$O$14,4,FALSE)+$C$9*5+VLOOKUP(D55,Auswahllisten!$E$25:$F$29,2,FALSE)))</f>
        <v>0</v>
      </c>
      <c r="G55" s="26">
        <f t="shared" ca="1" si="79"/>
        <v>0</v>
      </c>
      <c r="H55" s="26" cm="1">
        <f t="array" aca="1" ref="H55" ca="1">INDIRECT("Investition_gewählt!"&amp;$I$6&amp;AA55)</f>
        <v>6000</v>
      </c>
      <c r="I55" s="25" cm="1">
        <f t="array" aca="1" ref="I55" ca="1">IF($C$5=0,0,INDEX(Faktoren!E41:GQ41,1,VLOOKUP($F$6,$L$2:$O$14,4,FALSE)+$C$9*5+VLOOKUP(D55,Auswahllisten!$E$25:$F$29,2,FALSE)))</f>
        <v>0</v>
      </c>
      <c r="J55" s="26">
        <f t="shared" ca="1" si="80"/>
        <v>0</v>
      </c>
      <c r="K55" s="26">
        <f t="shared" ca="1" si="73"/>
        <v>0</v>
      </c>
      <c r="L55" s="16" t="b">
        <f t="shared" ca="1" si="74"/>
        <v>0</v>
      </c>
      <c r="M55" s="26">
        <f t="shared" ca="1" si="75"/>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IF($U$5=0,0,INDEX(Faktoren!E41:GQ41,1,VLOOKUP($X$5,$L$2:$O$14,4,FALSE)+$U$9*5+VLOOKUP(O55,Auswahllisten!$E$25:$F$29,2,FALSE)))</f>
        <v>0</v>
      </c>
      <c r="R55" s="26">
        <f t="shared" ca="1" si="76"/>
        <v>0</v>
      </c>
      <c r="S55" s="26" cm="1">
        <f t="array" aca="1" ref="S55" ca="1">INDIRECT("Investition_gewählt!"&amp;$AA$6&amp;AA55)</f>
        <v>6000</v>
      </c>
      <c r="T55" s="16" cm="1">
        <f t="array" aca="1" ref="T55" ca="1">IF($U$5=0,0,INDEX(Faktoren!E41:QG41,1,VLOOKUP($X$6,$L$3:$O$14,4,FALSE)+$U$9*5+VLOOKUP(O55,Auswahllisten!$E$25:$F$29,2,FALSE)))</f>
        <v>0</v>
      </c>
      <c r="U55" s="26">
        <f t="shared" ca="1" si="77"/>
        <v>0</v>
      </c>
      <c r="V55" s="26">
        <f t="shared" ca="1" si="14"/>
        <v>0</v>
      </c>
      <c r="W55" s="16" t="b">
        <f t="shared" ca="1" si="81"/>
        <v>0</v>
      </c>
      <c r="X55" s="26">
        <f t="shared" ca="1" si="78"/>
        <v>0</v>
      </c>
      <c r="Z55" s="1">
        <v>47</v>
      </c>
      <c r="AA55" s="1">
        <v>41</v>
      </c>
      <c r="AB55" s="1">
        <v>-2</v>
      </c>
      <c r="AN55" s="1">
        <v>30</v>
      </c>
      <c r="AO55" s="1">
        <f t="shared" si="24"/>
        <v>0</v>
      </c>
      <c r="AP55" s="69">
        <f t="shared" ca="1" si="71"/>
        <v>0</v>
      </c>
      <c r="AQ55" s="69">
        <f t="shared" ca="1" si="71"/>
        <v>0</v>
      </c>
      <c r="AR55" s="69">
        <f t="shared" si="71"/>
        <v>0</v>
      </c>
      <c r="AS55" s="69">
        <f t="shared" ca="1" si="71"/>
        <v>0</v>
      </c>
      <c r="AT55" s="69">
        <f t="shared" ca="1" si="71"/>
        <v>0</v>
      </c>
      <c r="AU55" s="69">
        <f t="shared" ca="1" si="71"/>
        <v>0</v>
      </c>
      <c r="AV55" s="69">
        <f t="shared" si="71"/>
        <v>0</v>
      </c>
      <c r="AW55" s="69">
        <f t="shared" ca="1" si="72"/>
        <v>0</v>
      </c>
      <c r="AX55" s="69">
        <f t="shared" ca="1" si="35"/>
        <v>0</v>
      </c>
      <c r="AY55" s="69">
        <f t="shared" ca="1" si="36"/>
        <v>0</v>
      </c>
      <c r="AZ55" s="69">
        <f ca="1">$AO55*IF(Auswahllisten!$G$150,AZ$25+AZ$25*AZ$13*$AN55,AZ$25*(1+AZ$13)^$AN55)</f>
        <v>0</v>
      </c>
      <c r="BA55" s="69">
        <f ca="1">$AO55*IF(Auswahllisten!$G$150,BA$25+BA$25*BA$13*$AN55,BA$25*(1+BA$13)^$AN55)</f>
        <v>0</v>
      </c>
      <c r="BB55" s="69">
        <f ca="1">$AO55*IF(Auswahllisten!$G$150,BB$25+BB$25*BB$13*$AN55,BB$25*(1+BB$13)^$AN55)</f>
        <v>0</v>
      </c>
      <c r="BC55" s="69">
        <f ca="1">$AO55*IF(Auswahllisten!$G$150,BC$25+BC$25*BC$13*$AN55,BC$25*(1+BC$13)^$AN55)</f>
        <v>0</v>
      </c>
      <c r="BD55" s="69">
        <f t="shared" ca="1" si="37"/>
        <v>0</v>
      </c>
      <c r="BE55" s="69">
        <f t="shared" ca="1" si="38"/>
        <v>0</v>
      </c>
      <c r="BF55" s="69">
        <f t="shared" ca="1" si="39"/>
        <v>0</v>
      </c>
      <c r="BG55" s="69">
        <f t="shared" ca="1" si="40"/>
        <v>0</v>
      </c>
      <c r="BI55" s="69">
        <f t="shared" ca="1" si="67"/>
        <v>0</v>
      </c>
      <c r="BJ55" s="69">
        <f t="shared" ca="1" si="67"/>
        <v>0</v>
      </c>
      <c r="BK55" s="69">
        <f t="shared" si="67"/>
        <v>0</v>
      </c>
      <c r="BL55" s="69">
        <f t="shared" ca="1" si="67"/>
        <v>0</v>
      </c>
      <c r="BM55" s="69">
        <f t="shared" ca="1" si="67"/>
        <v>0</v>
      </c>
      <c r="BN55" s="69">
        <f t="shared" ca="1" si="67"/>
        <v>0</v>
      </c>
      <c r="BO55" s="69">
        <f t="shared" si="67"/>
        <v>0</v>
      </c>
      <c r="BP55" s="69">
        <f t="shared" ca="1" si="27"/>
        <v>0</v>
      </c>
      <c r="BQ55" s="69">
        <f t="shared" ca="1" si="41"/>
        <v>0</v>
      </c>
      <c r="BR55" s="69">
        <f t="shared" ca="1" si="28"/>
        <v>0</v>
      </c>
      <c r="BS55" s="69">
        <f ca="1">$AO55*IF(Auswahllisten!$G$150,BS$25+BS$25*BS$13*$AN55,BS$25*(1+BS$13)^$AN55)</f>
        <v>0</v>
      </c>
      <c r="BT55" s="69">
        <f ca="1">$AO55*IF(Auswahllisten!$G$150,BT$25+BT$25*BT$13*$AN55,BT$25*(1+BT$13)^$AN55)</f>
        <v>0</v>
      </c>
      <c r="BU55" s="69">
        <f ca="1">$AO55*IF(Auswahllisten!$G$150,BU$25+BU$25*BU$13*$AN55,BU$25*(1+BU$13)^$AN55)</f>
        <v>0</v>
      </c>
      <c r="BV55" s="69">
        <f ca="1">$AO55*IF(Auswahllisten!$G$150,BV$25+BV$25*BV$13*$AN55,BV$25*(1+BV$13)^$AN55)</f>
        <v>0</v>
      </c>
      <c r="BW55" s="69">
        <f t="shared" ca="1" si="42"/>
        <v>0</v>
      </c>
      <c r="BX55" s="69">
        <f t="shared" ca="1" si="43"/>
        <v>0</v>
      </c>
      <c r="BY55" s="69">
        <f t="shared" ca="1" si="29"/>
        <v>0</v>
      </c>
      <c r="BZ55" s="69">
        <f t="shared" ca="1" si="30"/>
        <v>0</v>
      </c>
    </row>
    <row r="56" spans="1:78">
      <c r="A56" s="305" t="s">
        <v>1244</v>
      </c>
      <c r="B56" s="126" t="s">
        <v>1245</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IF($C$5=0,0,INDEX(Faktoren!E42:GQ42,1,VLOOKUP($F$5,$L$2:$O$14,4,FALSE)+$C$9*5+VLOOKUP(D56,Auswahllisten!$E$25:$F$29,2,FALSE)))</f>
        <v>0</v>
      </c>
      <c r="G56" s="26">
        <f t="shared" ca="1" si="79"/>
        <v>0</v>
      </c>
      <c r="H56" s="26" cm="1">
        <f t="array" aca="1" ref="H56" ca="1">INDIRECT("Investition_gewählt!"&amp;$I$6&amp;AA56)</f>
        <v>0</v>
      </c>
      <c r="I56" s="25" cm="1">
        <f t="array" aca="1" ref="I56" ca="1">IF($C$5=0,0,INDEX(Faktoren!E42:GQ42,1,VLOOKUP($F$6,$L$2:$O$14,4,FALSE)+$C$9*5+VLOOKUP(D56,Auswahllisten!$E$25:$F$29,2,FALSE)))</f>
        <v>0</v>
      </c>
      <c r="J56" s="26">
        <f t="shared" ca="1" si="80"/>
        <v>0</v>
      </c>
      <c r="K56" s="26">
        <f t="shared" ca="1" si="73"/>
        <v>0</v>
      </c>
      <c r="L56" s="16" t="b">
        <f t="shared" ca="1" si="74"/>
        <v>0</v>
      </c>
      <c r="M56" s="26">
        <f t="shared" ca="1" si="75"/>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IF($U$5=0,0,INDEX(Faktoren!E42:GQ42,1,VLOOKUP($X$5,$L$2:$O$14,4,FALSE)+$U$9*5+VLOOKUP(O56,Auswahllisten!$E$25:$F$29,2,FALSE)))</f>
        <v>0</v>
      </c>
      <c r="R56" s="26">
        <f t="shared" ca="1" si="76"/>
        <v>0</v>
      </c>
      <c r="S56" s="26" cm="1">
        <f t="array" aca="1" ref="S56" ca="1">INDIRECT("Investition_gewählt!"&amp;$AA$6&amp;AA56)</f>
        <v>0</v>
      </c>
      <c r="T56" s="16" cm="1">
        <f t="array" aca="1" ref="T56" ca="1">IF($U$5=0,0,INDEX(Faktoren!E42:QG42,1,VLOOKUP($X$6,$L$3:$O$14,4,FALSE)+$U$9*5+VLOOKUP(O56,Auswahllisten!$E$25:$F$29,2,FALSE)))</f>
        <v>0</v>
      </c>
      <c r="U56" s="26">
        <f t="shared" ca="1" si="77"/>
        <v>0</v>
      </c>
      <c r="V56" s="26">
        <f t="shared" ca="1" si="14"/>
        <v>0</v>
      </c>
      <c r="W56" s="16" t="b">
        <f t="shared" ca="1" si="81"/>
        <v>0</v>
      </c>
      <c r="X56" s="26">
        <f t="shared" ca="1" si="78"/>
        <v>0</v>
      </c>
      <c r="Z56" s="1">
        <v>51</v>
      </c>
      <c r="AA56" s="1">
        <v>42</v>
      </c>
      <c r="AB56" s="1">
        <v>-2</v>
      </c>
      <c r="AN56" s="1">
        <v>31</v>
      </c>
      <c r="AO56" s="1">
        <f t="shared" si="24"/>
        <v>0</v>
      </c>
      <c r="AP56" s="69">
        <f t="shared" ca="1" si="71"/>
        <v>0</v>
      </c>
      <c r="AQ56" s="69">
        <f t="shared" ca="1" si="71"/>
        <v>0</v>
      </c>
      <c r="AR56" s="69">
        <f t="shared" si="71"/>
        <v>0</v>
      </c>
      <c r="AS56" s="69">
        <f t="shared" ca="1" si="71"/>
        <v>0</v>
      </c>
      <c r="AT56" s="69">
        <f t="shared" ca="1" si="71"/>
        <v>0</v>
      </c>
      <c r="AU56" s="69">
        <f t="shared" ca="1" si="71"/>
        <v>0</v>
      </c>
      <c r="AV56" s="69">
        <f t="shared" si="71"/>
        <v>0</v>
      </c>
      <c r="AW56" s="69">
        <f t="shared" ca="1" si="72"/>
        <v>0</v>
      </c>
      <c r="AX56" s="69">
        <f t="shared" ca="1" si="35"/>
        <v>0</v>
      </c>
      <c r="AY56" s="69">
        <f t="shared" ca="1" si="36"/>
        <v>0</v>
      </c>
      <c r="AZ56" s="69">
        <f ca="1">$AO56*IF(Auswahllisten!$G$150,AZ$25+AZ$25*AZ$13*$AN56,AZ$25*(1+AZ$13)^$AN56)</f>
        <v>0</v>
      </c>
      <c r="BA56" s="69">
        <f ca="1">$AO56*IF(Auswahllisten!$G$150,BA$25+BA$25*BA$13*$AN56,BA$25*(1+BA$13)^$AN56)</f>
        <v>0</v>
      </c>
      <c r="BB56" s="69">
        <f ca="1">$AO56*IF(Auswahllisten!$G$150,BB$25+BB$25*BB$13*$AN56,BB$25*(1+BB$13)^$AN56)</f>
        <v>0</v>
      </c>
      <c r="BC56" s="69">
        <f ca="1">$AO56*IF(Auswahllisten!$G$150,BC$25+BC$25*BC$13*$AN56,BC$25*(1+BC$13)^$AN56)</f>
        <v>0</v>
      </c>
      <c r="BD56" s="69">
        <f t="shared" ca="1" si="37"/>
        <v>0</v>
      </c>
      <c r="BE56" s="69">
        <f t="shared" ca="1" si="38"/>
        <v>0</v>
      </c>
      <c r="BF56" s="69">
        <f t="shared" ca="1" si="39"/>
        <v>0</v>
      </c>
      <c r="BG56" s="69">
        <f t="shared" ca="1" si="40"/>
        <v>0</v>
      </c>
      <c r="BI56" s="69">
        <f t="shared" ca="1" si="67"/>
        <v>0</v>
      </c>
      <c r="BJ56" s="69">
        <f t="shared" ca="1" si="67"/>
        <v>0</v>
      </c>
      <c r="BK56" s="69">
        <f t="shared" si="67"/>
        <v>0</v>
      </c>
      <c r="BL56" s="69">
        <f t="shared" ca="1" si="67"/>
        <v>0</v>
      </c>
      <c r="BM56" s="69">
        <f t="shared" ca="1" si="67"/>
        <v>0</v>
      </c>
      <c r="BN56" s="69">
        <f t="shared" ca="1" si="67"/>
        <v>0</v>
      </c>
      <c r="BO56" s="69">
        <f t="shared" si="67"/>
        <v>0</v>
      </c>
      <c r="BP56" s="69">
        <f t="shared" ca="1" si="27"/>
        <v>0</v>
      </c>
      <c r="BQ56" s="69">
        <f t="shared" ca="1" si="41"/>
        <v>0</v>
      </c>
      <c r="BR56" s="69">
        <f t="shared" ca="1" si="28"/>
        <v>0</v>
      </c>
      <c r="BS56" s="69">
        <f ca="1">$AO56*IF(Auswahllisten!$G$150,BS$25+BS$25*BS$13*$AN56,BS$25*(1+BS$13)^$AN56)</f>
        <v>0</v>
      </c>
      <c r="BT56" s="69">
        <f ca="1">$AO56*IF(Auswahllisten!$G$150,BT$25+BT$25*BT$13*$AN56,BT$25*(1+BT$13)^$AN56)</f>
        <v>0</v>
      </c>
      <c r="BU56" s="69">
        <f ca="1">$AO56*IF(Auswahllisten!$G$150,BU$25+BU$25*BU$13*$AN56,BU$25*(1+BU$13)^$AN56)</f>
        <v>0</v>
      </c>
      <c r="BV56" s="69">
        <f ca="1">$AO56*IF(Auswahllisten!$G$150,BV$25+BV$25*BV$13*$AN56,BV$25*(1+BV$13)^$AN56)</f>
        <v>0</v>
      </c>
      <c r="BW56" s="69">
        <f t="shared" ca="1" si="42"/>
        <v>0</v>
      </c>
      <c r="BX56" s="69">
        <f t="shared" ca="1" si="43"/>
        <v>0</v>
      </c>
      <c r="BY56" s="69">
        <f t="shared" ca="1" si="29"/>
        <v>0</v>
      </c>
      <c r="BZ56" s="69">
        <f t="shared" ca="1" si="30"/>
        <v>0</v>
      </c>
    </row>
    <row r="57" spans="1:78">
      <c r="A57" s="305" t="s">
        <v>1244</v>
      </c>
      <c r="B57" s="126" t="s">
        <v>1245</v>
      </c>
      <c r="C57" s="126" t="s">
        <v>967</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IF($C$5=0,0,INDEX(Faktoren!E43:GQ43,1,VLOOKUP($F$5,$L$2:$O$14,4,FALSE)+$C$9*5+VLOOKUP(D57,Auswahllisten!$E$25:$F$29,2,FALSE)))</f>
        <v>0</v>
      </c>
      <c r="G57" s="26">
        <f t="shared" ca="1" si="79"/>
        <v>0</v>
      </c>
      <c r="H57" s="26" cm="1">
        <f t="array" aca="1" ref="H57" ca="1">INDIRECT("Investition_gewählt!"&amp;$I$6&amp;AA57)</f>
        <v>0</v>
      </c>
      <c r="I57" s="25" cm="1">
        <f t="array" aca="1" ref="I57" ca="1">IF($C$5=0,0,INDEX(Faktoren!E43:GQ43,1,VLOOKUP($F$6,$L$2:$O$14,4,FALSE)+$C$9*5+VLOOKUP(D57,Auswahllisten!$E$25:$F$29,2,FALSE)))</f>
        <v>0</v>
      </c>
      <c r="J57" s="26">
        <f t="shared" ca="1" si="80"/>
        <v>0</v>
      </c>
      <c r="K57" s="26">
        <f t="shared" ca="1" si="73"/>
        <v>0</v>
      </c>
      <c r="L57" s="16" t="b">
        <f t="shared" ca="1" si="74"/>
        <v>0</v>
      </c>
      <c r="M57" s="26">
        <f t="shared" ca="1" si="75"/>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IF($U$5=0,0,INDEX(Faktoren!E43:GQ43,1,VLOOKUP($X$5,$L$2:$O$14,4,FALSE)+$U$9*5+VLOOKUP(O57,Auswahllisten!$E$25:$F$29,2,FALSE)))</f>
        <v>0</v>
      </c>
      <c r="R57" s="26">
        <f t="shared" ca="1" si="76"/>
        <v>0</v>
      </c>
      <c r="S57" s="26" cm="1">
        <f t="array" aca="1" ref="S57" ca="1">INDIRECT("Investition_gewählt!"&amp;$AA$6&amp;AA57)</f>
        <v>0</v>
      </c>
      <c r="T57" s="16" cm="1">
        <f t="array" aca="1" ref="T57" ca="1">IF($U$5=0,0,INDEX(Faktoren!E43:QG43,1,VLOOKUP($X$6,$L$3:$O$14,4,FALSE)+$U$9*5+VLOOKUP(O57,Auswahllisten!$E$25:$F$29,2,FALSE)))</f>
        <v>0</v>
      </c>
      <c r="U57" s="26">
        <f t="shared" ca="1" si="77"/>
        <v>0</v>
      </c>
      <c r="V57" s="26">
        <f t="shared" ca="1" si="14"/>
        <v>0</v>
      </c>
      <c r="W57" s="16" t="b">
        <f t="shared" ca="1" si="81"/>
        <v>0</v>
      </c>
      <c r="X57" s="26">
        <f t="shared" ca="1" si="78"/>
        <v>0</v>
      </c>
      <c r="Z57" s="1">
        <v>49</v>
      </c>
      <c r="AA57" s="1">
        <v>43</v>
      </c>
      <c r="AB57" s="1">
        <v>-2</v>
      </c>
      <c r="AN57" s="1">
        <v>32</v>
      </c>
      <c r="AO57" s="1">
        <f t="shared" si="24"/>
        <v>0</v>
      </c>
      <c r="AP57" s="69">
        <f t="shared" ca="1" si="71"/>
        <v>0</v>
      </c>
      <c r="AQ57" s="69">
        <f t="shared" ca="1" si="71"/>
        <v>0</v>
      </c>
      <c r="AR57" s="69">
        <f t="shared" si="71"/>
        <v>0</v>
      </c>
      <c r="AS57" s="69">
        <f t="shared" ca="1" si="71"/>
        <v>0</v>
      </c>
      <c r="AT57" s="69">
        <f t="shared" ca="1" si="71"/>
        <v>0</v>
      </c>
      <c r="AU57" s="69">
        <f t="shared" ca="1" si="71"/>
        <v>0</v>
      </c>
      <c r="AV57" s="69">
        <f t="shared" si="71"/>
        <v>0</v>
      </c>
      <c r="AW57" s="69">
        <f t="shared" ca="1" si="72"/>
        <v>0</v>
      </c>
      <c r="AX57" s="69">
        <f t="shared" ca="1" si="35"/>
        <v>0</v>
      </c>
      <c r="AY57" s="69">
        <f t="shared" ca="1" si="36"/>
        <v>0</v>
      </c>
      <c r="AZ57" s="69">
        <f ca="1">$AO57*IF(Auswahllisten!$G$150,AZ$25+AZ$25*AZ$13*$AN57,AZ$25*(1+AZ$13)^$AN57)</f>
        <v>0</v>
      </c>
      <c r="BA57" s="69">
        <f ca="1">$AO57*IF(Auswahllisten!$G$150,BA$25+BA$25*BA$13*$AN57,BA$25*(1+BA$13)^$AN57)</f>
        <v>0</v>
      </c>
      <c r="BB57" s="69">
        <f ca="1">$AO57*IF(Auswahllisten!$G$150,BB$25+BB$25*BB$13*$AN57,BB$25*(1+BB$13)^$AN57)</f>
        <v>0</v>
      </c>
      <c r="BC57" s="69">
        <f ca="1">$AO57*IF(Auswahllisten!$G$150,BC$25+BC$25*BC$13*$AN57,BC$25*(1+BC$13)^$AN57)</f>
        <v>0</v>
      </c>
      <c r="BD57" s="69">
        <f t="shared" ca="1" si="37"/>
        <v>0</v>
      </c>
      <c r="BE57" s="69">
        <f t="shared" ca="1" si="38"/>
        <v>0</v>
      </c>
      <c r="BF57" s="69">
        <f t="shared" ca="1" si="39"/>
        <v>0</v>
      </c>
      <c r="BG57" s="69">
        <f t="shared" ca="1" si="40"/>
        <v>0</v>
      </c>
      <c r="BI57" s="69">
        <f t="shared" ca="1" si="67"/>
        <v>0</v>
      </c>
      <c r="BJ57" s="69">
        <f t="shared" ca="1" si="67"/>
        <v>0</v>
      </c>
      <c r="BK57" s="69">
        <f t="shared" si="67"/>
        <v>0</v>
      </c>
      <c r="BL57" s="69">
        <f t="shared" ca="1" si="67"/>
        <v>0</v>
      </c>
      <c r="BM57" s="69">
        <f t="shared" ca="1" si="67"/>
        <v>0</v>
      </c>
      <c r="BN57" s="69">
        <f t="shared" ca="1" si="67"/>
        <v>0</v>
      </c>
      <c r="BO57" s="69">
        <f t="shared" si="67"/>
        <v>0</v>
      </c>
      <c r="BP57" s="69">
        <f t="shared" ca="1" si="27"/>
        <v>0</v>
      </c>
      <c r="BQ57" s="69">
        <f t="shared" ca="1" si="41"/>
        <v>0</v>
      </c>
      <c r="BR57" s="69">
        <f t="shared" ca="1" si="28"/>
        <v>0</v>
      </c>
      <c r="BS57" s="69">
        <f ca="1">$AO57*IF(Auswahllisten!$G$150,BS$25+BS$25*BS$13*$AN57,BS$25*(1+BS$13)^$AN57)</f>
        <v>0</v>
      </c>
      <c r="BT57" s="69">
        <f ca="1">$AO57*IF(Auswahllisten!$G$150,BT$25+BT$25*BT$13*$AN57,BT$25*(1+BT$13)^$AN57)</f>
        <v>0</v>
      </c>
      <c r="BU57" s="69">
        <f ca="1">$AO57*IF(Auswahllisten!$G$150,BU$25+BU$25*BU$13*$AN57,BU$25*(1+BU$13)^$AN57)</f>
        <v>0</v>
      </c>
      <c r="BV57" s="69">
        <f ca="1">$AO57*IF(Auswahllisten!$G$150,BV$25+BV$25*BV$13*$AN57,BV$25*(1+BV$13)^$AN57)</f>
        <v>0</v>
      </c>
      <c r="BW57" s="69">
        <f t="shared" ca="1" si="42"/>
        <v>0</v>
      </c>
      <c r="BX57" s="69">
        <f t="shared" ca="1" si="43"/>
        <v>0</v>
      </c>
      <c r="BY57" s="69">
        <f t="shared" ca="1" si="29"/>
        <v>0</v>
      </c>
      <c r="BZ57" s="69">
        <f t="shared" ca="1" si="30"/>
        <v>0</v>
      </c>
    </row>
    <row r="58" spans="1:78">
      <c r="A58" s="307" t="s">
        <v>1244</v>
      </c>
      <c r="B58" s="297" t="s">
        <v>1245</v>
      </c>
      <c r="C58" s="134" t="s">
        <v>359</v>
      </c>
      <c r="D58" s="163" t="str" cm="1">
        <f t="array" aca="1" ref="D58" ca="1">INDIRECT("Vergleich!"&amp;$G$2&amp;Z58)</f>
        <v>mittel</v>
      </c>
      <c r="E58" s="163" cm="1">
        <f t="array" aca="1" ref="E58" ca="1">INDIRECT("Investition_gewählt!"&amp;$I$5&amp;AA58)</f>
        <v>4500</v>
      </c>
      <c r="F58" s="61" cm="1">
        <f t="array" aca="1" ref="F58" ca="1">IF($C$5=0,0,INDEX(Faktoren!E44:GQ44,1,VLOOKUP($F$5,$L$2:$O$14,4,FALSE)+$C$9*5+VLOOKUP(D58,Auswahllisten!$E$25:$F$29,2,FALSE)))</f>
        <v>0</v>
      </c>
      <c r="G58" s="296">
        <f t="shared" ca="1" si="79"/>
        <v>0</v>
      </c>
      <c r="H58" s="296" cm="1">
        <f t="array" aca="1" ref="H58" ca="1">INDIRECT("Investition_gewählt!"&amp;$I$6&amp;AA58)</f>
        <v>4500</v>
      </c>
      <c r="I58" s="61" cm="1">
        <f t="array" aca="1" ref="I58" ca="1">IF($C$5=0,0,INDEX(Faktoren!E44:GQ44,1,VLOOKUP($F$6,$L$2:$O$14,4,FALSE)+$C$9*5+VLOOKUP(D58,Auswahllisten!$E$25:$F$29,2,FALSE)))</f>
        <v>0</v>
      </c>
      <c r="J58" s="163">
        <f t="shared" ca="1" si="80"/>
        <v>0</v>
      </c>
      <c r="K58" s="163">
        <f t="shared" ca="1" si="73"/>
        <v>0</v>
      </c>
      <c r="L58" s="93" t="b">
        <f t="shared" ca="1" si="74"/>
        <v>0</v>
      </c>
      <c r="M58" s="163">
        <f t="shared" ca="1" si="75"/>
        <v>0</v>
      </c>
      <c r="O58" s="93" t="str" cm="1">
        <f t="array" aca="1" ref="O58" ca="1">INDIRECT("Vergleich!"&amp;$Y$2&amp;Z58)</f>
        <v>gering</v>
      </c>
      <c r="P58" s="163" cm="1">
        <f t="array" aca="1" ref="P58" ca="1">INDIRECT("Investition_gewählt!"&amp;$AA$5&amp;AA58)</f>
        <v>4500</v>
      </c>
      <c r="Q58" s="93" cm="1">
        <f t="array" aca="1" ref="Q58" ca="1">IF($U$5=0,0,INDEX(Faktoren!E44:GQ44,1,VLOOKUP($X$5,$L$2:$O$14,4,FALSE)+$U$9*5+VLOOKUP(O58,Auswahllisten!$E$25:$F$29,2,FALSE)))</f>
        <v>0</v>
      </c>
      <c r="R58" s="163">
        <f t="shared" ca="1" si="76"/>
        <v>0</v>
      </c>
      <c r="S58" s="163" cm="1">
        <f t="array" aca="1" ref="S58" ca="1">INDIRECT("Investition_gewählt!"&amp;$AA$6&amp;AA58)</f>
        <v>4500</v>
      </c>
      <c r="T58" s="93" cm="1">
        <f t="array" aca="1" ref="T58" ca="1">IF($U$5=0,0,INDEX(Faktoren!E44:QG44,1,VLOOKUP($X$6,$L$3:$O$14,4,FALSE)+$U$9*5+VLOOKUP(O58,Auswahllisten!$E$25:$F$29,2,FALSE)))</f>
        <v>0</v>
      </c>
      <c r="U58" s="163">
        <f t="shared" ca="1" si="77"/>
        <v>0</v>
      </c>
      <c r="V58" s="163">
        <f t="shared" ca="1" si="14"/>
        <v>0</v>
      </c>
      <c r="W58" s="93" t="b">
        <f t="shared" ca="1" si="81"/>
        <v>0</v>
      </c>
      <c r="X58" s="163">
        <f t="shared" ca="1" si="78"/>
        <v>0</v>
      </c>
      <c r="Z58" s="1">
        <v>50</v>
      </c>
      <c r="AA58" s="1">
        <v>44</v>
      </c>
      <c r="AB58" s="1">
        <v>-2</v>
      </c>
      <c r="AN58" s="1">
        <v>33</v>
      </c>
      <c r="AO58" s="1">
        <f t="shared" si="24"/>
        <v>0</v>
      </c>
      <c r="AP58" s="69">
        <f t="shared" ca="1" si="71"/>
        <v>0</v>
      </c>
      <c r="AQ58" s="69">
        <f t="shared" ca="1" si="71"/>
        <v>0</v>
      </c>
      <c r="AR58" s="69">
        <f t="shared" si="71"/>
        <v>0</v>
      </c>
      <c r="AS58" s="69">
        <f t="shared" ca="1" si="71"/>
        <v>0</v>
      </c>
      <c r="AT58" s="69">
        <f t="shared" ca="1" si="71"/>
        <v>0</v>
      </c>
      <c r="AU58" s="69">
        <f t="shared" ca="1" si="71"/>
        <v>0</v>
      </c>
      <c r="AV58" s="69">
        <f t="shared" si="71"/>
        <v>0</v>
      </c>
      <c r="AW58" s="69">
        <f t="shared" ca="1" si="72"/>
        <v>0</v>
      </c>
      <c r="AX58" s="69">
        <f t="shared" ca="1" si="35"/>
        <v>0</v>
      </c>
      <c r="AY58" s="69">
        <f t="shared" ca="1" si="36"/>
        <v>0</v>
      </c>
      <c r="AZ58" s="69">
        <f ca="1">$AO58*IF(Auswahllisten!$G$150,AZ$25+AZ$25*AZ$13*$AN58,AZ$25*(1+AZ$13)^$AN58)</f>
        <v>0</v>
      </c>
      <c r="BA58" s="69">
        <f ca="1">$AO58*IF(Auswahllisten!$G$150,BA$25+BA$25*BA$13*$AN58,BA$25*(1+BA$13)^$AN58)</f>
        <v>0</v>
      </c>
      <c r="BB58" s="69">
        <f ca="1">$AO58*IF(Auswahllisten!$G$150,BB$25+BB$25*BB$13*$AN58,BB$25*(1+BB$13)^$AN58)</f>
        <v>0</v>
      </c>
      <c r="BC58" s="69">
        <f ca="1">$AO58*IF(Auswahllisten!$G$150,BC$25+BC$25*BC$13*$AN58,BC$25*(1+BC$13)^$AN58)</f>
        <v>0</v>
      </c>
      <c r="BD58" s="69">
        <f t="shared" ca="1" si="37"/>
        <v>0</v>
      </c>
      <c r="BE58" s="69">
        <f t="shared" ca="1" si="38"/>
        <v>0</v>
      </c>
      <c r="BF58" s="69">
        <f t="shared" ca="1" si="39"/>
        <v>0</v>
      </c>
      <c r="BG58" s="69">
        <f t="shared" ca="1" si="40"/>
        <v>0</v>
      </c>
      <c r="BI58" s="69">
        <f t="shared" ca="1" si="67"/>
        <v>0</v>
      </c>
      <c r="BJ58" s="69">
        <f t="shared" ca="1" si="67"/>
        <v>0</v>
      </c>
      <c r="BK58" s="69">
        <f t="shared" si="67"/>
        <v>0</v>
      </c>
      <c r="BL58" s="69">
        <f t="shared" ca="1" si="67"/>
        <v>0</v>
      </c>
      <c r="BM58" s="69">
        <f t="shared" ca="1" si="67"/>
        <v>0</v>
      </c>
      <c r="BN58" s="69">
        <f t="shared" ca="1" si="67"/>
        <v>0</v>
      </c>
      <c r="BO58" s="69">
        <f t="shared" si="67"/>
        <v>0</v>
      </c>
      <c r="BP58" s="69">
        <f t="shared" ref="BP58:BP96" ca="1" si="82">SUM(BI58:BO58)/(1+$AS$11)^AN58</f>
        <v>0</v>
      </c>
      <c r="BQ58" s="69">
        <f t="shared" ca="1" si="41"/>
        <v>0</v>
      </c>
      <c r="BR58" s="69">
        <f t="shared" ref="BR58:BR96" ca="1" si="83">SUM(BQ58)/(1+$AS$11)^AN58</f>
        <v>0</v>
      </c>
      <c r="BS58" s="69">
        <f ca="1">$AO58*IF(Auswahllisten!$G$150,BS$25+BS$25*BS$13*$AN58,BS$25*(1+BS$13)^$AN58)</f>
        <v>0</v>
      </c>
      <c r="BT58" s="69">
        <f ca="1">$AO58*IF(Auswahllisten!$G$150,BT$25+BT$25*BT$13*$AN58,BT$25*(1+BT$13)^$AN58)</f>
        <v>0</v>
      </c>
      <c r="BU58" s="69">
        <f ca="1">$AO58*IF(Auswahllisten!$G$150,BU$25+BU$25*BU$13*$AN58,BU$25*(1+BU$13)^$AN58)</f>
        <v>0</v>
      </c>
      <c r="BV58" s="69">
        <f ca="1">$AO58*IF(Auswahllisten!$G$150,BV$25+BV$25*BV$13*$AN58,BV$25*(1+BV$13)^$AN58)</f>
        <v>0</v>
      </c>
      <c r="BW58" s="69">
        <f t="shared" ca="1" si="42"/>
        <v>0</v>
      </c>
      <c r="BX58" s="69">
        <f t="shared" ca="1" si="43"/>
        <v>0</v>
      </c>
      <c r="BY58" s="69">
        <f t="shared" ca="1" si="29"/>
        <v>0</v>
      </c>
      <c r="BZ58" s="69">
        <f t="shared" ca="1" si="30"/>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24"/>
        <v>0</v>
      </c>
      <c r="AP59" s="69">
        <f t="shared" ca="1" si="71"/>
        <v>0</v>
      </c>
      <c r="AQ59" s="69">
        <f t="shared" ca="1" si="71"/>
        <v>0</v>
      </c>
      <c r="AR59" s="69">
        <f t="shared" si="71"/>
        <v>0</v>
      </c>
      <c r="AS59" s="69">
        <f t="shared" ca="1" si="71"/>
        <v>0</v>
      </c>
      <c r="AT59" s="69">
        <f t="shared" ca="1" si="71"/>
        <v>0</v>
      </c>
      <c r="AU59" s="69">
        <f t="shared" ca="1" si="71"/>
        <v>0</v>
      </c>
      <c r="AV59" s="69">
        <f t="shared" si="71"/>
        <v>0</v>
      </c>
      <c r="AW59" s="69">
        <f t="shared" ca="1" si="72"/>
        <v>0</v>
      </c>
      <c r="AX59" s="69">
        <f t="shared" ca="1" si="35"/>
        <v>0</v>
      </c>
      <c r="AY59" s="69">
        <f t="shared" ca="1" si="36"/>
        <v>0</v>
      </c>
      <c r="AZ59" s="69">
        <f ca="1">$AO59*IF(Auswahllisten!$G$150,AZ$25+AZ$25*AZ$13*$AN59,AZ$25*(1+AZ$13)^$AN59)</f>
        <v>0</v>
      </c>
      <c r="BA59" s="69">
        <f ca="1">$AO59*IF(Auswahllisten!$G$150,BA$25+BA$25*BA$13*$AN59,BA$25*(1+BA$13)^$AN59)</f>
        <v>0</v>
      </c>
      <c r="BB59" s="69">
        <f ca="1">$AO59*IF(Auswahllisten!$G$150,BB$25+BB$25*BB$13*$AN59,BB$25*(1+BB$13)^$AN59)</f>
        <v>0</v>
      </c>
      <c r="BC59" s="69">
        <f ca="1">$AO59*IF(Auswahllisten!$G$150,BC$25+BC$25*BC$13*$AN59,BC$25*(1+BC$13)^$AN59)</f>
        <v>0</v>
      </c>
      <c r="BD59" s="69">
        <f t="shared" ca="1" si="37"/>
        <v>0</v>
      </c>
      <c r="BE59" s="69">
        <f t="shared" ca="1" si="38"/>
        <v>0</v>
      </c>
      <c r="BF59" s="69">
        <f t="shared" ca="1" si="39"/>
        <v>0</v>
      </c>
      <c r="BG59" s="69">
        <f t="shared" ca="1" si="40"/>
        <v>0</v>
      </c>
      <c r="BI59" s="69">
        <f t="shared" ca="1" si="67"/>
        <v>0</v>
      </c>
      <c r="BJ59" s="69">
        <f t="shared" ca="1" si="67"/>
        <v>0</v>
      </c>
      <c r="BK59" s="69">
        <f t="shared" si="67"/>
        <v>0</v>
      </c>
      <c r="BL59" s="69">
        <f t="shared" ca="1" si="67"/>
        <v>0</v>
      </c>
      <c r="BM59" s="69">
        <f t="shared" ca="1" si="67"/>
        <v>0</v>
      </c>
      <c r="BN59" s="69">
        <f t="shared" ca="1" si="67"/>
        <v>0</v>
      </c>
      <c r="BO59" s="69">
        <f t="shared" si="67"/>
        <v>0</v>
      </c>
      <c r="BP59" s="69">
        <f t="shared" ca="1" si="82"/>
        <v>0</v>
      </c>
      <c r="BQ59" s="69">
        <f t="shared" ca="1" si="41"/>
        <v>0</v>
      </c>
      <c r="BR59" s="69">
        <f t="shared" ca="1" si="83"/>
        <v>0</v>
      </c>
      <c r="BS59" s="69">
        <f ca="1">$AO59*IF(Auswahllisten!$G$150,BS$25+BS$25*BS$13*$AN59,BS$25*(1+BS$13)^$AN59)</f>
        <v>0</v>
      </c>
      <c r="BT59" s="69">
        <f ca="1">$AO59*IF(Auswahllisten!$G$150,BT$25+BT$25*BT$13*$AN59,BT$25*(1+BT$13)^$AN59)</f>
        <v>0</v>
      </c>
      <c r="BU59" s="69">
        <f ca="1">$AO59*IF(Auswahllisten!$G$150,BU$25+BU$25*BU$13*$AN59,BU$25*(1+BU$13)^$AN59)</f>
        <v>0</v>
      </c>
      <c r="BV59" s="69">
        <f ca="1">$AO59*IF(Auswahllisten!$G$150,BV$25+BV$25*BV$13*$AN59,BV$25*(1+BV$13)^$AN59)</f>
        <v>0</v>
      </c>
      <c r="BW59" s="69">
        <f t="shared" ca="1" si="42"/>
        <v>0</v>
      </c>
      <c r="BX59" s="69">
        <f t="shared" ca="1" si="43"/>
        <v>0</v>
      </c>
      <c r="BY59" s="69">
        <f t="shared" ca="1" si="29"/>
        <v>0</v>
      </c>
      <c r="BZ59" s="69">
        <f t="shared" ca="1" si="30"/>
        <v>0</v>
      </c>
    </row>
    <row r="60" spans="1:78">
      <c r="A60" s="125" t="s">
        <v>998</v>
      </c>
      <c r="B60" s="125" t="s">
        <v>999</v>
      </c>
      <c r="C60" s="125"/>
      <c r="D60" s="69"/>
      <c r="E60" s="69"/>
      <c r="G60" s="69"/>
      <c r="H60" s="69"/>
      <c r="J60" s="69"/>
      <c r="K60" s="69"/>
      <c r="L60" s="155">
        <v>6</v>
      </c>
      <c r="M60" s="69"/>
      <c r="P60" s="69"/>
      <c r="R60" s="69"/>
      <c r="S60" s="69"/>
      <c r="U60" s="69"/>
      <c r="V60" s="69"/>
      <c r="X60" s="69"/>
      <c r="AA60" s="1">
        <v>46</v>
      </c>
      <c r="AB60" s="1">
        <v>-2</v>
      </c>
      <c r="AN60" s="1">
        <v>35</v>
      </c>
      <c r="AO60" s="1">
        <f t="shared" si="24"/>
        <v>0</v>
      </c>
      <c r="AP60" s="69">
        <f t="shared" ca="1" si="71"/>
        <v>0</v>
      </c>
      <c r="AQ60" s="69">
        <f t="shared" ca="1" si="71"/>
        <v>0</v>
      </c>
      <c r="AR60" s="69">
        <f t="shared" si="71"/>
        <v>0</v>
      </c>
      <c r="AS60" s="69">
        <f t="shared" ca="1" si="71"/>
        <v>0</v>
      </c>
      <c r="AT60" s="69">
        <f t="shared" ca="1" si="71"/>
        <v>0</v>
      </c>
      <c r="AU60" s="69">
        <f t="shared" ca="1" si="71"/>
        <v>0</v>
      </c>
      <c r="AV60" s="69">
        <f t="shared" si="71"/>
        <v>0</v>
      </c>
      <c r="AW60" s="69">
        <f t="shared" ca="1" si="72"/>
        <v>0</v>
      </c>
      <c r="AX60" s="69">
        <f t="shared" ca="1" si="35"/>
        <v>0</v>
      </c>
      <c r="AY60" s="69">
        <f t="shared" ca="1" si="36"/>
        <v>0</v>
      </c>
      <c r="AZ60" s="69">
        <f ca="1">$AO60*IF(Auswahllisten!$G$150,AZ$25+AZ$25*AZ$13*$AN60,AZ$25*(1+AZ$13)^$AN60)</f>
        <v>0</v>
      </c>
      <c r="BA60" s="69">
        <f ca="1">$AO60*IF(Auswahllisten!$G$150,BA$25+BA$25*BA$13*$AN60,BA$25*(1+BA$13)^$AN60)</f>
        <v>0</v>
      </c>
      <c r="BB60" s="69">
        <f ca="1">$AO60*IF(Auswahllisten!$G$150,BB$25+BB$25*BB$13*$AN60,BB$25*(1+BB$13)^$AN60)</f>
        <v>0</v>
      </c>
      <c r="BC60" s="69">
        <f ca="1">$AO60*IF(Auswahllisten!$G$150,BC$25+BC$25*BC$13*$AN60,BC$25*(1+BC$13)^$AN60)</f>
        <v>0</v>
      </c>
      <c r="BD60" s="69">
        <f t="shared" ca="1" si="37"/>
        <v>0</v>
      </c>
      <c r="BE60" s="69">
        <f t="shared" ca="1" si="38"/>
        <v>0</v>
      </c>
      <c r="BF60" s="69">
        <f t="shared" ca="1" si="39"/>
        <v>0</v>
      </c>
      <c r="BG60" s="69">
        <f t="shared" ca="1" si="40"/>
        <v>0</v>
      </c>
      <c r="BI60" s="69">
        <f t="shared" ca="1" si="67"/>
        <v>0</v>
      </c>
      <c r="BJ60" s="69">
        <f t="shared" ca="1" si="67"/>
        <v>0</v>
      </c>
      <c r="BK60" s="69">
        <f t="shared" si="67"/>
        <v>0</v>
      </c>
      <c r="BL60" s="69">
        <f t="shared" ca="1" si="67"/>
        <v>0</v>
      </c>
      <c r="BM60" s="69">
        <f t="shared" ca="1" si="67"/>
        <v>0</v>
      </c>
      <c r="BN60" s="69">
        <f t="shared" ca="1" si="67"/>
        <v>0</v>
      </c>
      <c r="BO60" s="69">
        <f t="shared" si="67"/>
        <v>0</v>
      </c>
      <c r="BP60" s="69">
        <f t="shared" ca="1" si="82"/>
        <v>0</v>
      </c>
      <c r="BQ60" s="69">
        <f t="shared" ca="1" si="41"/>
        <v>0</v>
      </c>
      <c r="BR60" s="69">
        <f t="shared" ca="1" si="83"/>
        <v>0</v>
      </c>
      <c r="BS60" s="69">
        <f ca="1">$AO60*IF(Auswahllisten!$G$150,BS$25+BS$25*BS$13*$AN60,BS$25*(1+BS$13)^$AN60)</f>
        <v>0</v>
      </c>
      <c r="BT60" s="69">
        <f ca="1">$AO60*IF(Auswahllisten!$G$150,BT$25+BT$25*BT$13*$AN60,BT$25*(1+BT$13)^$AN60)</f>
        <v>0</v>
      </c>
      <c r="BU60" s="69">
        <f ca="1">$AO60*IF(Auswahllisten!$G$150,BU$25+BU$25*BU$13*$AN60,BU$25*(1+BU$13)^$AN60)</f>
        <v>0</v>
      </c>
      <c r="BV60" s="69">
        <f ca="1">$AO60*IF(Auswahllisten!$G$150,BV$25+BV$25*BV$13*$AN60,BV$25*(1+BV$13)^$AN60)</f>
        <v>0</v>
      </c>
      <c r="BW60" s="69">
        <f t="shared" ca="1" si="42"/>
        <v>0</v>
      </c>
      <c r="BX60" s="69">
        <f t="shared" ca="1" si="43"/>
        <v>0</v>
      </c>
      <c r="BY60" s="69">
        <f t="shared" ca="1" si="29"/>
        <v>0</v>
      </c>
      <c r="BZ60" s="69">
        <f t="shared" ca="1" si="30"/>
        <v>0</v>
      </c>
    </row>
    <row r="61" spans="1:78">
      <c r="A61" s="304" t="s">
        <v>1217</v>
      </c>
      <c r="B61" s="131" t="s">
        <v>1242</v>
      </c>
      <c r="C61" s="131" t="s">
        <v>245</v>
      </c>
      <c r="D61" s="162" t="str" cm="1">
        <f t="array" aca="1" ref="D61" ca="1">INDIRECT("Vergleich!"&amp;$G$2&amp;Z61)</f>
        <v>mittel</v>
      </c>
      <c r="E61" s="162" cm="1">
        <f t="array" aca="1" ref="E61" ca="1">INDIRECT("Investition_gewählt!"&amp;$I$5&amp;AA61)</f>
        <v>23500</v>
      </c>
      <c r="F61" s="25" cm="1">
        <f t="array" aca="1" ref="F61" ca="1">IF($C$5=0,0,INDEX(Faktoren!E47:GQ47,1,VLOOKUP($F$5,$L$2:$O$14,4,FALSE)+$C$9*5+VLOOKUP(D61,Auswahllisten!$E$25:$F$29,2,FALSE)))</f>
        <v>0</v>
      </c>
      <c r="G61" s="162">
        <f ca="1">E61*F61</f>
        <v>0</v>
      </c>
      <c r="H61" s="162" cm="1">
        <f t="array" aca="1" ref="H61" ca="1">INDIRECT("Investition_gewählt!"&amp;$I$6&amp;AA61)</f>
        <v>23500</v>
      </c>
      <c r="I61" s="25" cm="1">
        <f t="array" aca="1" ref="I61" ca="1">IF($C$5=0,0,INDEX(Faktoren!E47:GQ47,1,VLOOKUP($F$6,$L$2:$O$14,4,FALSE)+$C$9*5+VLOOKUP(D61,Auswahllisten!$E$25:$F$29,2,FALSE)))</f>
        <v>0</v>
      </c>
      <c r="J61" s="162">
        <f ca="1">H61*I61</f>
        <v>0</v>
      </c>
      <c r="K61" s="162">
        <f t="shared" ref="K61:K69" ca="1" si="84">IF($C$5=0,0,G61+(J61-G61)*($C$6-$F$5)/($F$6-$F$5))</f>
        <v>0</v>
      </c>
      <c r="L61" s="25" t="b">
        <f t="shared" ref="L61:L69" ca="1" si="85">($C$5=$L$60)</f>
        <v>0</v>
      </c>
      <c r="M61" s="162">
        <f t="shared" ref="M61:M69" ca="1" si="86">IFERROR(ROUND(K61*L61,AB61),0)</f>
        <v>0</v>
      </c>
      <c r="O61" s="25" t="str" cm="1">
        <f t="array" aca="1" ref="O61" ca="1">INDIRECT("Vergleich!"&amp;$Y$2&amp;Z61)</f>
        <v>gering</v>
      </c>
      <c r="P61" s="162" cm="1">
        <f t="array" aca="1" ref="P61" ca="1">INDIRECT("Investition_gewählt!"&amp;$AA$5&amp;AA61)</f>
        <v>23500</v>
      </c>
      <c r="Q61" s="25" cm="1">
        <f t="array" aca="1" ref="Q61" ca="1">IF($U$5=0,0,INDEX(Faktoren!E47:GQ47,1,VLOOKUP($X$5,$L$2:$O$14,4,FALSE)+$U$9*5+VLOOKUP(O61,Auswahllisten!$E$25:$F$29,2,FALSE)))</f>
        <v>0</v>
      </c>
      <c r="R61" s="162">
        <f t="shared" ref="R61:R69" ca="1" si="87">P61*Q61</f>
        <v>0</v>
      </c>
      <c r="S61" s="162" cm="1">
        <f t="array" aca="1" ref="S61" ca="1">INDIRECT("Investition_gewählt!"&amp;$AA$6&amp;AA61)</f>
        <v>23500</v>
      </c>
      <c r="T61" s="25" cm="1">
        <f t="array" aca="1" ref="T61" ca="1">IF($U$5=0,0,INDEX(Faktoren!E47:QG47,1,VLOOKUP($X$6,$L$3:$O$14,4,FALSE)+$U$9*5+VLOOKUP(O61,Auswahllisten!$E$25:$F$29,2,FALSE)))</f>
        <v>0</v>
      </c>
      <c r="U61" s="162">
        <f t="shared" ref="U61:U69" ca="1" si="88">S61*T61</f>
        <v>0</v>
      </c>
      <c r="V61" s="162">
        <f t="shared" ca="1" si="14"/>
        <v>0</v>
      </c>
      <c r="W61" s="25" t="b">
        <f ca="1">($U$5=$L$60)</f>
        <v>0</v>
      </c>
      <c r="X61" s="162">
        <f t="shared" ref="X61:X69" ca="1" si="89">IFERROR(ROUND(V61*W61,AB61),0)</f>
        <v>0</v>
      </c>
      <c r="Z61" s="1">
        <v>32</v>
      </c>
      <c r="AA61" s="1">
        <v>47</v>
      </c>
      <c r="AB61" s="1">
        <v>-2</v>
      </c>
      <c r="AN61" s="1">
        <v>36</v>
      </c>
      <c r="AO61" s="1">
        <f t="shared" si="24"/>
        <v>0</v>
      </c>
      <c r="AP61" s="69">
        <f t="shared" ca="1" si="71"/>
        <v>0</v>
      </c>
      <c r="AQ61" s="69">
        <f t="shared" ca="1" si="71"/>
        <v>0</v>
      </c>
      <c r="AR61" s="69">
        <f t="shared" si="71"/>
        <v>0</v>
      </c>
      <c r="AS61" s="69">
        <f t="shared" ca="1" si="71"/>
        <v>0</v>
      </c>
      <c r="AT61" s="69">
        <f t="shared" ca="1" si="71"/>
        <v>0</v>
      </c>
      <c r="AU61" s="69">
        <f t="shared" ca="1" si="71"/>
        <v>0</v>
      </c>
      <c r="AV61" s="69">
        <f t="shared" si="71"/>
        <v>0</v>
      </c>
      <c r="AW61" s="69">
        <f t="shared" ca="1" si="72"/>
        <v>0</v>
      </c>
      <c r="AX61" s="69">
        <f t="shared" ca="1" si="35"/>
        <v>0</v>
      </c>
      <c r="AY61" s="69">
        <f t="shared" ca="1" si="36"/>
        <v>0</v>
      </c>
      <c r="AZ61" s="69">
        <f ca="1">$AO61*IF(Auswahllisten!$G$150,AZ$25+AZ$25*AZ$13*$AN61,AZ$25*(1+AZ$13)^$AN61)</f>
        <v>0</v>
      </c>
      <c r="BA61" s="69">
        <f ca="1">$AO61*IF(Auswahllisten!$G$150,BA$25+BA$25*BA$13*$AN61,BA$25*(1+BA$13)^$AN61)</f>
        <v>0</v>
      </c>
      <c r="BB61" s="69">
        <f ca="1">$AO61*IF(Auswahllisten!$G$150,BB$25+BB$25*BB$13*$AN61,BB$25*(1+BB$13)^$AN61)</f>
        <v>0</v>
      </c>
      <c r="BC61" s="69">
        <f ca="1">$AO61*IF(Auswahllisten!$G$150,BC$25+BC$25*BC$13*$AN61,BC$25*(1+BC$13)^$AN61)</f>
        <v>0</v>
      </c>
      <c r="BD61" s="69">
        <f t="shared" ca="1" si="37"/>
        <v>0</v>
      </c>
      <c r="BE61" s="69">
        <f t="shared" ca="1" si="38"/>
        <v>0</v>
      </c>
      <c r="BF61" s="69">
        <f t="shared" ca="1" si="39"/>
        <v>0</v>
      </c>
      <c r="BG61" s="69">
        <f t="shared" ca="1" si="40"/>
        <v>0</v>
      </c>
      <c r="BI61" s="69">
        <f t="shared" ca="1" si="67"/>
        <v>0</v>
      </c>
      <c r="BJ61" s="69">
        <f t="shared" ca="1" si="67"/>
        <v>0</v>
      </c>
      <c r="BK61" s="69">
        <f t="shared" si="67"/>
        <v>0</v>
      </c>
      <c r="BL61" s="69">
        <f t="shared" ca="1" si="67"/>
        <v>0</v>
      </c>
      <c r="BM61" s="69">
        <f t="shared" ca="1" si="67"/>
        <v>0</v>
      </c>
      <c r="BN61" s="69">
        <f t="shared" ca="1" si="67"/>
        <v>0</v>
      </c>
      <c r="BO61" s="69">
        <f t="shared" si="67"/>
        <v>0</v>
      </c>
      <c r="BP61" s="69">
        <f t="shared" ca="1" si="82"/>
        <v>0</v>
      </c>
      <c r="BQ61" s="69">
        <f t="shared" ca="1" si="41"/>
        <v>0</v>
      </c>
      <c r="BR61" s="69">
        <f t="shared" ca="1" si="83"/>
        <v>0</v>
      </c>
      <c r="BS61" s="69">
        <f ca="1">$AO61*IF(Auswahllisten!$G$150,BS$25+BS$25*BS$13*$AN61,BS$25*(1+BS$13)^$AN61)</f>
        <v>0</v>
      </c>
      <c r="BT61" s="69">
        <f ca="1">$AO61*IF(Auswahllisten!$G$150,BT$25+BT$25*BT$13*$AN61,BT$25*(1+BT$13)^$AN61)</f>
        <v>0</v>
      </c>
      <c r="BU61" s="69">
        <f ca="1">$AO61*IF(Auswahllisten!$G$150,BU$25+BU$25*BU$13*$AN61,BU$25*(1+BU$13)^$AN61)</f>
        <v>0</v>
      </c>
      <c r="BV61" s="69">
        <f ca="1">$AO61*IF(Auswahllisten!$G$150,BV$25+BV$25*BV$13*$AN61,BV$25*(1+BV$13)^$AN61)</f>
        <v>0</v>
      </c>
      <c r="BW61" s="69">
        <f t="shared" ca="1" si="42"/>
        <v>0</v>
      </c>
      <c r="BX61" s="69">
        <f t="shared" ca="1" si="43"/>
        <v>0</v>
      </c>
      <c r="BY61" s="69">
        <f t="shared" ca="1" si="29"/>
        <v>0</v>
      </c>
      <c r="BZ61" s="69">
        <f t="shared" ca="1" si="30"/>
        <v>0</v>
      </c>
    </row>
    <row r="62" spans="1:78">
      <c r="A62" s="305" t="s">
        <v>1215</v>
      </c>
      <c r="B62" s="126" t="s">
        <v>303</v>
      </c>
      <c r="C62" s="126" t="s">
        <v>1000</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IF($C$5=0,0,INDEX(Faktoren!E48:GQ48,1,VLOOKUP($F$5,$L$2:$O$14,4,FALSE)+$C$9*5+VLOOKUP(D62,Auswahllisten!$E$25:$F$29,2,FALSE)))</f>
        <v>0</v>
      </c>
      <c r="G62" s="26">
        <f t="shared" ref="G62:G69" ca="1" si="90">E62*F62</f>
        <v>0</v>
      </c>
      <c r="H62" s="26" cm="1">
        <f t="array" aca="1" ref="H62" ca="1">INDIRECT("Investition_gewählt!"&amp;$I$6&amp;AA62)</f>
        <v>8800</v>
      </c>
      <c r="I62" s="25" cm="1">
        <f t="array" aca="1" ref="I62" ca="1">IF($C$5=0,0,INDEX(Faktoren!E48:GQ48,1,VLOOKUP($F$6,$L$2:$O$14,4,FALSE)+$C$9*5+VLOOKUP(D62,Auswahllisten!$E$25:$F$29,2,FALSE)))</f>
        <v>0</v>
      </c>
      <c r="J62" s="26">
        <f t="shared" ref="J62:J69" ca="1" si="91">H62*I62</f>
        <v>0</v>
      </c>
      <c r="K62" s="26">
        <f t="shared" ca="1" si="84"/>
        <v>0</v>
      </c>
      <c r="L62" s="16" t="b">
        <f t="shared" ca="1" si="85"/>
        <v>0</v>
      </c>
      <c r="M62" s="26">
        <f t="shared" ca="1" si="86"/>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IF($U$5=0,0,INDEX(Faktoren!E48:GQ48,1,VLOOKUP($X$5,$L$2:$O$14,4,FALSE)+$U$9*5+VLOOKUP(O62,Auswahllisten!$E$25:$F$29,2,FALSE)))</f>
        <v>0</v>
      </c>
      <c r="R62" s="26">
        <f t="shared" ca="1" si="87"/>
        <v>0</v>
      </c>
      <c r="S62" s="26" cm="1">
        <f t="array" aca="1" ref="S62" ca="1">INDIRECT("Investition_gewählt!"&amp;$AA$6&amp;AA62)</f>
        <v>8800</v>
      </c>
      <c r="T62" s="16" cm="1">
        <f t="array" aca="1" ref="T62" ca="1">IF($U$5=0,0,INDEX(Faktoren!E48:QG48,1,VLOOKUP($X$6,$L$3:$O$14,4,FALSE)+$U$9*5+VLOOKUP(O62,Auswahllisten!$E$25:$F$29,2,FALSE)))</f>
        <v>0</v>
      </c>
      <c r="U62" s="26">
        <f t="shared" ca="1" si="88"/>
        <v>0</v>
      </c>
      <c r="V62" s="26">
        <f t="shared" ca="1" si="14"/>
        <v>0</v>
      </c>
      <c r="W62" s="16" t="b">
        <f t="shared" ref="W62:W69" ca="1" si="92">($U$5=$L$60)</f>
        <v>0</v>
      </c>
      <c r="X62" s="26">
        <f t="shared" ca="1" si="89"/>
        <v>0</v>
      </c>
      <c r="Z62" s="1">
        <v>40</v>
      </c>
      <c r="AA62" s="1">
        <v>48</v>
      </c>
      <c r="AB62" s="1">
        <v>-2</v>
      </c>
      <c r="AN62" s="1">
        <v>37</v>
      </c>
      <c r="AO62" s="1">
        <f t="shared" si="24"/>
        <v>0</v>
      </c>
      <c r="AP62" s="69">
        <f t="shared" ref="AP62:AV77" ca="1" si="93">IFERROR($AO62*IF(MOD($AN62,AP$20)=0,AP$25,0)*(1+$AS$10)^$AN62*IF($AS$3=$AN62,0,1),0)</f>
        <v>0</v>
      </c>
      <c r="AQ62" s="69">
        <f t="shared" ca="1" si="93"/>
        <v>0</v>
      </c>
      <c r="AR62" s="69">
        <f t="shared" si="93"/>
        <v>0</v>
      </c>
      <c r="AS62" s="69">
        <f t="shared" ca="1" si="93"/>
        <v>0</v>
      </c>
      <c r="AT62" s="69">
        <f t="shared" ca="1" si="93"/>
        <v>0</v>
      </c>
      <c r="AU62" s="69">
        <f t="shared" ca="1" si="93"/>
        <v>0</v>
      </c>
      <c r="AV62" s="69">
        <f t="shared" si="93"/>
        <v>0</v>
      </c>
      <c r="AW62" s="69">
        <f t="shared" ca="1" si="72"/>
        <v>0</v>
      </c>
      <c r="AX62" s="69">
        <f t="shared" ca="1" si="35"/>
        <v>0</v>
      </c>
      <c r="AY62" s="69">
        <f t="shared" ca="1" si="36"/>
        <v>0</v>
      </c>
      <c r="AZ62" s="69">
        <f ca="1">$AO62*IF(Auswahllisten!$G$150,AZ$25+AZ$25*AZ$13*$AN62,AZ$25*(1+AZ$13)^$AN62)</f>
        <v>0</v>
      </c>
      <c r="BA62" s="69">
        <f ca="1">$AO62*IF(Auswahllisten!$G$150,BA$25+BA$25*BA$13*$AN62,BA$25*(1+BA$13)^$AN62)</f>
        <v>0</v>
      </c>
      <c r="BB62" s="69">
        <f ca="1">$AO62*IF(Auswahllisten!$G$150,BB$25+BB$25*BB$13*$AN62,BB$25*(1+BB$13)^$AN62)</f>
        <v>0</v>
      </c>
      <c r="BC62" s="69">
        <f ca="1">$AO62*IF(Auswahllisten!$G$150,BC$25+BC$25*BC$13*$AN62,BC$25*(1+BC$13)^$AN62)</f>
        <v>0</v>
      </c>
      <c r="BD62" s="69">
        <f t="shared" ca="1" si="37"/>
        <v>0</v>
      </c>
      <c r="BE62" s="69">
        <f t="shared" ca="1" si="38"/>
        <v>0</v>
      </c>
      <c r="BF62" s="69">
        <f t="shared" ca="1" si="39"/>
        <v>0</v>
      </c>
      <c r="BG62" s="69">
        <f t="shared" ca="1" si="40"/>
        <v>0</v>
      </c>
      <c r="BI62" s="69">
        <f t="shared" ca="1" si="67"/>
        <v>0</v>
      </c>
      <c r="BJ62" s="69">
        <f t="shared" ca="1" si="67"/>
        <v>0</v>
      </c>
      <c r="BK62" s="69">
        <f t="shared" si="67"/>
        <v>0</v>
      </c>
      <c r="BL62" s="69">
        <f t="shared" ca="1" si="67"/>
        <v>0</v>
      </c>
      <c r="BM62" s="69">
        <f t="shared" ca="1" si="67"/>
        <v>0</v>
      </c>
      <c r="BN62" s="69">
        <f t="shared" ca="1" si="67"/>
        <v>0</v>
      </c>
      <c r="BO62" s="69">
        <f t="shared" si="67"/>
        <v>0</v>
      </c>
      <c r="BP62" s="69">
        <f t="shared" ca="1" si="82"/>
        <v>0</v>
      </c>
      <c r="BQ62" s="69">
        <f t="shared" ca="1" si="41"/>
        <v>0</v>
      </c>
      <c r="BR62" s="69">
        <f t="shared" ca="1" si="83"/>
        <v>0</v>
      </c>
      <c r="BS62" s="69">
        <f ca="1">$AO62*IF(Auswahllisten!$G$150,BS$25+BS$25*BS$13*$AN62,BS$25*(1+BS$13)^$AN62)</f>
        <v>0</v>
      </c>
      <c r="BT62" s="69">
        <f ca="1">$AO62*IF(Auswahllisten!$G$150,BT$25+BT$25*BT$13*$AN62,BT$25*(1+BT$13)^$AN62)</f>
        <v>0</v>
      </c>
      <c r="BU62" s="69">
        <f ca="1">$AO62*IF(Auswahllisten!$G$150,BU$25+BU$25*BU$13*$AN62,BU$25*(1+BU$13)^$AN62)</f>
        <v>0</v>
      </c>
      <c r="BV62" s="69">
        <f ca="1">$AO62*IF(Auswahllisten!$G$150,BV$25+BV$25*BV$13*$AN62,BV$25*(1+BV$13)^$AN62)</f>
        <v>0</v>
      </c>
      <c r="BW62" s="69">
        <f t="shared" ca="1" si="42"/>
        <v>0</v>
      </c>
      <c r="BX62" s="69">
        <f t="shared" ca="1" si="43"/>
        <v>0</v>
      </c>
      <c r="BY62" s="69">
        <f t="shared" ca="1" si="29"/>
        <v>0</v>
      </c>
      <c r="BZ62" s="69">
        <f t="shared" ca="1" si="30"/>
        <v>0</v>
      </c>
    </row>
    <row r="63" spans="1:78">
      <c r="A63" s="305" t="s">
        <v>1215</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IF($C$5=0,0,INDEX(Faktoren!E49:GQ49,1,VLOOKUP($F$5,$L$2:$O$14,4,FALSE)+$C$9*5+VLOOKUP(D63,Auswahllisten!$E$25:$F$29,2,FALSE)))</f>
        <v>0</v>
      </c>
      <c r="G63" s="26">
        <f t="shared" ca="1" si="90"/>
        <v>0</v>
      </c>
      <c r="H63" s="26" cm="1">
        <f t="array" aca="1" ref="H63" ca="1">INDIRECT("Investition_gewählt!"&amp;$I$6&amp;AA63)</f>
        <v>3600</v>
      </c>
      <c r="I63" s="25" cm="1">
        <f t="array" aca="1" ref="I63" ca="1">IF($C$5=0,0,INDEX(Faktoren!E49:GQ49,1,VLOOKUP($F$6,$L$2:$O$14,4,FALSE)+$C$9*5+VLOOKUP(D63,Auswahllisten!$E$25:$F$29,2,FALSE)))</f>
        <v>0</v>
      </c>
      <c r="J63" s="26">
        <f t="shared" ca="1" si="91"/>
        <v>0</v>
      </c>
      <c r="K63" s="26">
        <f t="shared" ca="1" si="84"/>
        <v>0</v>
      </c>
      <c r="L63" s="16" t="b">
        <f t="shared" ca="1" si="85"/>
        <v>0</v>
      </c>
      <c r="M63" s="26">
        <f t="shared" ca="1" si="86"/>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IF($U$5=0,0,INDEX(Faktoren!E49:GQ49,1,VLOOKUP($X$5,$L$2:$O$14,4,FALSE)+$U$9*5+VLOOKUP(O63,Auswahllisten!$E$25:$F$29,2,FALSE)))</f>
        <v>0</v>
      </c>
      <c r="R63" s="26">
        <f t="shared" ca="1" si="87"/>
        <v>0</v>
      </c>
      <c r="S63" s="26" cm="1">
        <f t="array" aca="1" ref="S63" ca="1">INDIRECT("Investition_gewählt!"&amp;$AA$6&amp;AA63)</f>
        <v>3600</v>
      </c>
      <c r="T63" s="16" cm="1">
        <f t="array" aca="1" ref="T63" ca="1">IF($U$5=0,0,INDEX(Faktoren!E49:QG49,1,VLOOKUP($X$6,$L$3:$O$14,4,FALSE)+$U$9*5+VLOOKUP(O63,Auswahllisten!$E$25:$F$29,2,FALSE)))</f>
        <v>0</v>
      </c>
      <c r="U63" s="26">
        <f t="shared" ca="1" si="88"/>
        <v>0</v>
      </c>
      <c r="V63" s="26">
        <f t="shared" ca="1" si="14"/>
        <v>0</v>
      </c>
      <c r="W63" s="16" t="b">
        <f t="shared" ca="1" si="92"/>
        <v>0</v>
      </c>
      <c r="X63" s="26">
        <f t="shared" ca="1" si="89"/>
        <v>0</v>
      </c>
      <c r="Z63" s="1">
        <v>42</v>
      </c>
      <c r="AA63" s="1">
        <v>49</v>
      </c>
      <c r="AB63" s="1">
        <v>-2</v>
      </c>
      <c r="AN63" s="1">
        <v>38</v>
      </c>
      <c r="AO63" s="1">
        <f t="shared" si="24"/>
        <v>0</v>
      </c>
      <c r="AP63" s="69">
        <f t="shared" ca="1" si="93"/>
        <v>0</v>
      </c>
      <c r="AQ63" s="69">
        <f t="shared" ca="1" si="93"/>
        <v>0</v>
      </c>
      <c r="AR63" s="69">
        <f t="shared" si="93"/>
        <v>0</v>
      </c>
      <c r="AS63" s="69">
        <f t="shared" ca="1" si="93"/>
        <v>0</v>
      </c>
      <c r="AT63" s="69">
        <f t="shared" ca="1" si="93"/>
        <v>0</v>
      </c>
      <c r="AU63" s="69">
        <f t="shared" ca="1" si="93"/>
        <v>0</v>
      </c>
      <c r="AV63" s="69">
        <f t="shared" si="93"/>
        <v>0</v>
      </c>
      <c r="AW63" s="69">
        <f t="shared" ca="1" si="72"/>
        <v>0</v>
      </c>
      <c r="AX63" s="69">
        <f t="shared" ca="1" si="35"/>
        <v>0</v>
      </c>
      <c r="AY63" s="69">
        <f t="shared" ca="1" si="36"/>
        <v>0</v>
      </c>
      <c r="AZ63" s="69">
        <f ca="1">$AO63*IF(Auswahllisten!$G$150,AZ$25+AZ$25*AZ$13*$AN63,AZ$25*(1+AZ$13)^$AN63)</f>
        <v>0</v>
      </c>
      <c r="BA63" s="69">
        <f ca="1">$AO63*IF(Auswahllisten!$G$150,BA$25+BA$25*BA$13*$AN63,BA$25*(1+BA$13)^$AN63)</f>
        <v>0</v>
      </c>
      <c r="BB63" s="69">
        <f ca="1">$AO63*IF(Auswahllisten!$G$150,BB$25+BB$25*BB$13*$AN63,BB$25*(1+BB$13)^$AN63)</f>
        <v>0</v>
      </c>
      <c r="BC63" s="69">
        <f ca="1">$AO63*IF(Auswahllisten!$G$150,BC$25+BC$25*BC$13*$AN63,BC$25*(1+BC$13)^$AN63)</f>
        <v>0</v>
      </c>
      <c r="BD63" s="69">
        <f t="shared" ca="1" si="37"/>
        <v>0</v>
      </c>
      <c r="BE63" s="69">
        <f t="shared" ca="1" si="38"/>
        <v>0</v>
      </c>
      <c r="BF63" s="69">
        <f t="shared" ca="1" si="39"/>
        <v>0</v>
      </c>
      <c r="BG63" s="69">
        <f t="shared" ca="1" si="40"/>
        <v>0</v>
      </c>
      <c r="BI63" s="69">
        <f t="shared" ca="1" si="67"/>
        <v>0</v>
      </c>
      <c r="BJ63" s="69">
        <f t="shared" ca="1" si="67"/>
        <v>0</v>
      </c>
      <c r="BK63" s="69">
        <f t="shared" si="67"/>
        <v>0</v>
      </c>
      <c r="BL63" s="69">
        <f t="shared" ca="1" si="67"/>
        <v>0</v>
      </c>
      <c r="BM63" s="69">
        <f t="shared" ca="1" si="67"/>
        <v>0</v>
      </c>
      <c r="BN63" s="69">
        <f t="shared" ca="1" si="67"/>
        <v>0</v>
      </c>
      <c r="BO63" s="69">
        <f t="shared" si="67"/>
        <v>0</v>
      </c>
      <c r="BP63" s="69">
        <f t="shared" ca="1" si="82"/>
        <v>0</v>
      </c>
      <c r="BQ63" s="69">
        <f t="shared" ca="1" si="41"/>
        <v>0</v>
      </c>
      <c r="BR63" s="69">
        <f t="shared" ca="1" si="83"/>
        <v>0</v>
      </c>
      <c r="BS63" s="69">
        <f ca="1">$AO63*IF(Auswahllisten!$G$150,BS$25+BS$25*BS$13*$AN63,BS$25*(1+BS$13)^$AN63)</f>
        <v>0</v>
      </c>
      <c r="BT63" s="69">
        <f ca="1">$AO63*IF(Auswahllisten!$G$150,BT$25+BT$25*BT$13*$AN63,BT$25*(1+BT$13)^$AN63)</f>
        <v>0</v>
      </c>
      <c r="BU63" s="69">
        <f ca="1">$AO63*IF(Auswahllisten!$G$150,BU$25+BU$25*BU$13*$AN63,BU$25*(1+BU$13)^$AN63)</f>
        <v>0</v>
      </c>
      <c r="BV63" s="69">
        <f ca="1">$AO63*IF(Auswahllisten!$G$150,BV$25+BV$25*BV$13*$AN63,BV$25*(1+BV$13)^$AN63)</f>
        <v>0</v>
      </c>
      <c r="BW63" s="69">
        <f t="shared" ca="1" si="42"/>
        <v>0</v>
      </c>
      <c r="BX63" s="69">
        <f t="shared" ca="1" si="43"/>
        <v>0</v>
      </c>
      <c r="BY63" s="69">
        <f t="shared" ca="1" si="29"/>
        <v>0</v>
      </c>
      <c r="BZ63" s="69">
        <f t="shared" ca="1" si="30"/>
        <v>0</v>
      </c>
    </row>
    <row r="64" spans="1:78">
      <c r="A64" s="305" t="s">
        <v>1218</v>
      </c>
      <c r="B64" s="126" t="s">
        <v>1243</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IF($C$5=0,0,INDEX(Faktoren!E50:GQ50,1,VLOOKUP($F$5,$L$2:$O$14,4,FALSE)+$C$9*5+VLOOKUP(D64,Auswahllisten!$E$25:$F$29,2,FALSE)))</f>
        <v>0</v>
      </c>
      <c r="G64" s="26">
        <f t="shared" ca="1" si="90"/>
        <v>0</v>
      </c>
      <c r="H64" s="26" cm="1">
        <f t="array" aca="1" ref="H64" ca="1">INDIRECT("Investition_gewählt!"&amp;$I$6&amp;AA64)</f>
        <v>1500</v>
      </c>
      <c r="I64" s="25" cm="1">
        <f t="array" aca="1" ref="I64" ca="1">IF($C$5=0,0,INDEX(Faktoren!E50:GQ50,1,VLOOKUP($F$6,$L$2:$O$14,4,FALSE)+$C$9*5+VLOOKUP(D64,Auswahllisten!$E$25:$F$29,2,FALSE)))</f>
        <v>0</v>
      </c>
      <c r="J64" s="26">
        <f t="shared" ca="1" si="91"/>
        <v>0</v>
      </c>
      <c r="K64" s="26">
        <f t="shared" ca="1" si="84"/>
        <v>0</v>
      </c>
      <c r="L64" s="16" t="b">
        <f t="shared" ca="1" si="85"/>
        <v>0</v>
      </c>
      <c r="M64" s="26">
        <f t="shared" ca="1" si="86"/>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IF($U$5=0,0,INDEX(Faktoren!E50:GQ50,1,VLOOKUP($X$5,$L$2:$O$14,4,FALSE)+$U$9*5+VLOOKUP(O64,Auswahllisten!$E$25:$F$29,2,FALSE)))</f>
        <v>0</v>
      </c>
      <c r="R64" s="26">
        <f t="shared" ca="1" si="87"/>
        <v>0</v>
      </c>
      <c r="S64" s="26" cm="1">
        <f t="array" aca="1" ref="S64" ca="1">INDIRECT("Investition_gewählt!"&amp;$AA$6&amp;AA64)</f>
        <v>1500</v>
      </c>
      <c r="T64" s="16" cm="1">
        <f t="array" aca="1" ref="T64" ca="1">IF($U$5=0,0,INDEX(Faktoren!E50:QG50,1,VLOOKUP($X$6,$L$3:$O$14,4,FALSE)+$U$9*5+VLOOKUP(O64,Auswahllisten!$E$25:$F$29,2,FALSE)))</f>
        <v>0</v>
      </c>
      <c r="U64" s="26">
        <f t="shared" ca="1" si="88"/>
        <v>0</v>
      </c>
      <c r="V64" s="26">
        <f t="shared" ca="1" si="14"/>
        <v>0</v>
      </c>
      <c r="W64" s="16" t="b">
        <f t="shared" ca="1" si="92"/>
        <v>0</v>
      </c>
      <c r="X64" s="26">
        <f t="shared" ca="1" si="89"/>
        <v>0</v>
      </c>
      <c r="Z64" s="1">
        <v>41</v>
      </c>
      <c r="AA64" s="1">
        <v>50</v>
      </c>
      <c r="AB64" s="1">
        <v>-2</v>
      </c>
      <c r="AN64" s="1">
        <v>39</v>
      </c>
      <c r="AO64" s="1">
        <f t="shared" si="24"/>
        <v>0</v>
      </c>
      <c r="AP64" s="69">
        <f t="shared" ca="1" si="93"/>
        <v>0</v>
      </c>
      <c r="AQ64" s="69">
        <f t="shared" ca="1" si="93"/>
        <v>0</v>
      </c>
      <c r="AR64" s="69">
        <f t="shared" si="93"/>
        <v>0</v>
      </c>
      <c r="AS64" s="69">
        <f t="shared" ca="1" si="93"/>
        <v>0</v>
      </c>
      <c r="AT64" s="69">
        <f t="shared" ca="1" si="93"/>
        <v>0</v>
      </c>
      <c r="AU64" s="69">
        <f t="shared" ca="1" si="93"/>
        <v>0</v>
      </c>
      <c r="AV64" s="69">
        <f t="shared" si="93"/>
        <v>0</v>
      </c>
      <c r="AW64" s="69">
        <f t="shared" ca="1" si="72"/>
        <v>0</v>
      </c>
      <c r="AX64" s="69">
        <f t="shared" ca="1" si="35"/>
        <v>0</v>
      </c>
      <c r="AY64" s="69">
        <f t="shared" ca="1" si="36"/>
        <v>0</v>
      </c>
      <c r="AZ64" s="69">
        <f ca="1">$AO64*IF(Auswahllisten!$G$150,AZ$25+AZ$25*AZ$13*$AN64,AZ$25*(1+AZ$13)^$AN64)</f>
        <v>0</v>
      </c>
      <c r="BA64" s="69">
        <f ca="1">$AO64*IF(Auswahllisten!$G$150,BA$25+BA$25*BA$13*$AN64,BA$25*(1+BA$13)^$AN64)</f>
        <v>0</v>
      </c>
      <c r="BB64" s="69">
        <f ca="1">$AO64*IF(Auswahllisten!$G$150,BB$25+BB$25*BB$13*$AN64,BB$25*(1+BB$13)^$AN64)</f>
        <v>0</v>
      </c>
      <c r="BC64" s="69">
        <f ca="1">$AO64*IF(Auswahllisten!$G$150,BC$25+BC$25*BC$13*$AN64,BC$25*(1+BC$13)^$AN64)</f>
        <v>0</v>
      </c>
      <c r="BD64" s="69">
        <f t="shared" ca="1" si="37"/>
        <v>0</v>
      </c>
      <c r="BE64" s="69">
        <f t="shared" ca="1" si="38"/>
        <v>0</v>
      </c>
      <c r="BF64" s="69">
        <f t="shared" ca="1" si="39"/>
        <v>0</v>
      </c>
      <c r="BG64" s="69">
        <f t="shared" ca="1" si="40"/>
        <v>0</v>
      </c>
      <c r="BI64" s="69">
        <f t="shared" ca="1" si="67"/>
        <v>0</v>
      </c>
      <c r="BJ64" s="69">
        <f t="shared" ca="1" si="67"/>
        <v>0</v>
      </c>
      <c r="BK64" s="69">
        <f t="shared" si="67"/>
        <v>0</v>
      </c>
      <c r="BL64" s="69">
        <f t="shared" ca="1" si="67"/>
        <v>0</v>
      </c>
      <c r="BM64" s="69">
        <f t="shared" ca="1" si="67"/>
        <v>0</v>
      </c>
      <c r="BN64" s="69">
        <f t="shared" ca="1" si="67"/>
        <v>0</v>
      </c>
      <c r="BO64" s="69">
        <f t="shared" si="67"/>
        <v>0</v>
      </c>
      <c r="BP64" s="69">
        <f t="shared" ca="1" si="82"/>
        <v>0</v>
      </c>
      <c r="BQ64" s="69">
        <f t="shared" ca="1" si="41"/>
        <v>0</v>
      </c>
      <c r="BR64" s="69">
        <f t="shared" ca="1" si="83"/>
        <v>0</v>
      </c>
      <c r="BS64" s="69">
        <f ca="1">$AO64*IF(Auswahllisten!$G$150,BS$25+BS$25*BS$13*$AN64,BS$25*(1+BS$13)^$AN64)</f>
        <v>0</v>
      </c>
      <c r="BT64" s="69">
        <f ca="1">$AO64*IF(Auswahllisten!$G$150,BT$25+BT$25*BT$13*$AN64,BT$25*(1+BT$13)^$AN64)</f>
        <v>0</v>
      </c>
      <c r="BU64" s="69">
        <f ca="1">$AO64*IF(Auswahllisten!$G$150,BU$25+BU$25*BU$13*$AN64,BU$25*(1+BU$13)^$AN64)</f>
        <v>0</v>
      </c>
      <c r="BV64" s="69">
        <f ca="1">$AO64*IF(Auswahllisten!$G$150,BV$25+BV$25*BV$13*$AN64,BV$25*(1+BV$13)^$AN64)</f>
        <v>0</v>
      </c>
      <c r="BW64" s="69">
        <f t="shared" ca="1" si="42"/>
        <v>0</v>
      </c>
      <c r="BX64" s="69">
        <f t="shared" ca="1" si="43"/>
        <v>0</v>
      </c>
      <c r="BY64" s="69">
        <f t="shared" ca="1" si="29"/>
        <v>0</v>
      </c>
      <c r="BZ64" s="69">
        <f t="shared" ca="1" si="30"/>
        <v>0</v>
      </c>
    </row>
    <row r="65" spans="1:78">
      <c r="A65" s="305" t="s">
        <v>1215</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IF($C$5=0,0,INDEX(Faktoren!E51:GQ51,1,VLOOKUP($F$5,$L$2:$O$14,4,FALSE)+$C$9*5+VLOOKUP(D65,Auswahllisten!$E$25:$F$29,2,FALSE)))</f>
        <v>0</v>
      </c>
      <c r="G65" s="26">
        <f t="shared" ca="1" si="90"/>
        <v>0</v>
      </c>
      <c r="H65" s="26" cm="1">
        <f t="array" aca="1" ref="H65" ca="1">INDIRECT("Investition_gewählt!"&amp;$I$6&amp;AA65)</f>
        <v>5600</v>
      </c>
      <c r="I65" s="25" cm="1">
        <f t="array" aca="1" ref="I65" ca="1">IF($C$5=0,0,INDEX(Faktoren!E51:GQ51,1,VLOOKUP($F$6,$L$2:$O$14,4,FALSE)+$C$9*5+VLOOKUP(D65,Auswahllisten!$E$25:$F$29,2,FALSE)))</f>
        <v>0</v>
      </c>
      <c r="J65" s="26">
        <f t="shared" ca="1" si="91"/>
        <v>0</v>
      </c>
      <c r="K65" s="26">
        <f t="shared" ca="1" si="84"/>
        <v>0</v>
      </c>
      <c r="L65" s="16" t="b">
        <f t="shared" ca="1" si="85"/>
        <v>0</v>
      </c>
      <c r="M65" s="26">
        <f t="shared" ca="1" si="86"/>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IF($U$5=0,0,INDEX(Faktoren!E51:GQ51,1,VLOOKUP($X$5,$L$2:$O$14,4,FALSE)+$U$9*5+VLOOKUP(O65,Auswahllisten!$E$25:$F$29,2,FALSE)))</f>
        <v>0</v>
      </c>
      <c r="R65" s="26">
        <f t="shared" ca="1" si="87"/>
        <v>0</v>
      </c>
      <c r="S65" s="26" cm="1">
        <f t="array" aca="1" ref="S65" ca="1">INDIRECT("Investition_gewählt!"&amp;$AA$6&amp;AA65)</f>
        <v>5600</v>
      </c>
      <c r="T65" s="16" cm="1">
        <f t="array" aca="1" ref="T65" ca="1">IF($U$5=0,0,INDEX(Faktoren!E51:QG51,1,VLOOKUP($X$6,$L$3:$O$14,4,FALSE)+$U$9*5+VLOOKUP(O65,Auswahllisten!$E$25:$F$29,2,FALSE)))</f>
        <v>0</v>
      </c>
      <c r="U65" s="26">
        <f t="shared" ca="1" si="88"/>
        <v>0</v>
      </c>
      <c r="V65" s="26">
        <f t="shared" ca="1" si="14"/>
        <v>0</v>
      </c>
      <c r="W65" s="16" t="b">
        <f t="shared" ca="1" si="92"/>
        <v>0</v>
      </c>
      <c r="X65" s="26">
        <f t="shared" ca="1" si="89"/>
        <v>0</v>
      </c>
      <c r="Z65" s="1">
        <v>46</v>
      </c>
      <c r="AA65" s="1">
        <v>51</v>
      </c>
      <c r="AB65" s="1">
        <v>-2</v>
      </c>
      <c r="AN65" s="1">
        <v>40</v>
      </c>
      <c r="AO65" s="1">
        <f t="shared" si="24"/>
        <v>0</v>
      </c>
      <c r="AP65" s="69">
        <f t="shared" ca="1" si="93"/>
        <v>0</v>
      </c>
      <c r="AQ65" s="69">
        <f t="shared" ca="1" si="93"/>
        <v>0</v>
      </c>
      <c r="AR65" s="69">
        <f t="shared" ca="1" si="93"/>
        <v>0</v>
      </c>
      <c r="AS65" s="69">
        <f t="shared" ca="1" si="93"/>
        <v>0</v>
      </c>
      <c r="AT65" s="69">
        <f t="shared" ca="1" si="93"/>
        <v>0</v>
      </c>
      <c r="AU65" s="69">
        <f t="shared" ca="1" si="93"/>
        <v>0</v>
      </c>
      <c r="AV65" s="69">
        <f t="shared" ca="1" si="93"/>
        <v>0</v>
      </c>
      <c r="AW65" s="69">
        <f t="shared" ca="1" si="72"/>
        <v>0</v>
      </c>
      <c r="AX65" s="69">
        <f t="shared" ca="1" si="35"/>
        <v>0</v>
      </c>
      <c r="AY65" s="69">
        <f t="shared" ca="1" si="36"/>
        <v>0</v>
      </c>
      <c r="AZ65" s="69">
        <f ca="1">$AO65*IF(Auswahllisten!$G$150,AZ$25+AZ$25*AZ$13*$AN65,AZ$25*(1+AZ$13)^$AN65)</f>
        <v>0</v>
      </c>
      <c r="BA65" s="69">
        <f ca="1">$AO65*IF(Auswahllisten!$G$150,BA$25+BA$25*BA$13*$AN65,BA$25*(1+BA$13)^$AN65)</f>
        <v>0</v>
      </c>
      <c r="BB65" s="69">
        <f ca="1">$AO65*IF(Auswahllisten!$G$150,BB$25+BB$25*BB$13*$AN65,BB$25*(1+BB$13)^$AN65)</f>
        <v>0</v>
      </c>
      <c r="BC65" s="69">
        <f ca="1">$AO65*IF(Auswahllisten!$G$150,BC$25+BC$25*BC$13*$AN65,BC$25*(1+BC$13)^$AN65)</f>
        <v>0</v>
      </c>
      <c r="BD65" s="69">
        <f t="shared" ca="1" si="37"/>
        <v>0</v>
      </c>
      <c r="BE65" s="69">
        <f t="shared" ca="1" si="38"/>
        <v>0</v>
      </c>
      <c r="BF65" s="69">
        <f t="shared" ca="1" si="39"/>
        <v>0</v>
      </c>
      <c r="BG65" s="69">
        <f t="shared" ca="1" si="40"/>
        <v>0</v>
      </c>
      <c r="BI65" s="69">
        <f t="shared" ca="1" si="67"/>
        <v>0</v>
      </c>
      <c r="BJ65" s="69">
        <f t="shared" ca="1" si="67"/>
        <v>0</v>
      </c>
      <c r="BK65" s="69">
        <f t="shared" si="67"/>
        <v>0</v>
      </c>
      <c r="BL65" s="69">
        <f t="shared" ca="1" si="67"/>
        <v>0</v>
      </c>
      <c r="BM65" s="69">
        <f t="shared" ca="1" si="67"/>
        <v>0</v>
      </c>
      <c r="BN65" s="69">
        <f t="shared" ca="1" si="67"/>
        <v>0</v>
      </c>
      <c r="BO65" s="69">
        <f t="shared" si="67"/>
        <v>0</v>
      </c>
      <c r="BP65" s="69">
        <f t="shared" ca="1" si="82"/>
        <v>0</v>
      </c>
      <c r="BQ65" s="69">
        <f t="shared" ca="1" si="41"/>
        <v>0</v>
      </c>
      <c r="BR65" s="69">
        <f t="shared" ca="1" si="83"/>
        <v>0</v>
      </c>
      <c r="BS65" s="69">
        <f ca="1">$AO65*IF(Auswahllisten!$G$150,BS$25+BS$25*BS$13*$AN65,BS$25*(1+BS$13)^$AN65)</f>
        <v>0</v>
      </c>
      <c r="BT65" s="69">
        <f ca="1">$AO65*IF(Auswahllisten!$G$150,BT$25+BT$25*BT$13*$AN65,BT$25*(1+BT$13)^$AN65)</f>
        <v>0</v>
      </c>
      <c r="BU65" s="69">
        <f ca="1">$AO65*IF(Auswahllisten!$G$150,BU$25+BU$25*BU$13*$AN65,BU$25*(1+BU$13)^$AN65)</f>
        <v>0</v>
      </c>
      <c r="BV65" s="69">
        <f ca="1">$AO65*IF(Auswahllisten!$G$150,BV$25+BV$25*BV$13*$AN65,BV$25*(1+BV$13)^$AN65)</f>
        <v>0</v>
      </c>
      <c r="BW65" s="69">
        <f t="shared" ca="1" si="42"/>
        <v>0</v>
      </c>
      <c r="BX65" s="69">
        <f t="shared" ca="1" si="43"/>
        <v>0</v>
      </c>
      <c r="BY65" s="69">
        <f t="shared" ca="1" si="29"/>
        <v>0</v>
      </c>
      <c r="BZ65" s="69">
        <f t="shared" ca="1" si="30"/>
        <v>0</v>
      </c>
    </row>
    <row r="66" spans="1:78">
      <c r="A66" s="305" t="s">
        <v>1215</v>
      </c>
      <c r="B66" s="126" t="s">
        <v>303</v>
      </c>
      <c r="C66" s="126" t="s">
        <v>966</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IF($C$5=0,0,INDEX(Faktoren!E52:GQ52,1,VLOOKUP($F$5,$L$2:$O$14,4,FALSE)+$C$9*5+VLOOKUP(D66,Auswahllisten!$E$25:$F$29,2,FALSE)))</f>
        <v>0</v>
      </c>
      <c r="G66" s="26">
        <f t="shared" ca="1" si="90"/>
        <v>0</v>
      </c>
      <c r="H66" s="26" cm="1">
        <f t="array" aca="1" ref="H66" ca="1">INDIRECT("Investition_gewählt!"&amp;$I$6&amp;AA66)</f>
        <v>8700</v>
      </c>
      <c r="I66" s="25" cm="1">
        <f t="array" aca="1" ref="I66" ca="1">IF($C$5=0,0,INDEX(Faktoren!E52:GQ52,1,VLOOKUP($F$6,$L$2:$O$14,4,FALSE)+$C$9*5+VLOOKUP(D66,Auswahllisten!$E$25:$F$29,2,FALSE)))</f>
        <v>0</v>
      </c>
      <c r="J66" s="26">
        <f t="shared" ca="1" si="91"/>
        <v>0</v>
      </c>
      <c r="K66" s="26">
        <f t="shared" ca="1" si="84"/>
        <v>0</v>
      </c>
      <c r="L66" s="16" t="b">
        <f t="shared" ca="1" si="85"/>
        <v>0</v>
      </c>
      <c r="M66" s="26">
        <f t="shared" ca="1" si="86"/>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IF($U$5=0,0,INDEX(Faktoren!E52:GQ52,1,VLOOKUP($X$5,$L$2:$O$14,4,FALSE)+$U$9*5+VLOOKUP(O66,Auswahllisten!$E$25:$F$29,2,FALSE)))</f>
        <v>0</v>
      </c>
      <c r="R66" s="26">
        <f t="shared" ca="1" si="87"/>
        <v>0</v>
      </c>
      <c r="S66" s="26" cm="1">
        <f t="array" aca="1" ref="S66" ca="1">INDIRECT("Investition_gewählt!"&amp;$AA$6&amp;AA66)</f>
        <v>8700</v>
      </c>
      <c r="T66" s="16" cm="1">
        <f t="array" aca="1" ref="T66" ca="1">IF($U$5=0,0,INDEX(Faktoren!E52:QG52,1,VLOOKUP($X$6,$L$3:$O$14,4,FALSE)+$U$9*5+VLOOKUP(O66,Auswahllisten!$E$25:$F$29,2,FALSE)))</f>
        <v>0</v>
      </c>
      <c r="U66" s="26">
        <f t="shared" ca="1" si="88"/>
        <v>0</v>
      </c>
      <c r="V66" s="26">
        <f t="shared" ca="1" si="14"/>
        <v>0</v>
      </c>
      <c r="W66" s="16" t="b">
        <f t="shared" ca="1" si="92"/>
        <v>0</v>
      </c>
      <c r="X66" s="26">
        <f t="shared" ca="1" si="89"/>
        <v>0</v>
      </c>
      <c r="Z66" s="1">
        <v>47</v>
      </c>
      <c r="AA66" s="1">
        <v>52</v>
      </c>
      <c r="AB66" s="1">
        <v>-2</v>
      </c>
      <c r="AN66" s="1">
        <v>41</v>
      </c>
      <c r="AO66" s="1">
        <f t="shared" si="24"/>
        <v>0</v>
      </c>
      <c r="AP66" s="69">
        <f t="shared" ca="1" si="93"/>
        <v>0</v>
      </c>
      <c r="AQ66" s="69">
        <f t="shared" ca="1" si="93"/>
        <v>0</v>
      </c>
      <c r="AR66" s="69">
        <f t="shared" si="93"/>
        <v>0</v>
      </c>
      <c r="AS66" s="69">
        <f t="shared" ca="1" si="93"/>
        <v>0</v>
      </c>
      <c r="AT66" s="69">
        <f t="shared" ca="1" si="93"/>
        <v>0</v>
      </c>
      <c r="AU66" s="69">
        <f t="shared" ca="1" si="93"/>
        <v>0</v>
      </c>
      <c r="AV66" s="69">
        <f t="shared" si="93"/>
        <v>0</v>
      </c>
      <c r="AW66" s="69">
        <f t="shared" ca="1" si="72"/>
        <v>0</v>
      </c>
      <c r="AX66" s="69">
        <f t="shared" ca="1" si="35"/>
        <v>0</v>
      </c>
      <c r="AY66" s="69">
        <f t="shared" ca="1" si="36"/>
        <v>0</v>
      </c>
      <c r="AZ66" s="69">
        <f ca="1">$AO66*IF(Auswahllisten!$G$150,AZ$25+AZ$25*AZ$13*$AN66,AZ$25*(1+AZ$13)^$AN66)</f>
        <v>0</v>
      </c>
      <c r="BA66" s="69">
        <f ca="1">$AO66*IF(Auswahllisten!$G$150,BA$25+BA$25*BA$13*$AN66,BA$25*(1+BA$13)^$AN66)</f>
        <v>0</v>
      </c>
      <c r="BB66" s="69">
        <f ca="1">$AO66*IF(Auswahllisten!$G$150,BB$25+BB$25*BB$13*$AN66,BB$25*(1+BB$13)^$AN66)</f>
        <v>0</v>
      </c>
      <c r="BC66" s="69">
        <f ca="1">$AO66*IF(Auswahllisten!$G$150,BC$25+BC$25*BC$13*$AN66,BC$25*(1+BC$13)^$AN66)</f>
        <v>0</v>
      </c>
      <c r="BD66" s="69">
        <f t="shared" ca="1" si="37"/>
        <v>0</v>
      </c>
      <c r="BE66" s="69">
        <f t="shared" ca="1" si="38"/>
        <v>0</v>
      </c>
      <c r="BF66" s="69">
        <f t="shared" ca="1" si="39"/>
        <v>0</v>
      </c>
      <c r="BG66" s="69">
        <f t="shared" ca="1" si="40"/>
        <v>0</v>
      </c>
      <c r="BI66" s="69">
        <f t="shared" ca="1" si="67"/>
        <v>0</v>
      </c>
      <c r="BJ66" s="69">
        <f t="shared" ca="1" si="67"/>
        <v>0</v>
      </c>
      <c r="BK66" s="69">
        <f t="shared" si="67"/>
        <v>0</v>
      </c>
      <c r="BL66" s="69">
        <f t="shared" ca="1" si="67"/>
        <v>0</v>
      </c>
      <c r="BM66" s="69">
        <f t="shared" ca="1" si="67"/>
        <v>0</v>
      </c>
      <c r="BN66" s="69">
        <f t="shared" ca="1" si="67"/>
        <v>0</v>
      </c>
      <c r="BO66" s="69">
        <f t="shared" si="67"/>
        <v>0</v>
      </c>
      <c r="BP66" s="69">
        <f t="shared" ca="1" si="82"/>
        <v>0</v>
      </c>
      <c r="BQ66" s="69">
        <f t="shared" ca="1" si="41"/>
        <v>0</v>
      </c>
      <c r="BR66" s="69">
        <f t="shared" ca="1" si="83"/>
        <v>0</v>
      </c>
      <c r="BS66" s="69">
        <f ca="1">$AO66*IF(Auswahllisten!$G$150,BS$25+BS$25*BS$13*$AN66,BS$25*(1+BS$13)^$AN66)</f>
        <v>0</v>
      </c>
      <c r="BT66" s="69">
        <f ca="1">$AO66*IF(Auswahllisten!$G$150,BT$25+BT$25*BT$13*$AN66,BT$25*(1+BT$13)^$AN66)</f>
        <v>0</v>
      </c>
      <c r="BU66" s="69">
        <f ca="1">$AO66*IF(Auswahllisten!$G$150,BU$25+BU$25*BU$13*$AN66,BU$25*(1+BU$13)^$AN66)</f>
        <v>0</v>
      </c>
      <c r="BV66" s="69">
        <f ca="1">$AO66*IF(Auswahllisten!$G$150,BV$25+BV$25*BV$13*$AN66,BV$25*(1+BV$13)^$AN66)</f>
        <v>0</v>
      </c>
      <c r="BW66" s="69">
        <f t="shared" ca="1" si="42"/>
        <v>0</v>
      </c>
      <c r="BX66" s="69">
        <f t="shared" ca="1" si="43"/>
        <v>0</v>
      </c>
      <c r="BY66" s="69">
        <f t="shared" ca="1" si="29"/>
        <v>0</v>
      </c>
      <c r="BZ66" s="69">
        <f t="shared" ca="1" si="30"/>
        <v>0</v>
      </c>
    </row>
    <row r="67" spans="1:78">
      <c r="A67" s="305" t="s">
        <v>1244</v>
      </c>
      <c r="B67" s="126" t="s">
        <v>1245</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IF($C$5=0,0,INDEX(Faktoren!E53:GQ53,1,VLOOKUP($F$5,$L$2:$O$14,4,FALSE)+$C$9*5+VLOOKUP(D67,Auswahllisten!$E$25:$F$29,2,FALSE)))</f>
        <v>0</v>
      </c>
      <c r="G67" s="26">
        <f t="shared" ca="1" si="90"/>
        <v>0</v>
      </c>
      <c r="H67" s="26" cm="1">
        <f t="array" aca="1" ref="H67" ca="1">INDIRECT("Investition_gewählt!"&amp;$I$6&amp;AA67)</f>
        <v>0</v>
      </c>
      <c r="I67" s="25" cm="1">
        <f t="array" aca="1" ref="I67" ca="1">IF($C$5=0,0,INDEX(Faktoren!E53:GQ53,1,VLOOKUP($F$6,$L$2:$O$14,4,FALSE)+$C$9*5+VLOOKUP(D67,Auswahllisten!$E$25:$F$29,2,FALSE)))</f>
        <v>0</v>
      </c>
      <c r="J67" s="26">
        <f t="shared" ca="1" si="91"/>
        <v>0</v>
      </c>
      <c r="K67" s="26">
        <f t="shared" ca="1" si="84"/>
        <v>0</v>
      </c>
      <c r="L67" s="16" t="b">
        <f t="shared" ca="1" si="85"/>
        <v>0</v>
      </c>
      <c r="M67" s="26">
        <f t="shared" ca="1" si="86"/>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IF($U$5=0,0,INDEX(Faktoren!E53:GQ53,1,VLOOKUP($X$5,$L$2:$O$14,4,FALSE)+$U$9*5+VLOOKUP(O67,Auswahllisten!$E$25:$F$29,2,FALSE)))</f>
        <v>0</v>
      </c>
      <c r="R67" s="26">
        <f t="shared" ca="1" si="87"/>
        <v>0</v>
      </c>
      <c r="S67" s="26" cm="1">
        <f t="array" aca="1" ref="S67" ca="1">INDIRECT("Investition_gewählt!"&amp;$AA$6&amp;AA67)</f>
        <v>0</v>
      </c>
      <c r="T67" s="16" cm="1">
        <f t="array" aca="1" ref="T67" ca="1">IF($U$5=0,0,INDEX(Faktoren!E53:QG53,1,VLOOKUP($X$6,$L$3:$O$14,4,FALSE)+$U$9*5+VLOOKUP(O67,Auswahllisten!$E$25:$F$29,2,FALSE)))</f>
        <v>0</v>
      </c>
      <c r="U67" s="26">
        <f t="shared" ca="1" si="88"/>
        <v>0</v>
      </c>
      <c r="V67" s="26">
        <f t="shared" ca="1" si="14"/>
        <v>0</v>
      </c>
      <c r="W67" s="16" t="b">
        <f t="shared" ca="1" si="92"/>
        <v>0</v>
      </c>
      <c r="X67" s="26">
        <f t="shared" ca="1" si="89"/>
        <v>0</v>
      </c>
      <c r="Z67" s="1">
        <v>51</v>
      </c>
      <c r="AA67" s="1">
        <v>53</v>
      </c>
      <c r="AB67" s="1">
        <v>-2</v>
      </c>
      <c r="AN67" s="1">
        <v>42</v>
      </c>
      <c r="AO67" s="1">
        <f t="shared" si="24"/>
        <v>0</v>
      </c>
      <c r="AP67" s="69">
        <f t="shared" ca="1" si="93"/>
        <v>0</v>
      </c>
      <c r="AQ67" s="69">
        <f t="shared" ca="1" si="93"/>
        <v>0</v>
      </c>
      <c r="AR67" s="69">
        <f t="shared" si="93"/>
        <v>0</v>
      </c>
      <c r="AS67" s="69">
        <f t="shared" ca="1" si="93"/>
        <v>0</v>
      </c>
      <c r="AT67" s="69">
        <f t="shared" ca="1" si="93"/>
        <v>0</v>
      </c>
      <c r="AU67" s="69">
        <f t="shared" ca="1" si="93"/>
        <v>0</v>
      </c>
      <c r="AV67" s="69">
        <f t="shared" si="93"/>
        <v>0</v>
      </c>
      <c r="AW67" s="69">
        <f t="shared" ca="1" si="72"/>
        <v>0</v>
      </c>
      <c r="AX67" s="69">
        <f t="shared" ca="1" si="35"/>
        <v>0</v>
      </c>
      <c r="AY67" s="69">
        <f t="shared" ca="1" si="36"/>
        <v>0</v>
      </c>
      <c r="AZ67" s="69">
        <f ca="1">$AO67*IF(Auswahllisten!$G$150,AZ$25+AZ$25*AZ$13*$AN67,AZ$25*(1+AZ$13)^$AN67)</f>
        <v>0</v>
      </c>
      <c r="BA67" s="69">
        <f ca="1">$AO67*IF(Auswahllisten!$G$150,BA$25+BA$25*BA$13*$AN67,BA$25*(1+BA$13)^$AN67)</f>
        <v>0</v>
      </c>
      <c r="BB67" s="69">
        <f ca="1">$AO67*IF(Auswahllisten!$G$150,BB$25+BB$25*BB$13*$AN67,BB$25*(1+BB$13)^$AN67)</f>
        <v>0</v>
      </c>
      <c r="BC67" s="69">
        <f ca="1">$AO67*IF(Auswahllisten!$G$150,BC$25+BC$25*BC$13*$AN67,BC$25*(1+BC$13)^$AN67)</f>
        <v>0</v>
      </c>
      <c r="BD67" s="69">
        <f t="shared" ca="1" si="37"/>
        <v>0</v>
      </c>
      <c r="BE67" s="69">
        <f t="shared" ca="1" si="38"/>
        <v>0</v>
      </c>
      <c r="BF67" s="69">
        <f t="shared" ca="1" si="39"/>
        <v>0</v>
      </c>
      <c r="BG67" s="69">
        <f t="shared" ca="1" si="40"/>
        <v>0</v>
      </c>
      <c r="BI67" s="69">
        <f t="shared" ca="1" si="67"/>
        <v>0</v>
      </c>
      <c r="BJ67" s="69">
        <f t="shared" ca="1" si="67"/>
        <v>0</v>
      </c>
      <c r="BK67" s="69">
        <f t="shared" si="67"/>
        <v>0</v>
      </c>
      <c r="BL67" s="69">
        <f t="shared" ca="1" si="67"/>
        <v>0</v>
      </c>
      <c r="BM67" s="69">
        <f t="shared" ca="1" si="67"/>
        <v>0</v>
      </c>
      <c r="BN67" s="69">
        <f t="shared" ca="1" si="67"/>
        <v>0</v>
      </c>
      <c r="BO67" s="69">
        <f t="shared" si="67"/>
        <v>0</v>
      </c>
      <c r="BP67" s="69">
        <f t="shared" ca="1" si="82"/>
        <v>0</v>
      </c>
      <c r="BQ67" s="69">
        <f t="shared" ca="1" si="41"/>
        <v>0</v>
      </c>
      <c r="BR67" s="69">
        <f t="shared" ca="1" si="83"/>
        <v>0</v>
      </c>
      <c r="BS67" s="69">
        <f ca="1">$AO67*IF(Auswahllisten!$G$150,BS$25+BS$25*BS$13*$AN67,BS$25*(1+BS$13)^$AN67)</f>
        <v>0</v>
      </c>
      <c r="BT67" s="69">
        <f ca="1">$AO67*IF(Auswahllisten!$G$150,BT$25+BT$25*BT$13*$AN67,BT$25*(1+BT$13)^$AN67)</f>
        <v>0</v>
      </c>
      <c r="BU67" s="69">
        <f ca="1">$AO67*IF(Auswahllisten!$G$150,BU$25+BU$25*BU$13*$AN67,BU$25*(1+BU$13)^$AN67)</f>
        <v>0</v>
      </c>
      <c r="BV67" s="69">
        <f ca="1">$AO67*IF(Auswahllisten!$G$150,BV$25+BV$25*BV$13*$AN67,BV$25*(1+BV$13)^$AN67)</f>
        <v>0</v>
      </c>
      <c r="BW67" s="69">
        <f t="shared" ca="1" si="42"/>
        <v>0</v>
      </c>
      <c r="BX67" s="69">
        <f t="shared" ca="1" si="43"/>
        <v>0</v>
      </c>
      <c r="BY67" s="69">
        <f t="shared" ca="1" si="29"/>
        <v>0</v>
      </c>
      <c r="BZ67" s="69">
        <f t="shared" ca="1" si="30"/>
        <v>0</v>
      </c>
    </row>
    <row r="68" spans="1:78">
      <c r="A68" s="305" t="s">
        <v>1244</v>
      </c>
      <c r="B68" s="126" t="s">
        <v>1245</v>
      </c>
      <c r="C68" s="126" t="s">
        <v>967</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IF($C$5=0,0,INDEX(Faktoren!E54:GQ54,1,VLOOKUP($F$5,$L$2:$O$14,4,FALSE)+$C$9*5+VLOOKUP(D68,Auswahllisten!$E$25:$F$29,2,FALSE)))</f>
        <v>0</v>
      </c>
      <c r="G68" s="26">
        <f t="shared" ca="1" si="90"/>
        <v>0</v>
      </c>
      <c r="H68" s="26" cm="1">
        <f t="array" aca="1" ref="H68" ca="1">INDIRECT("Investition_gewählt!"&amp;$I$6&amp;AA68)</f>
        <v>0</v>
      </c>
      <c r="I68" s="25" cm="1">
        <f t="array" aca="1" ref="I68" ca="1">IF($C$5=0,0,INDEX(Faktoren!E54:GQ54,1,VLOOKUP($F$6,$L$2:$O$14,4,FALSE)+$C$9*5+VLOOKUP(D68,Auswahllisten!$E$25:$F$29,2,FALSE)))</f>
        <v>0</v>
      </c>
      <c r="J68" s="26">
        <f t="shared" ca="1" si="91"/>
        <v>0</v>
      </c>
      <c r="K68" s="26">
        <f t="shared" ca="1" si="84"/>
        <v>0</v>
      </c>
      <c r="L68" s="16" t="b">
        <f t="shared" ca="1" si="85"/>
        <v>0</v>
      </c>
      <c r="M68" s="26">
        <f t="shared" ca="1" si="86"/>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IF($U$5=0,0,INDEX(Faktoren!E54:GQ54,1,VLOOKUP($X$5,$L$2:$O$14,4,FALSE)+$U$9*5+VLOOKUP(O68,Auswahllisten!$E$25:$F$29,2,FALSE)))</f>
        <v>0</v>
      </c>
      <c r="R68" s="26">
        <f t="shared" ca="1" si="87"/>
        <v>0</v>
      </c>
      <c r="S68" s="26" cm="1">
        <f t="array" aca="1" ref="S68" ca="1">INDIRECT("Investition_gewählt!"&amp;$AA$6&amp;AA68)</f>
        <v>0</v>
      </c>
      <c r="T68" s="16" cm="1">
        <f t="array" aca="1" ref="T68" ca="1">IF($U$5=0,0,INDEX(Faktoren!E54:QG54,1,VLOOKUP($X$6,$L$3:$O$14,4,FALSE)+$U$9*5+VLOOKUP(O68,Auswahllisten!$E$25:$F$29,2,FALSE)))</f>
        <v>0</v>
      </c>
      <c r="U68" s="26">
        <f t="shared" ca="1" si="88"/>
        <v>0</v>
      </c>
      <c r="V68" s="26">
        <f t="shared" ca="1" si="14"/>
        <v>0</v>
      </c>
      <c r="W68" s="16" t="b">
        <f t="shared" ca="1" si="92"/>
        <v>0</v>
      </c>
      <c r="X68" s="26">
        <f t="shared" ca="1" si="89"/>
        <v>0</v>
      </c>
      <c r="Z68" s="1">
        <v>49</v>
      </c>
      <c r="AA68" s="1">
        <v>54</v>
      </c>
      <c r="AB68" s="1">
        <v>-2</v>
      </c>
      <c r="AN68" s="1">
        <v>43</v>
      </c>
      <c r="AO68" s="1">
        <f t="shared" si="24"/>
        <v>0</v>
      </c>
      <c r="AP68" s="69">
        <f t="shared" ca="1" si="93"/>
        <v>0</v>
      </c>
      <c r="AQ68" s="69">
        <f t="shared" ca="1" si="93"/>
        <v>0</v>
      </c>
      <c r="AR68" s="69">
        <f t="shared" si="93"/>
        <v>0</v>
      </c>
      <c r="AS68" s="69">
        <f t="shared" ca="1" si="93"/>
        <v>0</v>
      </c>
      <c r="AT68" s="69">
        <f t="shared" ca="1" si="93"/>
        <v>0</v>
      </c>
      <c r="AU68" s="69">
        <f t="shared" ca="1" si="93"/>
        <v>0</v>
      </c>
      <c r="AV68" s="69">
        <f t="shared" si="93"/>
        <v>0</v>
      </c>
      <c r="AW68" s="69">
        <f t="shared" ca="1" si="72"/>
        <v>0</v>
      </c>
      <c r="AX68" s="69">
        <f t="shared" ca="1" si="35"/>
        <v>0</v>
      </c>
      <c r="AY68" s="69">
        <f t="shared" ca="1" si="36"/>
        <v>0</v>
      </c>
      <c r="AZ68" s="69">
        <f ca="1">$AO68*IF(Auswahllisten!$G$150,AZ$25+AZ$25*AZ$13*$AN68,AZ$25*(1+AZ$13)^$AN68)</f>
        <v>0</v>
      </c>
      <c r="BA68" s="69">
        <f ca="1">$AO68*IF(Auswahllisten!$G$150,BA$25+BA$25*BA$13*$AN68,BA$25*(1+BA$13)^$AN68)</f>
        <v>0</v>
      </c>
      <c r="BB68" s="69">
        <f ca="1">$AO68*IF(Auswahllisten!$G$150,BB$25+BB$25*BB$13*$AN68,BB$25*(1+BB$13)^$AN68)</f>
        <v>0</v>
      </c>
      <c r="BC68" s="69">
        <f ca="1">$AO68*IF(Auswahllisten!$G$150,BC$25+BC$25*BC$13*$AN68,BC$25*(1+BC$13)^$AN68)</f>
        <v>0</v>
      </c>
      <c r="BD68" s="69">
        <f t="shared" ca="1" si="37"/>
        <v>0</v>
      </c>
      <c r="BE68" s="69">
        <f t="shared" ca="1" si="38"/>
        <v>0</v>
      </c>
      <c r="BF68" s="69">
        <f t="shared" ca="1" si="39"/>
        <v>0</v>
      </c>
      <c r="BG68" s="69">
        <f t="shared" ca="1" si="40"/>
        <v>0</v>
      </c>
      <c r="BI68" s="69">
        <f t="shared" ca="1" si="67"/>
        <v>0</v>
      </c>
      <c r="BJ68" s="69">
        <f t="shared" ca="1" si="67"/>
        <v>0</v>
      </c>
      <c r="BK68" s="69">
        <f t="shared" si="67"/>
        <v>0</v>
      </c>
      <c r="BL68" s="69">
        <f t="shared" ca="1" si="67"/>
        <v>0</v>
      </c>
      <c r="BM68" s="69">
        <f t="shared" ca="1" si="67"/>
        <v>0</v>
      </c>
      <c r="BN68" s="69">
        <f t="shared" ca="1" si="67"/>
        <v>0</v>
      </c>
      <c r="BO68" s="69">
        <f t="shared" si="67"/>
        <v>0</v>
      </c>
      <c r="BP68" s="69">
        <f t="shared" ca="1" si="82"/>
        <v>0</v>
      </c>
      <c r="BQ68" s="69">
        <f t="shared" ca="1" si="41"/>
        <v>0</v>
      </c>
      <c r="BR68" s="69">
        <f t="shared" ca="1" si="83"/>
        <v>0</v>
      </c>
      <c r="BS68" s="69">
        <f ca="1">$AO68*IF(Auswahllisten!$G$150,BS$25+BS$25*BS$13*$AN68,BS$25*(1+BS$13)^$AN68)</f>
        <v>0</v>
      </c>
      <c r="BT68" s="69">
        <f ca="1">$AO68*IF(Auswahllisten!$G$150,BT$25+BT$25*BT$13*$AN68,BT$25*(1+BT$13)^$AN68)</f>
        <v>0</v>
      </c>
      <c r="BU68" s="69">
        <f ca="1">$AO68*IF(Auswahllisten!$G$150,BU$25+BU$25*BU$13*$AN68,BU$25*(1+BU$13)^$AN68)</f>
        <v>0</v>
      </c>
      <c r="BV68" s="69">
        <f ca="1">$AO68*IF(Auswahllisten!$G$150,BV$25+BV$25*BV$13*$AN68,BV$25*(1+BV$13)^$AN68)</f>
        <v>0</v>
      </c>
      <c r="BW68" s="69">
        <f t="shared" ca="1" si="42"/>
        <v>0</v>
      </c>
      <c r="BX68" s="69">
        <f t="shared" ca="1" si="43"/>
        <v>0</v>
      </c>
      <c r="BY68" s="69">
        <f t="shared" ca="1" si="29"/>
        <v>0</v>
      </c>
      <c r="BZ68" s="69">
        <f t="shared" ca="1" si="30"/>
        <v>0</v>
      </c>
    </row>
    <row r="69" spans="1:78">
      <c r="A69" s="307" t="s">
        <v>1244</v>
      </c>
      <c r="B69" s="297" t="s">
        <v>1245</v>
      </c>
      <c r="C69" s="134" t="s">
        <v>359</v>
      </c>
      <c r="D69" s="163" t="str" cm="1">
        <f t="array" aca="1" ref="D69" ca="1">INDIRECT("Vergleich!"&amp;$G$2&amp;Z69)</f>
        <v>mittel</v>
      </c>
      <c r="E69" s="163" cm="1">
        <f t="array" aca="1" ref="E69" ca="1">INDIRECT("Investition_gewählt!"&amp;$I$5&amp;AA69)</f>
        <v>4500</v>
      </c>
      <c r="F69" s="61" cm="1">
        <f t="array" aca="1" ref="F69" ca="1">IF($C$5=0,0,INDEX(Faktoren!E55:GQ55,1,VLOOKUP($F$5,$L$2:$O$14,4,FALSE)+$C$9*5+VLOOKUP(D69,Auswahllisten!$E$25:$F$29,2,FALSE)))</f>
        <v>0</v>
      </c>
      <c r="G69" s="296">
        <f t="shared" ca="1" si="90"/>
        <v>0</v>
      </c>
      <c r="H69" s="296" cm="1">
        <f t="array" aca="1" ref="H69" ca="1">INDIRECT("Investition_gewählt!"&amp;$I$6&amp;AA69)</f>
        <v>4500</v>
      </c>
      <c r="I69" s="61" cm="1">
        <f t="array" aca="1" ref="I69" ca="1">IF($C$5=0,0,INDEX(Faktoren!E55:GQ55,1,VLOOKUP($F$6,$L$2:$O$14,4,FALSE)+$C$9*5+VLOOKUP(D69,Auswahllisten!$E$25:$F$29,2,FALSE)))</f>
        <v>0</v>
      </c>
      <c r="J69" s="163">
        <f t="shared" ca="1" si="91"/>
        <v>0</v>
      </c>
      <c r="K69" s="163">
        <f t="shared" ca="1" si="84"/>
        <v>0</v>
      </c>
      <c r="L69" s="93" t="b">
        <f t="shared" ca="1" si="85"/>
        <v>0</v>
      </c>
      <c r="M69" s="163">
        <f t="shared" ca="1" si="86"/>
        <v>0</v>
      </c>
      <c r="O69" s="93" t="str" cm="1">
        <f t="array" aca="1" ref="O69" ca="1">INDIRECT("Vergleich!"&amp;$Y$2&amp;Z69)</f>
        <v>gering</v>
      </c>
      <c r="P69" s="163" cm="1">
        <f t="array" aca="1" ref="P69" ca="1">INDIRECT("Investition_gewählt!"&amp;$AA$5&amp;AA69)</f>
        <v>4500</v>
      </c>
      <c r="Q69" s="93" cm="1">
        <f t="array" aca="1" ref="Q69" ca="1">IF($U$5=0,0,INDEX(Faktoren!E55:GQ55,1,VLOOKUP($X$5,$L$2:$O$14,4,FALSE)+$U$9*5+VLOOKUP(O69,Auswahllisten!$E$25:$F$29,2,FALSE)))</f>
        <v>0</v>
      </c>
      <c r="R69" s="163">
        <f t="shared" ca="1" si="87"/>
        <v>0</v>
      </c>
      <c r="S69" s="163" cm="1">
        <f t="array" aca="1" ref="S69" ca="1">INDIRECT("Investition_gewählt!"&amp;$AA$6&amp;AA69)</f>
        <v>4500</v>
      </c>
      <c r="T69" s="93" cm="1">
        <f t="array" aca="1" ref="T69" ca="1">IF($U$5=0,0,INDEX(Faktoren!E55:QG55,1,VLOOKUP($X$6,$L$3:$O$14,4,FALSE)+$U$9*5+VLOOKUP(O69,Auswahllisten!$E$25:$F$29,2,FALSE)))</f>
        <v>0</v>
      </c>
      <c r="U69" s="163">
        <f t="shared" ca="1" si="88"/>
        <v>0</v>
      </c>
      <c r="V69" s="163">
        <f t="shared" ca="1" si="14"/>
        <v>0</v>
      </c>
      <c r="W69" s="93" t="b">
        <f t="shared" ca="1" si="92"/>
        <v>0</v>
      </c>
      <c r="X69" s="163">
        <f t="shared" ca="1" si="89"/>
        <v>0</v>
      </c>
      <c r="Z69" s="1">
        <v>50</v>
      </c>
      <c r="AA69" s="1">
        <v>55</v>
      </c>
      <c r="AB69" s="1">
        <v>-2</v>
      </c>
      <c r="AN69" s="1">
        <v>44</v>
      </c>
      <c r="AO69" s="1">
        <f t="shared" si="24"/>
        <v>0</v>
      </c>
      <c r="AP69" s="69">
        <f t="shared" ca="1" si="93"/>
        <v>0</v>
      </c>
      <c r="AQ69" s="69">
        <f t="shared" ca="1" si="93"/>
        <v>0</v>
      </c>
      <c r="AR69" s="69">
        <f t="shared" si="93"/>
        <v>0</v>
      </c>
      <c r="AS69" s="69">
        <f t="shared" ca="1" si="93"/>
        <v>0</v>
      </c>
      <c r="AT69" s="69">
        <f t="shared" ca="1" si="93"/>
        <v>0</v>
      </c>
      <c r="AU69" s="69">
        <f t="shared" ca="1" si="93"/>
        <v>0</v>
      </c>
      <c r="AV69" s="69">
        <f t="shared" si="93"/>
        <v>0</v>
      </c>
      <c r="AW69" s="69">
        <f t="shared" ca="1" si="72"/>
        <v>0</v>
      </c>
      <c r="AX69" s="69">
        <f t="shared" ca="1" si="35"/>
        <v>0</v>
      </c>
      <c r="AY69" s="69">
        <f t="shared" ca="1" si="36"/>
        <v>0</v>
      </c>
      <c r="AZ69" s="69">
        <f ca="1">$AO69*IF(Auswahllisten!$G$150,AZ$25+AZ$25*AZ$13*$AN69,AZ$25*(1+AZ$13)^$AN69)</f>
        <v>0</v>
      </c>
      <c r="BA69" s="69">
        <f ca="1">$AO69*IF(Auswahllisten!$G$150,BA$25+BA$25*BA$13*$AN69,BA$25*(1+BA$13)^$AN69)</f>
        <v>0</v>
      </c>
      <c r="BB69" s="69">
        <f ca="1">$AO69*IF(Auswahllisten!$G$150,BB$25+BB$25*BB$13*$AN69,BB$25*(1+BB$13)^$AN69)</f>
        <v>0</v>
      </c>
      <c r="BC69" s="69">
        <f ca="1">$AO69*IF(Auswahllisten!$G$150,BC$25+BC$25*BC$13*$AN69,BC$25*(1+BC$13)^$AN69)</f>
        <v>0</v>
      </c>
      <c r="BD69" s="69">
        <f t="shared" ca="1" si="37"/>
        <v>0</v>
      </c>
      <c r="BE69" s="69">
        <f t="shared" ca="1" si="38"/>
        <v>0</v>
      </c>
      <c r="BF69" s="69">
        <f t="shared" ca="1" si="39"/>
        <v>0</v>
      </c>
      <c r="BG69" s="69">
        <f t="shared" ca="1" si="40"/>
        <v>0</v>
      </c>
      <c r="BI69" s="69">
        <f t="shared" ca="1" si="67"/>
        <v>0</v>
      </c>
      <c r="BJ69" s="69">
        <f t="shared" ca="1" si="67"/>
        <v>0</v>
      </c>
      <c r="BK69" s="69">
        <f t="shared" si="67"/>
        <v>0</v>
      </c>
      <c r="BL69" s="69">
        <f t="shared" ca="1" si="67"/>
        <v>0</v>
      </c>
      <c r="BM69" s="69">
        <f t="shared" ca="1" si="67"/>
        <v>0</v>
      </c>
      <c r="BN69" s="69">
        <f t="shared" ca="1" si="67"/>
        <v>0</v>
      </c>
      <c r="BO69" s="69">
        <f t="shared" si="67"/>
        <v>0</v>
      </c>
      <c r="BP69" s="69">
        <f t="shared" ca="1" si="82"/>
        <v>0</v>
      </c>
      <c r="BQ69" s="69">
        <f t="shared" ca="1" si="41"/>
        <v>0</v>
      </c>
      <c r="BR69" s="69">
        <f t="shared" ca="1" si="83"/>
        <v>0</v>
      </c>
      <c r="BS69" s="69">
        <f ca="1">$AO69*IF(Auswahllisten!$G$150,BS$25+BS$25*BS$13*$AN69,BS$25*(1+BS$13)^$AN69)</f>
        <v>0</v>
      </c>
      <c r="BT69" s="69">
        <f ca="1">$AO69*IF(Auswahllisten!$G$150,BT$25+BT$25*BT$13*$AN69,BT$25*(1+BT$13)^$AN69)</f>
        <v>0</v>
      </c>
      <c r="BU69" s="69">
        <f ca="1">$AO69*IF(Auswahllisten!$G$150,BU$25+BU$25*BU$13*$AN69,BU$25*(1+BU$13)^$AN69)</f>
        <v>0</v>
      </c>
      <c r="BV69" s="69">
        <f ca="1">$AO69*IF(Auswahllisten!$G$150,BV$25+BV$25*BV$13*$AN69,BV$25*(1+BV$13)^$AN69)</f>
        <v>0</v>
      </c>
      <c r="BW69" s="69">
        <f t="shared" ca="1" si="42"/>
        <v>0</v>
      </c>
      <c r="BX69" s="69">
        <f t="shared" ca="1" si="43"/>
        <v>0</v>
      </c>
      <c r="BY69" s="69">
        <f t="shared" ca="1" si="29"/>
        <v>0</v>
      </c>
      <c r="BZ69" s="69">
        <f t="shared" ca="1" si="30"/>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24"/>
        <v>0</v>
      </c>
      <c r="AP70" s="69">
        <f t="shared" ca="1" si="93"/>
        <v>0</v>
      </c>
      <c r="AQ70" s="69">
        <f t="shared" ca="1" si="93"/>
        <v>0</v>
      </c>
      <c r="AR70" s="69">
        <f t="shared" si="93"/>
        <v>0</v>
      </c>
      <c r="AS70" s="69">
        <f t="shared" ca="1" si="93"/>
        <v>0</v>
      </c>
      <c r="AT70" s="69">
        <f t="shared" ca="1" si="93"/>
        <v>0</v>
      </c>
      <c r="AU70" s="69">
        <f t="shared" ca="1" si="93"/>
        <v>0</v>
      </c>
      <c r="AV70" s="69">
        <f t="shared" si="93"/>
        <v>0</v>
      </c>
      <c r="AW70" s="69">
        <f t="shared" ca="1" si="72"/>
        <v>0</v>
      </c>
      <c r="AX70" s="69">
        <f t="shared" ca="1" si="35"/>
        <v>0</v>
      </c>
      <c r="AY70" s="69">
        <f t="shared" ca="1" si="36"/>
        <v>0</v>
      </c>
      <c r="AZ70" s="69">
        <f ca="1">$AO70*IF(Auswahllisten!$G$150,AZ$25+AZ$25*AZ$13*$AN70,AZ$25*(1+AZ$13)^$AN70)</f>
        <v>0</v>
      </c>
      <c r="BA70" s="69">
        <f ca="1">$AO70*IF(Auswahllisten!$G$150,BA$25+BA$25*BA$13*$AN70,BA$25*(1+BA$13)^$AN70)</f>
        <v>0</v>
      </c>
      <c r="BB70" s="69">
        <f ca="1">$AO70*IF(Auswahllisten!$G$150,BB$25+BB$25*BB$13*$AN70,BB$25*(1+BB$13)^$AN70)</f>
        <v>0</v>
      </c>
      <c r="BC70" s="69">
        <f ca="1">$AO70*IF(Auswahllisten!$G$150,BC$25+BC$25*BC$13*$AN70,BC$25*(1+BC$13)^$AN70)</f>
        <v>0</v>
      </c>
      <c r="BD70" s="69">
        <f t="shared" ca="1" si="37"/>
        <v>0</v>
      </c>
      <c r="BE70" s="69">
        <f t="shared" ca="1" si="38"/>
        <v>0</v>
      </c>
      <c r="BF70" s="69">
        <f t="shared" ca="1" si="39"/>
        <v>0</v>
      </c>
      <c r="BG70" s="69">
        <f t="shared" ca="1" si="40"/>
        <v>0</v>
      </c>
      <c r="BI70" s="69">
        <f t="shared" ca="1" si="67"/>
        <v>0</v>
      </c>
      <c r="BJ70" s="69">
        <f t="shared" ca="1" si="67"/>
        <v>0</v>
      </c>
      <c r="BK70" s="69">
        <f t="shared" si="67"/>
        <v>0</v>
      </c>
      <c r="BL70" s="69">
        <f t="shared" ca="1" si="67"/>
        <v>0</v>
      </c>
      <c r="BM70" s="69">
        <f t="shared" ca="1" si="67"/>
        <v>0</v>
      </c>
      <c r="BN70" s="69">
        <f t="shared" ca="1" si="67"/>
        <v>0</v>
      </c>
      <c r="BO70" s="69">
        <f t="shared" si="67"/>
        <v>0</v>
      </c>
      <c r="BP70" s="69">
        <f t="shared" ca="1" si="82"/>
        <v>0</v>
      </c>
      <c r="BQ70" s="69">
        <f t="shared" ca="1" si="41"/>
        <v>0</v>
      </c>
      <c r="BR70" s="69">
        <f t="shared" ca="1" si="83"/>
        <v>0</v>
      </c>
      <c r="BS70" s="69">
        <f ca="1">$AO70*IF(Auswahllisten!$G$150,BS$25+BS$25*BS$13*$AN70,BS$25*(1+BS$13)^$AN70)</f>
        <v>0</v>
      </c>
      <c r="BT70" s="69">
        <f ca="1">$AO70*IF(Auswahllisten!$G$150,BT$25+BT$25*BT$13*$AN70,BT$25*(1+BT$13)^$AN70)</f>
        <v>0</v>
      </c>
      <c r="BU70" s="69">
        <f ca="1">$AO70*IF(Auswahllisten!$G$150,BU$25+BU$25*BU$13*$AN70,BU$25*(1+BU$13)^$AN70)</f>
        <v>0</v>
      </c>
      <c r="BV70" s="69">
        <f ca="1">$AO70*IF(Auswahllisten!$G$150,BV$25+BV$25*BV$13*$AN70,BV$25*(1+BV$13)^$AN70)</f>
        <v>0</v>
      </c>
      <c r="BW70" s="69">
        <f t="shared" ca="1" si="42"/>
        <v>0</v>
      </c>
      <c r="BX70" s="69">
        <f t="shared" ca="1" si="43"/>
        <v>0</v>
      </c>
      <c r="BY70" s="69">
        <f t="shared" ca="1" si="29"/>
        <v>0</v>
      </c>
      <c r="BZ70" s="69">
        <f t="shared" ca="1" si="30"/>
        <v>0</v>
      </c>
    </row>
    <row r="71" spans="1:78">
      <c r="A71" s="125" t="s">
        <v>1001</v>
      </c>
      <c r="B71" s="125" t="s">
        <v>143</v>
      </c>
      <c r="C71" s="125"/>
      <c r="D71" s="69"/>
      <c r="E71" s="69"/>
      <c r="G71" s="69"/>
      <c r="H71" s="69"/>
      <c r="J71" s="69"/>
      <c r="K71" s="69"/>
      <c r="L71" s="155">
        <v>7</v>
      </c>
      <c r="M71" s="69"/>
      <c r="P71" s="69"/>
      <c r="R71" s="69"/>
      <c r="S71" s="69"/>
      <c r="U71" s="69"/>
      <c r="V71" s="69"/>
      <c r="X71" s="69"/>
      <c r="AA71" s="1">
        <v>57</v>
      </c>
      <c r="AB71" s="1">
        <v>-2</v>
      </c>
      <c r="AN71" s="1">
        <v>46</v>
      </c>
      <c r="AO71" s="1">
        <f t="shared" si="24"/>
        <v>0</v>
      </c>
      <c r="AP71" s="69">
        <f t="shared" ca="1" si="93"/>
        <v>0</v>
      </c>
      <c r="AQ71" s="69">
        <f t="shared" ca="1" si="93"/>
        <v>0</v>
      </c>
      <c r="AR71" s="69">
        <f t="shared" si="93"/>
        <v>0</v>
      </c>
      <c r="AS71" s="69">
        <f t="shared" ca="1" si="93"/>
        <v>0</v>
      </c>
      <c r="AT71" s="69">
        <f t="shared" ca="1" si="93"/>
        <v>0</v>
      </c>
      <c r="AU71" s="69">
        <f t="shared" ca="1" si="93"/>
        <v>0</v>
      </c>
      <c r="AV71" s="69">
        <f t="shared" si="93"/>
        <v>0</v>
      </c>
      <c r="AW71" s="69">
        <f t="shared" ca="1" si="72"/>
        <v>0</v>
      </c>
      <c r="AX71" s="69">
        <f t="shared" ca="1" si="35"/>
        <v>0</v>
      </c>
      <c r="AY71" s="69">
        <f t="shared" ca="1" si="36"/>
        <v>0</v>
      </c>
      <c r="AZ71" s="69">
        <f ca="1">$AO71*IF(Auswahllisten!$G$150,AZ$25+AZ$25*AZ$13*$AN71,AZ$25*(1+AZ$13)^$AN71)</f>
        <v>0</v>
      </c>
      <c r="BA71" s="69">
        <f ca="1">$AO71*IF(Auswahllisten!$G$150,BA$25+BA$25*BA$13*$AN71,BA$25*(1+BA$13)^$AN71)</f>
        <v>0</v>
      </c>
      <c r="BB71" s="69">
        <f ca="1">$AO71*IF(Auswahllisten!$G$150,BB$25+BB$25*BB$13*$AN71,BB$25*(1+BB$13)^$AN71)</f>
        <v>0</v>
      </c>
      <c r="BC71" s="69">
        <f ca="1">$AO71*IF(Auswahllisten!$G$150,BC$25+BC$25*BC$13*$AN71,BC$25*(1+BC$13)^$AN71)</f>
        <v>0</v>
      </c>
      <c r="BD71" s="69">
        <f t="shared" ca="1" si="37"/>
        <v>0</v>
      </c>
      <c r="BE71" s="69">
        <f t="shared" ca="1" si="38"/>
        <v>0</v>
      </c>
      <c r="BF71" s="69">
        <f t="shared" ca="1" si="39"/>
        <v>0</v>
      </c>
      <c r="BG71" s="69">
        <f t="shared" ca="1" si="40"/>
        <v>0</v>
      </c>
      <c r="BI71" s="69">
        <f t="shared" ca="1" si="67"/>
        <v>0</v>
      </c>
      <c r="BJ71" s="69">
        <f t="shared" ca="1" si="67"/>
        <v>0</v>
      </c>
      <c r="BK71" s="69">
        <f t="shared" si="67"/>
        <v>0</v>
      </c>
      <c r="BL71" s="69">
        <f t="shared" ca="1" si="67"/>
        <v>0</v>
      </c>
      <c r="BM71" s="69">
        <f t="shared" ca="1" si="67"/>
        <v>0</v>
      </c>
      <c r="BN71" s="69">
        <f t="shared" ca="1" si="67"/>
        <v>0</v>
      </c>
      <c r="BO71" s="69">
        <f t="shared" si="67"/>
        <v>0</v>
      </c>
      <c r="BP71" s="69">
        <f t="shared" ca="1" si="82"/>
        <v>0</v>
      </c>
      <c r="BQ71" s="69">
        <f t="shared" ca="1" si="41"/>
        <v>0</v>
      </c>
      <c r="BR71" s="69">
        <f t="shared" ca="1" si="83"/>
        <v>0</v>
      </c>
      <c r="BS71" s="69">
        <f ca="1">$AO71*IF(Auswahllisten!$G$150,BS$25+BS$25*BS$13*$AN71,BS$25*(1+BS$13)^$AN71)</f>
        <v>0</v>
      </c>
      <c r="BT71" s="69">
        <f ca="1">$AO71*IF(Auswahllisten!$G$150,BT$25+BT$25*BT$13*$AN71,BT$25*(1+BT$13)^$AN71)</f>
        <v>0</v>
      </c>
      <c r="BU71" s="69">
        <f ca="1">$AO71*IF(Auswahllisten!$G$150,BU$25+BU$25*BU$13*$AN71,BU$25*(1+BU$13)^$AN71)</f>
        <v>0</v>
      </c>
      <c r="BV71" s="69">
        <f ca="1">$AO71*IF(Auswahllisten!$G$150,BV$25+BV$25*BV$13*$AN71,BV$25*(1+BV$13)^$AN71)</f>
        <v>0</v>
      </c>
      <c r="BW71" s="69">
        <f t="shared" ca="1" si="42"/>
        <v>0</v>
      </c>
      <c r="BX71" s="69">
        <f t="shared" ca="1" si="43"/>
        <v>0</v>
      </c>
      <c r="BY71" s="69">
        <f t="shared" ca="1" si="29"/>
        <v>0</v>
      </c>
      <c r="BZ71" s="69">
        <f t="shared" ca="1" si="30"/>
        <v>0</v>
      </c>
    </row>
    <row r="72" spans="1:78">
      <c r="A72" s="304" t="s">
        <v>1217</v>
      </c>
      <c r="B72" s="131" t="s">
        <v>1242</v>
      </c>
      <c r="C72" s="131" t="s">
        <v>246</v>
      </c>
      <c r="D72" s="162" t="str" cm="1">
        <f t="array" aca="1" ref="D72" ca="1">INDIRECT("Vergleich!"&amp;$G$2&amp;Z72)</f>
        <v>mittel</v>
      </c>
      <c r="E72" s="162" cm="1">
        <f t="array" aca="1" ref="E72" ca="1">INDIRECT("Investition_gewählt!"&amp;$I$5&amp;AA72)</f>
        <v>12200</v>
      </c>
      <c r="F72" s="25" cm="1">
        <f t="array" aca="1" ref="F72" ca="1">IF($C$5=0,0,INDEX(Faktoren!E58:GQ58,1,VLOOKUP($F$5,$L$2:$O$14,4,FALSE)+$C$9*5+VLOOKUP(D72,Auswahllisten!$E$25:$F$29,2,FALSE)))</f>
        <v>0</v>
      </c>
      <c r="G72" s="162">
        <f ca="1">E72*F72</f>
        <v>0</v>
      </c>
      <c r="H72" s="162" cm="1">
        <f t="array" aca="1" ref="H72" ca="1">INDIRECT("Investition_gewählt!"&amp;$I$6&amp;AA72)</f>
        <v>12200</v>
      </c>
      <c r="I72" s="25" cm="1">
        <f t="array" aca="1" ref="I72" ca="1">IF($C$5=0,0,INDEX(Faktoren!E58:GQ58,1,VLOOKUP($F$6,$L$2:$O$14,4,FALSE)+$C$9*5+VLOOKUP(D72,Auswahllisten!$E$25:$F$29,2,FALSE)))</f>
        <v>0</v>
      </c>
      <c r="J72" s="162">
        <f ca="1">H72*I72</f>
        <v>0</v>
      </c>
      <c r="K72" s="162">
        <f t="shared" ref="K72:K79" ca="1" si="94">IF($C$5=0,0,G72+(J72-G72)*($C$6-$F$5)/($F$6-$F$5))</f>
        <v>0</v>
      </c>
      <c r="L72" s="25" t="b">
        <f t="shared" ref="L72:L79" ca="1" si="95">($C$5=$L$71)</f>
        <v>0</v>
      </c>
      <c r="M72" s="162">
        <f t="shared" ref="M72:M79" ca="1" si="96">IFERROR(ROUND(K72*L72,AB72),0)</f>
        <v>0</v>
      </c>
      <c r="O72" s="25" t="str" cm="1">
        <f t="array" aca="1" ref="O72" ca="1">INDIRECT("Vergleich!"&amp;$Y$2&amp;Z72)</f>
        <v>gering</v>
      </c>
      <c r="P72" s="162" cm="1">
        <f t="array" aca="1" ref="P72" ca="1">INDIRECT("Investition_gewählt!"&amp;$AA$5&amp;AA72)</f>
        <v>12200</v>
      </c>
      <c r="Q72" s="25" cm="1">
        <f t="array" aca="1" ref="Q72" ca="1">IF($U$5=0,0,INDEX(Faktoren!E58:GQ58,1,VLOOKUP($X$5,$L$2:$O$14,4,FALSE)+$U$9*5+VLOOKUP(O72,Auswahllisten!$E$25:$F$29,2,FALSE)))</f>
        <v>0</v>
      </c>
      <c r="R72" s="162">
        <f t="shared" ref="R72:R79" ca="1" si="97">P72*Q72</f>
        <v>0</v>
      </c>
      <c r="S72" s="162" cm="1">
        <f t="array" aca="1" ref="S72" ca="1">INDIRECT("Investition_gewählt!"&amp;$AA$6&amp;AA72)</f>
        <v>12200</v>
      </c>
      <c r="T72" s="25" cm="1">
        <f t="array" aca="1" ref="T72" ca="1">IF($U$5=0,0,INDEX(Faktoren!E58:QG58,1,VLOOKUP($X$6,$L$3:$O$14,4,FALSE)+$U$9*5+VLOOKUP(O72,Auswahllisten!$E$25:$F$29,2,FALSE)))</f>
        <v>0</v>
      </c>
      <c r="U72" s="162">
        <f t="shared" ref="U72:U79" ca="1" si="98">S72*T72</f>
        <v>0</v>
      </c>
      <c r="V72" s="162">
        <f t="shared" ca="1" si="14"/>
        <v>0</v>
      </c>
      <c r="W72" s="25" t="b">
        <f ca="1">($U$5=$L$71)</f>
        <v>0</v>
      </c>
      <c r="X72" s="162">
        <f t="shared" ref="X72:X79" ca="1" si="99">IFERROR(ROUND(V72*W72,AB72),0)</f>
        <v>0</v>
      </c>
      <c r="Z72" s="1">
        <v>31</v>
      </c>
      <c r="AA72" s="1">
        <v>58</v>
      </c>
      <c r="AB72" s="1">
        <v>-2</v>
      </c>
      <c r="AN72" s="1">
        <v>47</v>
      </c>
      <c r="AO72" s="1">
        <f t="shared" si="24"/>
        <v>0</v>
      </c>
      <c r="AP72" s="69">
        <f t="shared" ca="1" si="93"/>
        <v>0</v>
      </c>
      <c r="AQ72" s="69">
        <f t="shared" ca="1" si="93"/>
        <v>0</v>
      </c>
      <c r="AR72" s="69">
        <f t="shared" si="93"/>
        <v>0</v>
      </c>
      <c r="AS72" s="69">
        <f t="shared" ca="1" si="93"/>
        <v>0</v>
      </c>
      <c r="AT72" s="69">
        <f t="shared" ca="1" si="93"/>
        <v>0</v>
      </c>
      <c r="AU72" s="69">
        <f t="shared" ca="1" si="93"/>
        <v>0</v>
      </c>
      <c r="AV72" s="69">
        <f t="shared" si="93"/>
        <v>0</v>
      </c>
      <c r="AW72" s="69">
        <f t="shared" ca="1" si="72"/>
        <v>0</v>
      </c>
      <c r="AX72" s="69">
        <f t="shared" ca="1" si="35"/>
        <v>0</v>
      </c>
      <c r="AY72" s="69">
        <f t="shared" ca="1" si="36"/>
        <v>0</v>
      </c>
      <c r="AZ72" s="69">
        <f ca="1">$AO72*IF(Auswahllisten!$G$150,AZ$25+AZ$25*AZ$13*$AN72,AZ$25*(1+AZ$13)^$AN72)</f>
        <v>0</v>
      </c>
      <c r="BA72" s="69">
        <f ca="1">$AO72*IF(Auswahllisten!$G$150,BA$25+BA$25*BA$13*$AN72,BA$25*(1+BA$13)^$AN72)</f>
        <v>0</v>
      </c>
      <c r="BB72" s="69">
        <f ca="1">$AO72*IF(Auswahllisten!$G$150,BB$25+BB$25*BB$13*$AN72,BB$25*(1+BB$13)^$AN72)</f>
        <v>0</v>
      </c>
      <c r="BC72" s="69">
        <f ca="1">$AO72*IF(Auswahllisten!$G$150,BC$25+BC$25*BC$13*$AN72,BC$25*(1+BC$13)^$AN72)</f>
        <v>0</v>
      </c>
      <c r="BD72" s="69">
        <f t="shared" ca="1" si="37"/>
        <v>0</v>
      </c>
      <c r="BE72" s="69">
        <f t="shared" ca="1" si="38"/>
        <v>0</v>
      </c>
      <c r="BF72" s="69">
        <f t="shared" ca="1" si="39"/>
        <v>0</v>
      </c>
      <c r="BG72" s="69">
        <f t="shared" ca="1" si="40"/>
        <v>0</v>
      </c>
      <c r="BI72" s="69">
        <f t="shared" ca="1" si="67"/>
        <v>0</v>
      </c>
      <c r="BJ72" s="69">
        <f t="shared" ca="1" si="67"/>
        <v>0</v>
      </c>
      <c r="BK72" s="69">
        <f t="shared" si="67"/>
        <v>0</v>
      </c>
      <c r="BL72" s="69">
        <f t="shared" ca="1" si="67"/>
        <v>0</v>
      </c>
      <c r="BM72" s="69">
        <f t="shared" ca="1" si="67"/>
        <v>0</v>
      </c>
      <c r="BN72" s="69">
        <f t="shared" ca="1" si="67"/>
        <v>0</v>
      </c>
      <c r="BO72" s="69">
        <f t="shared" si="67"/>
        <v>0</v>
      </c>
      <c r="BP72" s="69">
        <f t="shared" ca="1" si="82"/>
        <v>0</v>
      </c>
      <c r="BQ72" s="69">
        <f t="shared" ca="1" si="41"/>
        <v>0</v>
      </c>
      <c r="BR72" s="69">
        <f t="shared" ca="1" si="83"/>
        <v>0</v>
      </c>
      <c r="BS72" s="69">
        <f ca="1">$AO72*IF(Auswahllisten!$G$150,BS$25+BS$25*BS$13*$AN72,BS$25*(1+BS$13)^$AN72)</f>
        <v>0</v>
      </c>
      <c r="BT72" s="69">
        <f ca="1">$AO72*IF(Auswahllisten!$G$150,BT$25+BT$25*BT$13*$AN72,BT$25*(1+BT$13)^$AN72)</f>
        <v>0</v>
      </c>
      <c r="BU72" s="69">
        <f ca="1">$AO72*IF(Auswahllisten!$G$150,BU$25+BU$25*BU$13*$AN72,BU$25*(1+BU$13)^$AN72)</f>
        <v>0</v>
      </c>
      <c r="BV72" s="69">
        <f ca="1">$AO72*IF(Auswahllisten!$G$150,BV$25+BV$25*BV$13*$AN72,BV$25*(1+BV$13)^$AN72)</f>
        <v>0</v>
      </c>
      <c r="BW72" s="69">
        <f t="shared" ca="1" si="42"/>
        <v>0</v>
      </c>
      <c r="BX72" s="69">
        <f t="shared" ca="1" si="43"/>
        <v>0</v>
      </c>
      <c r="BY72" s="69">
        <f t="shared" ca="1" si="29"/>
        <v>0</v>
      </c>
      <c r="BZ72" s="69">
        <f t="shared" ca="1" si="30"/>
        <v>0</v>
      </c>
    </row>
    <row r="73" spans="1:78">
      <c r="A73" s="305" t="s">
        <v>1215</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IF($C$5=0,0,INDEX(Faktoren!E59:GQ59,1,VLOOKUP($F$5,$L$2:$O$14,4,FALSE)+$C$9*5+VLOOKUP(D73,Auswahllisten!$E$25:$F$29,2,FALSE)))</f>
        <v>0</v>
      </c>
      <c r="G73" s="26">
        <f t="shared" ref="G73:G79" ca="1" si="100">E73*F73</f>
        <v>0</v>
      </c>
      <c r="H73" s="26" cm="1">
        <f t="array" aca="1" ref="H73" ca="1">INDIRECT("Investition_gewählt!"&amp;$I$6&amp;AA73)</f>
        <v>8800</v>
      </c>
      <c r="I73" s="25" cm="1">
        <f t="array" aca="1" ref="I73" ca="1">IF($C$5=0,0,INDEX(Faktoren!E59:GQ59,1,VLOOKUP($F$6,$L$2:$O$14,4,FALSE)+$C$9*5+VLOOKUP(D73,Auswahllisten!$E$25:$F$29,2,FALSE)))</f>
        <v>0</v>
      </c>
      <c r="J73" s="26">
        <f t="shared" ref="J73:J79" ca="1" si="101">H73*I73</f>
        <v>0</v>
      </c>
      <c r="K73" s="26">
        <f t="shared" ca="1" si="94"/>
        <v>0</v>
      </c>
      <c r="L73" s="16" t="b">
        <f t="shared" ca="1" si="95"/>
        <v>0</v>
      </c>
      <c r="M73" s="26">
        <f t="shared" ca="1" si="96"/>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IF($U$5=0,0,INDEX(Faktoren!E59:GQ59,1,VLOOKUP($X$5,$L$2:$O$14,4,FALSE)+$U$9*5+VLOOKUP(O73,Auswahllisten!$E$25:$F$29,2,FALSE)))</f>
        <v>0</v>
      </c>
      <c r="R73" s="26">
        <f t="shared" ca="1" si="97"/>
        <v>0</v>
      </c>
      <c r="S73" s="26" cm="1">
        <f t="array" aca="1" ref="S73" ca="1">INDIRECT("Investition_gewählt!"&amp;$AA$6&amp;AA73)</f>
        <v>8800</v>
      </c>
      <c r="T73" s="16" cm="1">
        <f t="array" aca="1" ref="T73" ca="1">IF($U$5=0,0,INDEX(Faktoren!E59:QG59,1,VLOOKUP($X$6,$L$3:$O$14,4,FALSE)+$U$9*5+VLOOKUP(O73,Auswahllisten!$E$25:$F$29,2,FALSE)))</f>
        <v>0</v>
      </c>
      <c r="U73" s="26">
        <f t="shared" ca="1" si="98"/>
        <v>0</v>
      </c>
      <c r="V73" s="26">
        <f t="shared" ca="1" si="14"/>
        <v>0</v>
      </c>
      <c r="W73" s="16" t="b">
        <f t="shared" ref="W73:W79" ca="1" si="102">($U$5=$L$71)</f>
        <v>0</v>
      </c>
      <c r="X73" s="26">
        <f t="shared" ca="1" si="99"/>
        <v>0</v>
      </c>
      <c r="Z73" s="1">
        <v>40</v>
      </c>
      <c r="AA73" s="1">
        <v>59</v>
      </c>
      <c r="AB73" s="1">
        <v>-2</v>
      </c>
      <c r="AN73" s="1">
        <v>48</v>
      </c>
      <c r="AO73" s="1">
        <f t="shared" si="24"/>
        <v>0</v>
      </c>
      <c r="AP73" s="69">
        <f t="shared" ca="1" si="93"/>
        <v>0</v>
      </c>
      <c r="AQ73" s="69">
        <f t="shared" ca="1" si="93"/>
        <v>0</v>
      </c>
      <c r="AR73" s="69">
        <f t="shared" si="93"/>
        <v>0</v>
      </c>
      <c r="AS73" s="69">
        <f t="shared" ca="1" si="93"/>
        <v>0</v>
      </c>
      <c r="AT73" s="69">
        <f t="shared" ca="1" si="93"/>
        <v>0</v>
      </c>
      <c r="AU73" s="69">
        <f t="shared" ca="1" si="93"/>
        <v>0</v>
      </c>
      <c r="AV73" s="69">
        <f t="shared" si="93"/>
        <v>0</v>
      </c>
      <c r="AW73" s="69">
        <f t="shared" ca="1" si="72"/>
        <v>0</v>
      </c>
      <c r="AX73" s="69">
        <f t="shared" ca="1" si="35"/>
        <v>0</v>
      </c>
      <c r="AY73" s="69">
        <f t="shared" ca="1" si="36"/>
        <v>0</v>
      </c>
      <c r="AZ73" s="69">
        <f ca="1">$AO73*IF(Auswahllisten!$G$150,AZ$25+AZ$25*AZ$13*$AN73,AZ$25*(1+AZ$13)^$AN73)</f>
        <v>0</v>
      </c>
      <c r="BA73" s="69">
        <f ca="1">$AO73*IF(Auswahllisten!$G$150,BA$25+BA$25*BA$13*$AN73,BA$25*(1+BA$13)^$AN73)</f>
        <v>0</v>
      </c>
      <c r="BB73" s="69">
        <f ca="1">$AO73*IF(Auswahllisten!$G$150,BB$25+BB$25*BB$13*$AN73,BB$25*(1+BB$13)^$AN73)</f>
        <v>0</v>
      </c>
      <c r="BC73" s="69">
        <f ca="1">$AO73*IF(Auswahllisten!$G$150,BC$25+BC$25*BC$13*$AN73,BC$25*(1+BC$13)^$AN73)</f>
        <v>0</v>
      </c>
      <c r="BD73" s="69">
        <f t="shared" ca="1" si="37"/>
        <v>0</v>
      </c>
      <c r="BE73" s="69">
        <f t="shared" ca="1" si="38"/>
        <v>0</v>
      </c>
      <c r="BF73" s="69">
        <f t="shared" ca="1" si="39"/>
        <v>0</v>
      </c>
      <c r="BG73" s="69">
        <f t="shared" ca="1" si="40"/>
        <v>0</v>
      </c>
      <c r="BI73" s="69">
        <f t="shared" ca="1" si="67"/>
        <v>0</v>
      </c>
      <c r="BJ73" s="69">
        <f t="shared" ca="1" si="67"/>
        <v>0</v>
      </c>
      <c r="BK73" s="69">
        <f t="shared" si="67"/>
        <v>0</v>
      </c>
      <c r="BL73" s="69">
        <f t="shared" ca="1" si="67"/>
        <v>0</v>
      </c>
      <c r="BM73" s="69">
        <f t="shared" ca="1" si="67"/>
        <v>0</v>
      </c>
      <c r="BN73" s="69">
        <f t="shared" ca="1" si="67"/>
        <v>0</v>
      </c>
      <c r="BO73" s="69">
        <f t="shared" si="67"/>
        <v>0</v>
      </c>
      <c r="BP73" s="69">
        <f t="shared" ca="1" si="82"/>
        <v>0</v>
      </c>
      <c r="BQ73" s="69">
        <f t="shared" ca="1" si="41"/>
        <v>0</v>
      </c>
      <c r="BR73" s="69">
        <f t="shared" ca="1" si="83"/>
        <v>0</v>
      </c>
      <c r="BS73" s="69">
        <f ca="1">$AO73*IF(Auswahllisten!$G$150,BS$25+BS$25*BS$13*$AN73,BS$25*(1+BS$13)^$AN73)</f>
        <v>0</v>
      </c>
      <c r="BT73" s="69">
        <f ca="1">$AO73*IF(Auswahllisten!$G$150,BT$25+BT$25*BT$13*$AN73,BT$25*(1+BT$13)^$AN73)</f>
        <v>0</v>
      </c>
      <c r="BU73" s="69">
        <f ca="1">$AO73*IF(Auswahllisten!$G$150,BU$25+BU$25*BU$13*$AN73,BU$25*(1+BU$13)^$AN73)</f>
        <v>0</v>
      </c>
      <c r="BV73" s="69">
        <f ca="1">$AO73*IF(Auswahllisten!$G$150,BV$25+BV$25*BV$13*$AN73,BV$25*(1+BV$13)^$AN73)</f>
        <v>0</v>
      </c>
      <c r="BW73" s="69">
        <f t="shared" ca="1" si="42"/>
        <v>0</v>
      </c>
      <c r="BX73" s="69">
        <f t="shared" ca="1" si="43"/>
        <v>0</v>
      </c>
      <c r="BY73" s="69">
        <f t="shared" ca="1" si="29"/>
        <v>0</v>
      </c>
      <c r="BZ73" s="69">
        <f t="shared" ca="1" si="30"/>
        <v>0</v>
      </c>
    </row>
    <row r="74" spans="1:78">
      <c r="A74" s="305" t="s">
        <v>1215</v>
      </c>
      <c r="B74" s="126" t="s">
        <v>303</v>
      </c>
      <c r="C74" s="126" t="s">
        <v>965</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IF($C$5=0,0,INDEX(Faktoren!E60:GQ60,1,VLOOKUP($F$5,$L$2:$O$14,4,FALSE)+$C$9*5+VLOOKUP(D74,Auswahllisten!$E$25:$F$29,2,FALSE)))</f>
        <v>0</v>
      </c>
      <c r="G74" s="26">
        <f t="shared" ca="1" si="100"/>
        <v>0</v>
      </c>
      <c r="H74" s="26" cm="1">
        <f t="array" aca="1" ref="H74" ca="1">INDIRECT("Investition_gewählt!"&amp;$I$6&amp;AA74)</f>
        <v>3600</v>
      </c>
      <c r="I74" s="25" cm="1">
        <f t="array" aca="1" ref="I74" ca="1">IF($C$5=0,0,INDEX(Faktoren!E60:GQ60,1,VLOOKUP($F$6,$L$2:$O$14,4,FALSE)+$C$9*5+VLOOKUP(D74,Auswahllisten!$E$25:$F$29,2,FALSE)))</f>
        <v>0</v>
      </c>
      <c r="J74" s="26">
        <f t="shared" ca="1" si="101"/>
        <v>0</v>
      </c>
      <c r="K74" s="26">
        <f t="shared" ca="1" si="94"/>
        <v>0</v>
      </c>
      <c r="L74" s="16" t="b">
        <f t="shared" ca="1" si="95"/>
        <v>0</v>
      </c>
      <c r="M74" s="26">
        <f t="shared" ca="1" si="96"/>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IF($U$5=0,0,INDEX(Faktoren!E60:GQ60,1,VLOOKUP($X$5,$L$2:$O$14,4,FALSE)+$U$9*5+VLOOKUP(O74,Auswahllisten!$E$25:$F$29,2,FALSE)))</f>
        <v>0</v>
      </c>
      <c r="R74" s="26">
        <f t="shared" ca="1" si="97"/>
        <v>0</v>
      </c>
      <c r="S74" s="26" cm="1">
        <f t="array" aca="1" ref="S74" ca="1">INDIRECT("Investition_gewählt!"&amp;$AA$6&amp;AA74)</f>
        <v>3600</v>
      </c>
      <c r="T74" s="16" cm="1">
        <f t="array" aca="1" ref="T74" ca="1">IF($U$5=0,0,INDEX(Faktoren!E60:QG60,1,VLOOKUP($X$6,$L$3:$O$14,4,FALSE)+$U$9*5+VLOOKUP(O74,Auswahllisten!$E$25:$F$29,2,FALSE)))</f>
        <v>0</v>
      </c>
      <c r="U74" s="26">
        <f t="shared" ca="1" si="98"/>
        <v>0</v>
      </c>
      <c r="V74" s="26">
        <f t="shared" ca="1" si="14"/>
        <v>0</v>
      </c>
      <c r="W74" s="16" t="b">
        <f t="shared" ca="1" si="102"/>
        <v>0</v>
      </c>
      <c r="X74" s="26">
        <f t="shared" ca="1" si="99"/>
        <v>0</v>
      </c>
      <c r="Z74" s="1">
        <v>42</v>
      </c>
      <c r="AA74" s="1">
        <v>60</v>
      </c>
      <c r="AB74" s="1">
        <v>-2</v>
      </c>
      <c r="AN74" s="1">
        <v>49</v>
      </c>
      <c r="AO74" s="1">
        <f t="shared" si="24"/>
        <v>0</v>
      </c>
      <c r="AP74" s="69">
        <f t="shared" ca="1" si="93"/>
        <v>0</v>
      </c>
      <c r="AQ74" s="69">
        <f t="shared" ca="1" si="93"/>
        <v>0</v>
      </c>
      <c r="AR74" s="69">
        <f t="shared" si="93"/>
        <v>0</v>
      </c>
      <c r="AS74" s="69">
        <f t="shared" ca="1" si="93"/>
        <v>0</v>
      </c>
      <c r="AT74" s="69">
        <f t="shared" ca="1" si="93"/>
        <v>0</v>
      </c>
      <c r="AU74" s="69">
        <f t="shared" ca="1" si="93"/>
        <v>0</v>
      </c>
      <c r="AV74" s="69">
        <f t="shared" si="93"/>
        <v>0</v>
      </c>
      <c r="AW74" s="69">
        <f t="shared" ca="1" si="72"/>
        <v>0</v>
      </c>
      <c r="AX74" s="69">
        <f t="shared" ca="1" si="35"/>
        <v>0</v>
      </c>
      <c r="AY74" s="69">
        <f t="shared" ca="1" si="36"/>
        <v>0</v>
      </c>
      <c r="AZ74" s="69">
        <f ca="1">$AO74*IF(Auswahllisten!$G$150,AZ$25+AZ$25*AZ$13*$AN74,AZ$25*(1+AZ$13)^$AN74)</f>
        <v>0</v>
      </c>
      <c r="BA74" s="69">
        <f ca="1">$AO74*IF(Auswahllisten!$G$150,BA$25+BA$25*BA$13*$AN74,BA$25*(1+BA$13)^$AN74)</f>
        <v>0</v>
      </c>
      <c r="BB74" s="69">
        <f ca="1">$AO74*IF(Auswahllisten!$G$150,BB$25+BB$25*BB$13*$AN74,BB$25*(1+BB$13)^$AN74)</f>
        <v>0</v>
      </c>
      <c r="BC74" s="69">
        <f ca="1">$AO74*IF(Auswahllisten!$G$150,BC$25+BC$25*BC$13*$AN74,BC$25*(1+BC$13)^$AN74)</f>
        <v>0</v>
      </c>
      <c r="BD74" s="69">
        <f t="shared" ca="1" si="37"/>
        <v>0</v>
      </c>
      <c r="BE74" s="69">
        <f t="shared" ca="1" si="38"/>
        <v>0</v>
      </c>
      <c r="BF74" s="69">
        <f t="shared" ca="1" si="39"/>
        <v>0</v>
      </c>
      <c r="BG74" s="69">
        <f t="shared" ca="1" si="40"/>
        <v>0</v>
      </c>
      <c r="BI74" s="69">
        <f t="shared" ca="1" si="67"/>
        <v>0</v>
      </c>
      <c r="BJ74" s="69">
        <f t="shared" ca="1" si="67"/>
        <v>0</v>
      </c>
      <c r="BK74" s="69">
        <f t="shared" si="67"/>
        <v>0</v>
      </c>
      <c r="BL74" s="69">
        <f t="shared" ca="1" si="67"/>
        <v>0</v>
      </c>
      <c r="BM74" s="69">
        <f t="shared" ca="1" si="67"/>
        <v>0</v>
      </c>
      <c r="BN74" s="69">
        <f t="shared" ca="1" si="67"/>
        <v>0</v>
      </c>
      <c r="BO74" s="69">
        <f t="shared" si="67"/>
        <v>0</v>
      </c>
      <c r="BP74" s="69">
        <f t="shared" ca="1" si="82"/>
        <v>0</v>
      </c>
      <c r="BQ74" s="69">
        <f t="shared" ca="1" si="41"/>
        <v>0</v>
      </c>
      <c r="BR74" s="69">
        <f t="shared" ca="1" si="83"/>
        <v>0</v>
      </c>
      <c r="BS74" s="69">
        <f ca="1">$AO74*IF(Auswahllisten!$G$150,BS$25+BS$25*BS$13*$AN74,BS$25*(1+BS$13)^$AN74)</f>
        <v>0</v>
      </c>
      <c r="BT74" s="69">
        <f ca="1">$AO74*IF(Auswahllisten!$G$150,BT$25+BT$25*BT$13*$AN74,BT$25*(1+BT$13)^$AN74)</f>
        <v>0</v>
      </c>
      <c r="BU74" s="69">
        <f ca="1">$AO74*IF(Auswahllisten!$G$150,BU$25+BU$25*BU$13*$AN74,BU$25*(1+BU$13)^$AN74)</f>
        <v>0</v>
      </c>
      <c r="BV74" s="69">
        <f ca="1">$AO74*IF(Auswahllisten!$G$150,BV$25+BV$25*BV$13*$AN74,BV$25*(1+BV$13)^$AN74)</f>
        <v>0</v>
      </c>
      <c r="BW74" s="69">
        <f t="shared" ca="1" si="42"/>
        <v>0</v>
      </c>
      <c r="BX74" s="69">
        <f t="shared" ca="1" si="43"/>
        <v>0</v>
      </c>
      <c r="BY74" s="69">
        <f t="shared" ca="1" si="29"/>
        <v>0</v>
      </c>
      <c r="BZ74" s="69">
        <f t="shared" ca="1" si="30"/>
        <v>0</v>
      </c>
    </row>
    <row r="75" spans="1:78">
      <c r="A75" s="305" t="s">
        <v>1218</v>
      </c>
      <c r="B75" s="126" t="s">
        <v>1243</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IF($C$5=0,0,INDEX(Faktoren!E61:GQ61,1,VLOOKUP($F$5,$L$2:$O$14,4,FALSE)+$C$9*5+VLOOKUP(D75,Auswahllisten!$E$25:$F$29,2,FALSE)))</f>
        <v>0</v>
      </c>
      <c r="G75" s="26">
        <f t="shared" ca="1" si="100"/>
        <v>0</v>
      </c>
      <c r="H75" s="26" cm="1">
        <f t="array" aca="1" ref="H75" ca="1">INDIRECT("Investition_gewählt!"&amp;$I$6&amp;AA75)</f>
        <v>1500</v>
      </c>
      <c r="I75" s="25" cm="1">
        <f t="array" aca="1" ref="I75" ca="1">IF($C$5=0,0,INDEX(Faktoren!E61:GQ61,1,VLOOKUP($F$6,$L$2:$O$14,4,FALSE)+$C$9*5+VLOOKUP(D75,Auswahllisten!$E$25:$F$29,2,FALSE)))</f>
        <v>0</v>
      </c>
      <c r="J75" s="26">
        <f t="shared" ca="1" si="101"/>
        <v>0</v>
      </c>
      <c r="K75" s="26">
        <f t="shared" ca="1" si="94"/>
        <v>0</v>
      </c>
      <c r="L75" s="16" t="b">
        <f t="shared" ca="1" si="95"/>
        <v>0</v>
      </c>
      <c r="M75" s="26">
        <f t="shared" ca="1" si="96"/>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IF($U$5=0,0,INDEX(Faktoren!E61:GQ61,1,VLOOKUP($X$5,$L$2:$O$14,4,FALSE)+$U$9*5+VLOOKUP(O75,Auswahllisten!$E$25:$F$29,2,FALSE)))</f>
        <v>0</v>
      </c>
      <c r="R75" s="26">
        <f t="shared" ca="1" si="97"/>
        <v>0</v>
      </c>
      <c r="S75" s="26" cm="1">
        <f t="array" aca="1" ref="S75" ca="1">INDIRECT("Investition_gewählt!"&amp;$AA$6&amp;AA75)</f>
        <v>1500</v>
      </c>
      <c r="T75" s="16" cm="1">
        <f t="array" aca="1" ref="T75" ca="1">IF($U$5=0,0,INDEX(Faktoren!E61:QG61,1,VLOOKUP($X$6,$L$3:$O$14,4,FALSE)+$U$9*5+VLOOKUP(O75,Auswahllisten!$E$25:$F$29,2,FALSE)))</f>
        <v>0</v>
      </c>
      <c r="U75" s="26">
        <f t="shared" ca="1" si="98"/>
        <v>0</v>
      </c>
      <c r="V75" s="26">
        <f t="shared" ca="1" si="14"/>
        <v>0</v>
      </c>
      <c r="W75" s="16" t="b">
        <f t="shared" ca="1" si="102"/>
        <v>0</v>
      </c>
      <c r="X75" s="26">
        <f t="shared" ca="1" si="99"/>
        <v>0</v>
      </c>
      <c r="Z75" s="1">
        <v>41</v>
      </c>
      <c r="AA75" s="1">
        <v>61</v>
      </c>
      <c r="AB75" s="1">
        <v>-2</v>
      </c>
      <c r="AN75" s="1">
        <v>50</v>
      </c>
      <c r="AO75" s="1">
        <f t="shared" si="24"/>
        <v>0</v>
      </c>
      <c r="AP75" s="69">
        <f t="shared" ca="1" si="93"/>
        <v>0</v>
      </c>
      <c r="AQ75" s="69">
        <f t="shared" ca="1" si="93"/>
        <v>0</v>
      </c>
      <c r="AR75" s="69">
        <f t="shared" si="93"/>
        <v>0</v>
      </c>
      <c r="AS75" s="69">
        <f t="shared" ca="1" si="93"/>
        <v>0</v>
      </c>
      <c r="AT75" s="69">
        <f t="shared" ca="1" si="93"/>
        <v>0</v>
      </c>
      <c r="AU75" s="69">
        <f t="shared" ca="1" si="93"/>
        <v>0</v>
      </c>
      <c r="AV75" s="69">
        <f t="shared" si="93"/>
        <v>0</v>
      </c>
      <c r="AW75" s="69">
        <f t="shared" ca="1" si="72"/>
        <v>0</v>
      </c>
      <c r="AX75" s="69">
        <f t="shared" ca="1" si="35"/>
        <v>0</v>
      </c>
      <c r="AY75" s="69">
        <f t="shared" ca="1" si="36"/>
        <v>0</v>
      </c>
      <c r="AZ75" s="69">
        <f ca="1">$AO75*IF(Auswahllisten!$G$150,AZ$25+AZ$25*AZ$13*$AN75,AZ$25*(1+AZ$13)^$AN75)</f>
        <v>0</v>
      </c>
      <c r="BA75" s="69">
        <f ca="1">$AO75*IF(Auswahllisten!$G$150,BA$25+BA$25*BA$13*$AN75,BA$25*(1+BA$13)^$AN75)</f>
        <v>0</v>
      </c>
      <c r="BB75" s="69">
        <f ca="1">$AO75*IF(Auswahllisten!$G$150,BB$25+BB$25*BB$13*$AN75,BB$25*(1+BB$13)^$AN75)</f>
        <v>0</v>
      </c>
      <c r="BC75" s="69">
        <f ca="1">$AO75*IF(Auswahllisten!$G$150,BC$25+BC$25*BC$13*$AN75,BC$25*(1+BC$13)^$AN75)</f>
        <v>0</v>
      </c>
      <c r="BD75" s="69">
        <f t="shared" ca="1" si="37"/>
        <v>0</v>
      </c>
      <c r="BE75" s="69">
        <f t="shared" ca="1" si="38"/>
        <v>0</v>
      </c>
      <c r="BF75" s="69">
        <f t="shared" ca="1" si="39"/>
        <v>0</v>
      </c>
      <c r="BG75" s="69">
        <f t="shared" ca="1" si="40"/>
        <v>0</v>
      </c>
      <c r="BI75" s="69">
        <f t="shared" ca="1" si="67"/>
        <v>0</v>
      </c>
      <c r="BJ75" s="69">
        <f t="shared" ca="1" si="67"/>
        <v>0</v>
      </c>
      <c r="BK75" s="69">
        <f t="shared" si="67"/>
        <v>0</v>
      </c>
      <c r="BL75" s="69">
        <f t="shared" ca="1" si="67"/>
        <v>0</v>
      </c>
      <c r="BM75" s="69">
        <f t="shared" ca="1" si="67"/>
        <v>0</v>
      </c>
      <c r="BN75" s="69">
        <f t="shared" ca="1" si="67"/>
        <v>0</v>
      </c>
      <c r="BO75" s="69">
        <f t="shared" si="67"/>
        <v>0</v>
      </c>
      <c r="BP75" s="69">
        <f t="shared" ca="1" si="82"/>
        <v>0</v>
      </c>
      <c r="BQ75" s="69">
        <f t="shared" ca="1" si="41"/>
        <v>0</v>
      </c>
      <c r="BR75" s="69">
        <f t="shared" ca="1" si="83"/>
        <v>0</v>
      </c>
      <c r="BS75" s="69">
        <f ca="1">$AO75*IF(Auswahllisten!$G$150,BS$25+BS$25*BS$13*$AN75,BS$25*(1+BS$13)^$AN75)</f>
        <v>0</v>
      </c>
      <c r="BT75" s="69">
        <f ca="1">$AO75*IF(Auswahllisten!$G$150,BT$25+BT$25*BT$13*$AN75,BT$25*(1+BT$13)^$AN75)</f>
        <v>0</v>
      </c>
      <c r="BU75" s="69">
        <f ca="1">$AO75*IF(Auswahllisten!$G$150,BU$25+BU$25*BU$13*$AN75,BU$25*(1+BU$13)^$AN75)</f>
        <v>0</v>
      </c>
      <c r="BV75" s="69">
        <f ca="1">$AO75*IF(Auswahllisten!$G$150,BV$25+BV$25*BV$13*$AN75,BV$25*(1+BV$13)^$AN75)</f>
        <v>0</v>
      </c>
      <c r="BW75" s="69">
        <f t="shared" ca="1" si="42"/>
        <v>0</v>
      </c>
      <c r="BX75" s="69">
        <f t="shared" ca="1" si="43"/>
        <v>0</v>
      </c>
      <c r="BY75" s="69">
        <f t="shared" ca="1" si="29"/>
        <v>0</v>
      </c>
      <c r="BZ75" s="69">
        <f t="shared" ca="1" si="30"/>
        <v>0</v>
      </c>
    </row>
    <row r="76" spans="1:78">
      <c r="A76" s="305" t="s">
        <v>1215</v>
      </c>
      <c r="B76" s="126" t="s">
        <v>303</v>
      </c>
      <c r="C76" s="126" t="s">
        <v>966</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IF($C$5=0,0,INDEX(Faktoren!E62:GQ62,1,VLOOKUP($F$5,$L$2:$O$14,4,FALSE)+$C$9*5+VLOOKUP(D76,Auswahllisten!$E$25:$F$29,2,FALSE)))</f>
        <v>0</v>
      </c>
      <c r="G76" s="26">
        <f t="shared" ca="1" si="100"/>
        <v>0</v>
      </c>
      <c r="H76" s="26" cm="1">
        <f t="array" aca="1" ref="H76" ca="1">INDIRECT("Investition_gewählt!"&amp;$I$6&amp;AA76)</f>
        <v>8700</v>
      </c>
      <c r="I76" s="25" cm="1">
        <f t="array" aca="1" ref="I76" ca="1">IF($C$5=0,0,INDEX(Faktoren!E62:GQ62,1,VLOOKUP($F$6,$L$2:$O$14,4,FALSE)+$C$9*5+VLOOKUP(D76,Auswahllisten!$E$25:$F$29,2,FALSE)))</f>
        <v>0</v>
      </c>
      <c r="J76" s="26">
        <f t="shared" ca="1" si="101"/>
        <v>0</v>
      </c>
      <c r="K76" s="26">
        <f t="shared" ca="1" si="94"/>
        <v>0</v>
      </c>
      <c r="L76" s="16" t="b">
        <f t="shared" ca="1" si="95"/>
        <v>0</v>
      </c>
      <c r="M76" s="26">
        <f t="shared" ca="1" si="96"/>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IF($U$5=0,0,INDEX(Faktoren!E62:GQ62,1,VLOOKUP($X$5,$L$2:$O$14,4,FALSE)+$U$9*5+VLOOKUP(O76,Auswahllisten!$E$25:$F$29,2,FALSE)))</f>
        <v>0</v>
      </c>
      <c r="R76" s="26">
        <f t="shared" ca="1" si="97"/>
        <v>0</v>
      </c>
      <c r="S76" s="26" cm="1">
        <f t="array" aca="1" ref="S76" ca="1">INDIRECT("Investition_gewählt!"&amp;$AA$6&amp;AA76)</f>
        <v>8700</v>
      </c>
      <c r="T76" s="16" cm="1">
        <f t="array" aca="1" ref="T76" ca="1">IF($U$5=0,0,INDEX(Faktoren!E62:QG62,1,VLOOKUP($X$6,$L$3:$O$14,4,FALSE)+$U$9*5+VLOOKUP(O76,Auswahllisten!$E$25:$F$29,2,FALSE)))</f>
        <v>0</v>
      </c>
      <c r="U76" s="26">
        <f t="shared" ca="1" si="98"/>
        <v>0</v>
      </c>
      <c r="V76" s="26">
        <f t="shared" ca="1" si="14"/>
        <v>0</v>
      </c>
      <c r="W76" s="16" t="b">
        <f t="shared" ca="1" si="102"/>
        <v>0</v>
      </c>
      <c r="X76" s="26">
        <f t="shared" ca="1" si="99"/>
        <v>0</v>
      </c>
      <c r="Z76" s="1">
        <v>47</v>
      </c>
      <c r="AA76" s="1">
        <v>62</v>
      </c>
      <c r="AB76" s="1">
        <v>-2</v>
      </c>
      <c r="AN76" s="1">
        <v>51</v>
      </c>
      <c r="AO76" s="1">
        <f t="shared" si="24"/>
        <v>0</v>
      </c>
      <c r="AP76" s="69">
        <f t="shared" ca="1" si="93"/>
        <v>0</v>
      </c>
      <c r="AQ76" s="69">
        <f t="shared" ca="1" si="93"/>
        <v>0</v>
      </c>
      <c r="AR76" s="69">
        <f t="shared" si="93"/>
        <v>0</v>
      </c>
      <c r="AS76" s="69">
        <f t="shared" ca="1" si="93"/>
        <v>0</v>
      </c>
      <c r="AT76" s="69">
        <f t="shared" ca="1" si="93"/>
        <v>0</v>
      </c>
      <c r="AU76" s="69">
        <f t="shared" ca="1" si="93"/>
        <v>0</v>
      </c>
      <c r="AV76" s="69">
        <f t="shared" si="93"/>
        <v>0</v>
      </c>
      <c r="AW76" s="69">
        <f t="shared" ca="1" si="72"/>
        <v>0</v>
      </c>
      <c r="AX76" s="69">
        <f t="shared" ca="1" si="35"/>
        <v>0</v>
      </c>
      <c r="AY76" s="69">
        <f t="shared" ca="1" si="36"/>
        <v>0</v>
      </c>
      <c r="AZ76" s="69">
        <f ca="1">$AO76*IF(Auswahllisten!$G$150,AZ$25+AZ$25*AZ$13*$AN76,AZ$25*(1+AZ$13)^$AN76)</f>
        <v>0</v>
      </c>
      <c r="BA76" s="69">
        <f ca="1">$AO76*IF(Auswahllisten!$G$150,BA$25+BA$25*BA$13*$AN76,BA$25*(1+BA$13)^$AN76)</f>
        <v>0</v>
      </c>
      <c r="BB76" s="69">
        <f ca="1">$AO76*IF(Auswahllisten!$G$150,BB$25+BB$25*BB$13*$AN76,BB$25*(1+BB$13)^$AN76)</f>
        <v>0</v>
      </c>
      <c r="BC76" s="69">
        <f ca="1">$AO76*IF(Auswahllisten!$G$150,BC$25+BC$25*BC$13*$AN76,BC$25*(1+BC$13)^$AN76)</f>
        <v>0</v>
      </c>
      <c r="BD76" s="69">
        <f t="shared" ca="1" si="37"/>
        <v>0</v>
      </c>
      <c r="BE76" s="69">
        <f t="shared" ca="1" si="38"/>
        <v>0</v>
      </c>
      <c r="BF76" s="69">
        <f t="shared" ca="1" si="39"/>
        <v>0</v>
      </c>
      <c r="BG76" s="69">
        <f t="shared" ca="1" si="40"/>
        <v>0</v>
      </c>
      <c r="BI76" s="69">
        <f t="shared" ca="1" si="67"/>
        <v>0</v>
      </c>
      <c r="BJ76" s="69">
        <f t="shared" ca="1" si="67"/>
        <v>0</v>
      </c>
      <c r="BK76" s="69">
        <f t="shared" si="67"/>
        <v>0</v>
      </c>
      <c r="BL76" s="69">
        <f t="shared" ca="1" si="67"/>
        <v>0</v>
      </c>
      <c r="BM76" s="69">
        <f t="shared" ca="1" si="67"/>
        <v>0</v>
      </c>
      <c r="BN76" s="69">
        <f t="shared" ca="1" si="67"/>
        <v>0</v>
      </c>
      <c r="BO76" s="69">
        <f t="shared" si="67"/>
        <v>0</v>
      </c>
      <c r="BP76" s="69">
        <f t="shared" ca="1" si="82"/>
        <v>0</v>
      </c>
      <c r="BQ76" s="69">
        <f t="shared" ca="1" si="41"/>
        <v>0</v>
      </c>
      <c r="BR76" s="69">
        <f t="shared" ca="1" si="83"/>
        <v>0</v>
      </c>
      <c r="BS76" s="69">
        <f ca="1">$AO76*IF(Auswahllisten!$G$150,BS$25+BS$25*BS$13*$AN76,BS$25*(1+BS$13)^$AN76)</f>
        <v>0</v>
      </c>
      <c r="BT76" s="69">
        <f ca="1">$AO76*IF(Auswahllisten!$G$150,BT$25+BT$25*BT$13*$AN76,BT$25*(1+BT$13)^$AN76)</f>
        <v>0</v>
      </c>
      <c r="BU76" s="69">
        <f ca="1">$AO76*IF(Auswahllisten!$G$150,BU$25+BU$25*BU$13*$AN76,BU$25*(1+BU$13)^$AN76)</f>
        <v>0</v>
      </c>
      <c r="BV76" s="69">
        <f ca="1">$AO76*IF(Auswahllisten!$G$150,BV$25+BV$25*BV$13*$AN76,BV$25*(1+BV$13)^$AN76)</f>
        <v>0</v>
      </c>
      <c r="BW76" s="69">
        <f t="shared" ca="1" si="42"/>
        <v>0</v>
      </c>
      <c r="BX76" s="69">
        <f t="shared" ca="1" si="43"/>
        <v>0</v>
      </c>
      <c r="BY76" s="69">
        <f t="shared" ca="1" si="29"/>
        <v>0</v>
      </c>
      <c r="BZ76" s="69">
        <f t="shared" ca="1" si="30"/>
        <v>0</v>
      </c>
    </row>
    <row r="77" spans="1:78">
      <c r="A77" s="305" t="s">
        <v>1244</v>
      </c>
      <c r="B77" s="126" t="s">
        <v>1245</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IF($C$5=0,0,INDEX(Faktoren!E63:GQ63,1,VLOOKUP($F$5,$L$2:$O$14,4,FALSE)+$C$9*5+VLOOKUP(D77,Auswahllisten!$E$25:$F$29,2,FALSE)))</f>
        <v>0</v>
      </c>
      <c r="G77" s="26">
        <f t="shared" ca="1" si="100"/>
        <v>0</v>
      </c>
      <c r="H77" s="26" cm="1">
        <f t="array" aca="1" ref="H77" ca="1">INDIRECT("Investition_gewählt!"&amp;$I$6&amp;AA77)</f>
        <v>0</v>
      </c>
      <c r="I77" s="25" cm="1">
        <f t="array" aca="1" ref="I77" ca="1">IF($C$5=0,0,INDEX(Faktoren!E63:GQ63,1,VLOOKUP($F$6,$L$2:$O$14,4,FALSE)+$C$9*5+VLOOKUP(D77,Auswahllisten!$E$25:$F$29,2,FALSE)))</f>
        <v>0</v>
      </c>
      <c r="J77" s="26">
        <f t="shared" ca="1" si="101"/>
        <v>0</v>
      </c>
      <c r="K77" s="26">
        <f t="shared" ca="1" si="94"/>
        <v>0</v>
      </c>
      <c r="L77" s="16" t="b">
        <f t="shared" ca="1" si="95"/>
        <v>0</v>
      </c>
      <c r="M77" s="26">
        <f t="shared" ca="1" si="96"/>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IF($U$5=0,0,INDEX(Faktoren!E63:GQ63,1,VLOOKUP($X$5,$L$2:$O$14,4,FALSE)+$U$9*5+VLOOKUP(O77,Auswahllisten!$E$25:$F$29,2,FALSE)))</f>
        <v>0</v>
      </c>
      <c r="R77" s="26">
        <f t="shared" ca="1" si="97"/>
        <v>0</v>
      </c>
      <c r="S77" s="26" cm="1">
        <f t="array" aca="1" ref="S77" ca="1">INDIRECT("Investition_gewählt!"&amp;$AA$6&amp;AA77)</f>
        <v>0</v>
      </c>
      <c r="T77" s="16" cm="1">
        <f t="array" aca="1" ref="T77" ca="1">IF($U$5=0,0,INDEX(Faktoren!E63:QG63,1,VLOOKUP($X$6,$L$3:$O$14,4,FALSE)+$U$9*5+VLOOKUP(O77,Auswahllisten!$E$25:$F$29,2,FALSE)))</f>
        <v>0</v>
      </c>
      <c r="U77" s="26">
        <f t="shared" ca="1" si="98"/>
        <v>0</v>
      </c>
      <c r="V77" s="26">
        <f t="shared" ca="1" si="14"/>
        <v>0</v>
      </c>
      <c r="W77" s="16" t="b">
        <f t="shared" ca="1" si="102"/>
        <v>0</v>
      </c>
      <c r="X77" s="26">
        <f t="shared" ca="1" si="99"/>
        <v>0</v>
      </c>
      <c r="Z77" s="1">
        <v>51</v>
      </c>
      <c r="AA77" s="1">
        <v>63</v>
      </c>
      <c r="AB77" s="1">
        <v>-2</v>
      </c>
      <c r="AN77" s="1">
        <v>52</v>
      </c>
      <c r="AO77" s="1">
        <f t="shared" si="24"/>
        <v>0</v>
      </c>
      <c r="AP77" s="69">
        <f t="shared" ca="1" si="93"/>
        <v>0</v>
      </c>
      <c r="AQ77" s="69">
        <f t="shared" ca="1" si="93"/>
        <v>0</v>
      </c>
      <c r="AR77" s="69">
        <f t="shared" si="93"/>
        <v>0</v>
      </c>
      <c r="AS77" s="69">
        <f t="shared" ca="1" si="93"/>
        <v>0</v>
      </c>
      <c r="AT77" s="69">
        <f t="shared" ca="1" si="93"/>
        <v>0</v>
      </c>
      <c r="AU77" s="69">
        <f t="shared" ca="1" si="93"/>
        <v>0</v>
      </c>
      <c r="AV77" s="69">
        <f t="shared" si="93"/>
        <v>0</v>
      </c>
      <c r="AW77" s="69">
        <f t="shared" ca="1" si="72"/>
        <v>0</v>
      </c>
      <c r="AX77" s="69">
        <f t="shared" ca="1" si="35"/>
        <v>0</v>
      </c>
      <c r="AY77" s="69">
        <f t="shared" ca="1" si="36"/>
        <v>0</v>
      </c>
      <c r="AZ77" s="69">
        <f ca="1">$AO77*IF(Auswahllisten!$G$150,AZ$25+AZ$25*AZ$13*$AN77,AZ$25*(1+AZ$13)^$AN77)</f>
        <v>0</v>
      </c>
      <c r="BA77" s="69">
        <f ca="1">$AO77*IF(Auswahllisten!$G$150,BA$25+BA$25*BA$13*$AN77,BA$25*(1+BA$13)^$AN77)</f>
        <v>0</v>
      </c>
      <c r="BB77" s="69">
        <f ca="1">$AO77*IF(Auswahllisten!$G$150,BB$25+BB$25*BB$13*$AN77,BB$25*(1+BB$13)^$AN77)</f>
        <v>0</v>
      </c>
      <c r="BC77" s="69">
        <f ca="1">$AO77*IF(Auswahllisten!$G$150,BC$25+BC$25*BC$13*$AN77,BC$25*(1+BC$13)^$AN77)</f>
        <v>0</v>
      </c>
      <c r="BD77" s="69">
        <f t="shared" ca="1" si="37"/>
        <v>0</v>
      </c>
      <c r="BE77" s="69">
        <f t="shared" ca="1" si="38"/>
        <v>0</v>
      </c>
      <c r="BF77" s="69">
        <f t="shared" ca="1" si="39"/>
        <v>0</v>
      </c>
      <c r="BG77" s="69">
        <f t="shared" ca="1" si="40"/>
        <v>0</v>
      </c>
      <c r="BI77" s="69">
        <f t="shared" ca="1" si="67"/>
        <v>0</v>
      </c>
      <c r="BJ77" s="69">
        <f t="shared" ca="1" si="67"/>
        <v>0</v>
      </c>
      <c r="BK77" s="69">
        <f t="shared" si="67"/>
        <v>0</v>
      </c>
      <c r="BL77" s="69">
        <f t="shared" ca="1" si="67"/>
        <v>0</v>
      </c>
      <c r="BM77" s="69">
        <f t="shared" ca="1" si="67"/>
        <v>0</v>
      </c>
      <c r="BN77" s="69">
        <f t="shared" ca="1" si="67"/>
        <v>0</v>
      </c>
      <c r="BO77" s="69">
        <f t="shared" si="67"/>
        <v>0</v>
      </c>
      <c r="BP77" s="69">
        <f t="shared" ca="1" si="82"/>
        <v>0</v>
      </c>
      <c r="BQ77" s="69">
        <f t="shared" ca="1" si="41"/>
        <v>0</v>
      </c>
      <c r="BR77" s="69">
        <f t="shared" ca="1" si="83"/>
        <v>0</v>
      </c>
      <c r="BS77" s="69">
        <f ca="1">$AO77*IF(Auswahllisten!$G$150,BS$25+BS$25*BS$13*$AN77,BS$25*(1+BS$13)^$AN77)</f>
        <v>0</v>
      </c>
      <c r="BT77" s="69">
        <f ca="1">$AO77*IF(Auswahllisten!$G$150,BT$25+BT$25*BT$13*$AN77,BT$25*(1+BT$13)^$AN77)</f>
        <v>0</v>
      </c>
      <c r="BU77" s="69">
        <f ca="1">$AO77*IF(Auswahllisten!$G$150,BU$25+BU$25*BU$13*$AN77,BU$25*(1+BU$13)^$AN77)</f>
        <v>0</v>
      </c>
      <c r="BV77" s="69">
        <f ca="1">$AO77*IF(Auswahllisten!$G$150,BV$25+BV$25*BV$13*$AN77,BV$25*(1+BV$13)^$AN77)</f>
        <v>0</v>
      </c>
      <c r="BW77" s="69">
        <f t="shared" ca="1" si="42"/>
        <v>0</v>
      </c>
      <c r="BX77" s="69">
        <f t="shared" ca="1" si="43"/>
        <v>0</v>
      </c>
      <c r="BY77" s="69">
        <f t="shared" ca="1" si="29"/>
        <v>0</v>
      </c>
      <c r="BZ77" s="69">
        <f t="shared" ca="1" si="30"/>
        <v>0</v>
      </c>
    </row>
    <row r="78" spans="1:78">
      <c r="A78" s="305" t="s">
        <v>1244</v>
      </c>
      <c r="B78" s="126" t="s">
        <v>1245</v>
      </c>
      <c r="C78" s="126" t="s">
        <v>967</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IF($C$5=0,0,INDEX(Faktoren!E64:GQ64,1,VLOOKUP($F$5,$L$2:$O$14,4,FALSE)+$C$9*5+VLOOKUP(D78,Auswahllisten!$E$25:$F$29,2,FALSE)))</f>
        <v>0</v>
      </c>
      <c r="G78" s="26">
        <f t="shared" ca="1" si="100"/>
        <v>0</v>
      </c>
      <c r="H78" s="26" cm="1">
        <f t="array" aca="1" ref="H78" ca="1">INDIRECT("Investition_gewählt!"&amp;$I$6&amp;AA78)</f>
        <v>0</v>
      </c>
      <c r="I78" s="25" cm="1">
        <f t="array" aca="1" ref="I78" ca="1">IF($C$5=0,0,INDEX(Faktoren!E64:GQ64,1,VLOOKUP($F$6,$L$2:$O$14,4,FALSE)+$C$9*5+VLOOKUP(D78,Auswahllisten!$E$25:$F$29,2,FALSE)))</f>
        <v>0</v>
      </c>
      <c r="J78" s="26">
        <f t="shared" ca="1" si="101"/>
        <v>0</v>
      </c>
      <c r="K78" s="26">
        <f t="shared" ca="1" si="94"/>
        <v>0</v>
      </c>
      <c r="L78" s="16" t="b">
        <f t="shared" ca="1" si="95"/>
        <v>0</v>
      </c>
      <c r="M78" s="26">
        <f t="shared" ca="1" si="96"/>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IF($U$5=0,0,INDEX(Faktoren!E64:GQ64,1,VLOOKUP($X$5,$L$2:$O$14,4,FALSE)+$U$9*5+VLOOKUP(O78,Auswahllisten!$E$25:$F$29,2,FALSE)))</f>
        <v>0</v>
      </c>
      <c r="R78" s="26">
        <f t="shared" ca="1" si="97"/>
        <v>0</v>
      </c>
      <c r="S78" s="26" cm="1">
        <f t="array" aca="1" ref="S78" ca="1">INDIRECT("Investition_gewählt!"&amp;$AA$6&amp;AA78)</f>
        <v>0</v>
      </c>
      <c r="T78" s="16" cm="1">
        <f t="array" aca="1" ref="T78" ca="1">IF($U$5=0,0,INDEX(Faktoren!E64:QG64,1,VLOOKUP($X$6,$L$3:$O$14,4,FALSE)+$U$9*5+VLOOKUP(O78,Auswahllisten!$E$25:$F$29,2,FALSE)))</f>
        <v>0</v>
      </c>
      <c r="U78" s="26">
        <f t="shared" ca="1" si="98"/>
        <v>0</v>
      </c>
      <c r="V78" s="26">
        <f t="shared" ca="1" si="14"/>
        <v>0</v>
      </c>
      <c r="W78" s="16" t="b">
        <f t="shared" ca="1" si="102"/>
        <v>0</v>
      </c>
      <c r="X78" s="26">
        <f t="shared" ca="1" si="99"/>
        <v>0</v>
      </c>
      <c r="Z78" s="1">
        <v>49</v>
      </c>
      <c r="AA78" s="1">
        <v>64</v>
      </c>
      <c r="AB78" s="1">
        <v>-2</v>
      </c>
      <c r="AN78" s="1">
        <v>53</v>
      </c>
      <c r="AO78" s="1">
        <f t="shared" si="24"/>
        <v>0</v>
      </c>
      <c r="AP78" s="69">
        <f t="shared" ref="AP78:AV93" ca="1" si="103">IFERROR($AO78*IF(MOD($AN78,AP$20)=0,AP$25,0)*(1+$AS$10)^$AN78*IF($AS$3=$AN78,0,1),0)</f>
        <v>0</v>
      </c>
      <c r="AQ78" s="69">
        <f t="shared" ca="1" si="103"/>
        <v>0</v>
      </c>
      <c r="AR78" s="69">
        <f t="shared" si="103"/>
        <v>0</v>
      </c>
      <c r="AS78" s="69">
        <f t="shared" ca="1" si="103"/>
        <v>0</v>
      </c>
      <c r="AT78" s="69">
        <f t="shared" ca="1" si="103"/>
        <v>0</v>
      </c>
      <c r="AU78" s="69">
        <f t="shared" ca="1" si="103"/>
        <v>0</v>
      </c>
      <c r="AV78" s="69">
        <f t="shared" si="103"/>
        <v>0</v>
      </c>
      <c r="AW78" s="69">
        <f t="shared" ca="1" si="72"/>
        <v>0</v>
      </c>
      <c r="AX78" s="69">
        <f t="shared" ca="1" si="35"/>
        <v>0</v>
      </c>
      <c r="AY78" s="69">
        <f t="shared" ca="1" si="36"/>
        <v>0</v>
      </c>
      <c r="AZ78" s="69">
        <f ca="1">$AO78*IF(Auswahllisten!$G$150,AZ$25+AZ$25*AZ$13*$AN78,AZ$25*(1+AZ$13)^$AN78)</f>
        <v>0</v>
      </c>
      <c r="BA78" s="69">
        <f ca="1">$AO78*IF(Auswahllisten!$G$150,BA$25+BA$25*BA$13*$AN78,BA$25*(1+BA$13)^$AN78)</f>
        <v>0</v>
      </c>
      <c r="BB78" s="69">
        <f ca="1">$AO78*IF(Auswahllisten!$G$150,BB$25+BB$25*BB$13*$AN78,BB$25*(1+BB$13)^$AN78)</f>
        <v>0</v>
      </c>
      <c r="BC78" s="69">
        <f ca="1">$AO78*IF(Auswahllisten!$G$150,BC$25+BC$25*BC$13*$AN78,BC$25*(1+BC$13)^$AN78)</f>
        <v>0</v>
      </c>
      <c r="BD78" s="69">
        <f t="shared" ca="1" si="37"/>
        <v>0</v>
      </c>
      <c r="BE78" s="69">
        <f t="shared" ca="1" si="38"/>
        <v>0</v>
      </c>
      <c r="BF78" s="69">
        <f t="shared" ca="1" si="39"/>
        <v>0</v>
      </c>
      <c r="BG78" s="69">
        <f t="shared" ca="1" si="40"/>
        <v>0</v>
      </c>
      <c r="BI78" s="69">
        <f t="shared" ca="1" si="67"/>
        <v>0</v>
      </c>
      <c r="BJ78" s="69">
        <f t="shared" ca="1" si="67"/>
        <v>0</v>
      </c>
      <c r="BK78" s="69">
        <f t="shared" si="67"/>
        <v>0</v>
      </c>
      <c r="BL78" s="69">
        <f t="shared" ref="BL78:BO86" ca="1" si="104">IFERROR($AO78*IF(MOD($AN78,BL$20)=0,BL$25,0)*(1+$AS$10)^$AN78*IF($AS$3=$AN78,0,1),0)</f>
        <v>0</v>
      </c>
      <c r="BM78" s="69">
        <f t="shared" ca="1" si="104"/>
        <v>0</v>
      </c>
      <c r="BN78" s="69">
        <f t="shared" ca="1" si="104"/>
        <v>0</v>
      </c>
      <c r="BO78" s="69">
        <f t="shared" si="104"/>
        <v>0</v>
      </c>
      <c r="BP78" s="69">
        <f t="shared" ca="1" si="82"/>
        <v>0</v>
      </c>
      <c r="BQ78" s="69">
        <f t="shared" ca="1" si="41"/>
        <v>0</v>
      </c>
      <c r="BR78" s="69">
        <f t="shared" ca="1" si="83"/>
        <v>0</v>
      </c>
      <c r="BS78" s="69">
        <f ca="1">$AO78*IF(Auswahllisten!$G$150,BS$25+BS$25*BS$13*$AN78,BS$25*(1+BS$13)^$AN78)</f>
        <v>0</v>
      </c>
      <c r="BT78" s="69">
        <f ca="1">$AO78*IF(Auswahllisten!$G$150,BT$25+BT$25*BT$13*$AN78,BT$25*(1+BT$13)^$AN78)</f>
        <v>0</v>
      </c>
      <c r="BU78" s="69">
        <f ca="1">$AO78*IF(Auswahllisten!$G$150,BU$25+BU$25*BU$13*$AN78,BU$25*(1+BU$13)^$AN78)</f>
        <v>0</v>
      </c>
      <c r="BV78" s="69">
        <f ca="1">$AO78*IF(Auswahllisten!$G$150,BV$25+BV$25*BV$13*$AN78,BV$25*(1+BV$13)^$AN78)</f>
        <v>0</v>
      </c>
      <c r="BW78" s="69">
        <f t="shared" ca="1" si="42"/>
        <v>0</v>
      </c>
      <c r="BX78" s="69">
        <f t="shared" ca="1" si="43"/>
        <v>0</v>
      </c>
      <c r="BY78" s="69">
        <f t="shared" ca="1" si="29"/>
        <v>0</v>
      </c>
      <c r="BZ78" s="69">
        <f t="shared" ca="1" si="30"/>
        <v>0</v>
      </c>
    </row>
    <row r="79" spans="1:78">
      <c r="A79" s="307" t="s">
        <v>1244</v>
      </c>
      <c r="B79" s="297" t="s">
        <v>1245</v>
      </c>
      <c r="C79" s="134" t="s">
        <v>359</v>
      </c>
      <c r="D79" s="163" t="str" cm="1">
        <f t="array" aca="1" ref="D79" ca="1">INDIRECT("Vergleich!"&amp;$G$2&amp;Z79)</f>
        <v>mittel</v>
      </c>
      <c r="E79" s="163" cm="1">
        <f t="array" aca="1" ref="E79" ca="1">INDIRECT("Investition_gewählt!"&amp;$I$5&amp;AA79)</f>
        <v>4500</v>
      </c>
      <c r="F79" s="61" cm="1">
        <f t="array" aca="1" ref="F79" ca="1">IF($C$5=0,0,INDEX(Faktoren!E65:GQ65,1,VLOOKUP($F$5,$L$2:$O$14,4,FALSE)+$C$9*5+VLOOKUP(D79,Auswahllisten!$E$25:$F$29,2,FALSE)))</f>
        <v>0</v>
      </c>
      <c r="G79" s="296">
        <f t="shared" ca="1" si="100"/>
        <v>0</v>
      </c>
      <c r="H79" s="296" cm="1">
        <f t="array" aca="1" ref="H79" ca="1">INDIRECT("Investition_gewählt!"&amp;$I$6&amp;AA79)</f>
        <v>4500</v>
      </c>
      <c r="I79" s="61" cm="1">
        <f t="array" aca="1" ref="I79" ca="1">IF($C$5=0,0,INDEX(Faktoren!E65:GQ65,1,VLOOKUP($F$6,$L$2:$O$14,4,FALSE)+$C$9*5+VLOOKUP(D79,Auswahllisten!$E$25:$F$29,2,FALSE)))</f>
        <v>0</v>
      </c>
      <c r="J79" s="163">
        <f t="shared" ca="1" si="101"/>
        <v>0</v>
      </c>
      <c r="K79" s="163">
        <f t="shared" ca="1" si="94"/>
        <v>0</v>
      </c>
      <c r="L79" s="93" t="b">
        <f t="shared" ca="1" si="95"/>
        <v>0</v>
      </c>
      <c r="M79" s="163">
        <f t="shared" ca="1" si="96"/>
        <v>0</v>
      </c>
      <c r="O79" s="93" t="str" cm="1">
        <f t="array" aca="1" ref="O79" ca="1">INDIRECT("Vergleich!"&amp;$Y$2&amp;Z79)</f>
        <v>gering</v>
      </c>
      <c r="P79" s="163" cm="1">
        <f t="array" aca="1" ref="P79" ca="1">INDIRECT("Investition_gewählt!"&amp;$AA$5&amp;AA79)</f>
        <v>4500</v>
      </c>
      <c r="Q79" s="93" cm="1">
        <f t="array" aca="1" ref="Q79" ca="1">IF($U$5=0,0,INDEX(Faktoren!E65:GQ65,1,VLOOKUP($X$5,$L$2:$O$14,4,FALSE)+$U$9*5+VLOOKUP(O79,Auswahllisten!$E$25:$F$29,2,FALSE)))</f>
        <v>0</v>
      </c>
      <c r="R79" s="163">
        <f t="shared" ca="1" si="97"/>
        <v>0</v>
      </c>
      <c r="S79" s="163" cm="1">
        <f t="array" aca="1" ref="S79" ca="1">INDIRECT("Investition_gewählt!"&amp;$AA$6&amp;AA79)</f>
        <v>4500</v>
      </c>
      <c r="T79" s="93" cm="1">
        <f t="array" aca="1" ref="T79" ca="1">IF($U$5=0,0,INDEX(Faktoren!E65:QG65,1,VLOOKUP($X$6,$L$3:$O$14,4,FALSE)+$U$9*5+VLOOKUP(O79,Auswahllisten!$E$25:$F$29,2,FALSE)))</f>
        <v>0</v>
      </c>
      <c r="U79" s="163">
        <f t="shared" ca="1" si="98"/>
        <v>0</v>
      </c>
      <c r="V79" s="163">
        <f t="shared" ca="1" si="14"/>
        <v>0</v>
      </c>
      <c r="W79" s="93" t="b">
        <f t="shared" ca="1" si="102"/>
        <v>0</v>
      </c>
      <c r="X79" s="163">
        <f t="shared" ca="1" si="99"/>
        <v>0</v>
      </c>
      <c r="Z79" s="1">
        <v>50</v>
      </c>
      <c r="AA79" s="1">
        <v>65</v>
      </c>
      <c r="AB79" s="1">
        <v>-2</v>
      </c>
      <c r="AN79" s="1">
        <v>54</v>
      </c>
      <c r="AO79" s="1">
        <f t="shared" si="24"/>
        <v>0</v>
      </c>
      <c r="AP79" s="69">
        <f t="shared" ca="1" si="103"/>
        <v>0</v>
      </c>
      <c r="AQ79" s="69">
        <f t="shared" ca="1" si="103"/>
        <v>0</v>
      </c>
      <c r="AR79" s="69">
        <f t="shared" si="103"/>
        <v>0</v>
      </c>
      <c r="AS79" s="69">
        <f t="shared" ca="1" si="103"/>
        <v>0</v>
      </c>
      <c r="AT79" s="69">
        <f t="shared" ca="1" si="103"/>
        <v>0</v>
      </c>
      <c r="AU79" s="69">
        <f t="shared" ca="1" si="103"/>
        <v>0</v>
      </c>
      <c r="AV79" s="69">
        <f t="shared" si="103"/>
        <v>0</v>
      </c>
      <c r="AW79" s="69">
        <f t="shared" ca="1" si="72"/>
        <v>0</v>
      </c>
      <c r="AX79" s="69">
        <f t="shared" ca="1" si="35"/>
        <v>0</v>
      </c>
      <c r="AY79" s="69">
        <f t="shared" ca="1" si="36"/>
        <v>0</v>
      </c>
      <c r="AZ79" s="69">
        <f ca="1">$AO79*IF(Auswahllisten!$G$150,AZ$25+AZ$25*AZ$13*$AN79,AZ$25*(1+AZ$13)^$AN79)</f>
        <v>0</v>
      </c>
      <c r="BA79" s="69">
        <f ca="1">$AO79*IF(Auswahllisten!$G$150,BA$25+BA$25*BA$13*$AN79,BA$25*(1+BA$13)^$AN79)</f>
        <v>0</v>
      </c>
      <c r="BB79" s="69">
        <f ca="1">$AO79*IF(Auswahllisten!$G$150,BB$25+BB$25*BB$13*$AN79,BB$25*(1+BB$13)^$AN79)</f>
        <v>0</v>
      </c>
      <c r="BC79" s="69">
        <f ca="1">$AO79*IF(Auswahllisten!$G$150,BC$25+BC$25*BC$13*$AN79,BC$25*(1+BC$13)^$AN79)</f>
        <v>0</v>
      </c>
      <c r="BD79" s="69">
        <f t="shared" ca="1" si="37"/>
        <v>0</v>
      </c>
      <c r="BE79" s="69">
        <f t="shared" ca="1" si="38"/>
        <v>0</v>
      </c>
      <c r="BF79" s="69">
        <f t="shared" ca="1" si="39"/>
        <v>0</v>
      </c>
      <c r="BG79" s="69">
        <f t="shared" ca="1" si="40"/>
        <v>0</v>
      </c>
      <c r="BI79" s="69">
        <f t="shared" ref="BI79:BO96" ca="1" si="105">IFERROR($AO79*IF(MOD($AN79,BI$20)=0,BI$25,0)*(1+$AS$10)^$AN79*IF($AS$3=$AN79,0,1),0)</f>
        <v>0</v>
      </c>
      <c r="BJ79" s="69">
        <f t="shared" ca="1" si="105"/>
        <v>0</v>
      </c>
      <c r="BK79" s="69">
        <f t="shared" si="105"/>
        <v>0</v>
      </c>
      <c r="BL79" s="69">
        <f t="shared" ca="1" si="105"/>
        <v>0</v>
      </c>
      <c r="BM79" s="69">
        <f t="shared" ca="1" si="104"/>
        <v>0</v>
      </c>
      <c r="BN79" s="69">
        <f t="shared" ca="1" si="104"/>
        <v>0</v>
      </c>
      <c r="BO79" s="69">
        <f t="shared" si="104"/>
        <v>0</v>
      </c>
      <c r="BP79" s="69">
        <f t="shared" ca="1" si="82"/>
        <v>0</v>
      </c>
      <c r="BQ79" s="69">
        <f t="shared" ca="1" si="41"/>
        <v>0</v>
      </c>
      <c r="BR79" s="69">
        <f t="shared" ca="1" si="83"/>
        <v>0</v>
      </c>
      <c r="BS79" s="69">
        <f ca="1">$AO79*IF(Auswahllisten!$G$150,BS$25+BS$25*BS$13*$AN79,BS$25*(1+BS$13)^$AN79)</f>
        <v>0</v>
      </c>
      <c r="BT79" s="69">
        <f ca="1">$AO79*IF(Auswahllisten!$G$150,BT$25+BT$25*BT$13*$AN79,BT$25*(1+BT$13)^$AN79)</f>
        <v>0</v>
      </c>
      <c r="BU79" s="69">
        <f ca="1">$AO79*IF(Auswahllisten!$G$150,BU$25+BU$25*BU$13*$AN79,BU$25*(1+BU$13)^$AN79)</f>
        <v>0</v>
      </c>
      <c r="BV79" s="69">
        <f ca="1">$AO79*IF(Auswahllisten!$G$150,BV$25+BV$25*BV$13*$AN79,BV$25*(1+BV$13)^$AN79)</f>
        <v>0</v>
      </c>
      <c r="BW79" s="69">
        <f t="shared" ca="1" si="42"/>
        <v>0</v>
      </c>
      <c r="BX79" s="69">
        <f t="shared" ca="1" si="43"/>
        <v>0</v>
      </c>
      <c r="BY79" s="69">
        <f t="shared" ca="1" si="29"/>
        <v>0</v>
      </c>
      <c r="BZ79" s="69">
        <f t="shared" ca="1" si="30"/>
        <v>0</v>
      </c>
    </row>
    <row r="80" spans="1:78">
      <c r="A80" s="125"/>
      <c r="B80" s="64"/>
      <c r="C80" s="64"/>
      <c r="D80" s="69"/>
      <c r="E80" s="69"/>
      <c r="G80" s="69"/>
      <c r="H80" s="69"/>
      <c r="J80" s="69"/>
      <c r="K80" s="69"/>
      <c r="M80" s="69"/>
      <c r="P80" s="69"/>
      <c r="R80" s="69"/>
      <c r="S80" s="69"/>
      <c r="U80" s="69"/>
      <c r="V80" s="69"/>
      <c r="X80" s="69"/>
      <c r="AA80" s="1">
        <v>66</v>
      </c>
      <c r="AB80" s="1">
        <v>-2</v>
      </c>
      <c r="AN80" s="1">
        <v>55</v>
      </c>
      <c r="AO80" s="1">
        <f t="shared" si="24"/>
        <v>0</v>
      </c>
      <c r="AP80" s="69">
        <f t="shared" ca="1" si="103"/>
        <v>0</v>
      </c>
      <c r="AQ80" s="69">
        <f t="shared" ca="1" si="103"/>
        <v>0</v>
      </c>
      <c r="AR80" s="69">
        <f t="shared" si="103"/>
        <v>0</v>
      </c>
      <c r="AS80" s="69">
        <f t="shared" ca="1" si="103"/>
        <v>0</v>
      </c>
      <c r="AT80" s="69">
        <f t="shared" ca="1" si="103"/>
        <v>0</v>
      </c>
      <c r="AU80" s="69">
        <f t="shared" ca="1" si="103"/>
        <v>0</v>
      </c>
      <c r="AV80" s="69">
        <f t="shared" si="103"/>
        <v>0</v>
      </c>
      <c r="AW80" s="69">
        <f t="shared" ca="1" si="72"/>
        <v>0</v>
      </c>
      <c r="AX80" s="69">
        <f t="shared" ca="1" si="35"/>
        <v>0</v>
      </c>
      <c r="AY80" s="69">
        <f t="shared" ca="1" si="36"/>
        <v>0</v>
      </c>
      <c r="AZ80" s="69">
        <f ca="1">$AO80*IF(Auswahllisten!$G$150,AZ$25+AZ$25*AZ$13*$AN80,AZ$25*(1+AZ$13)^$AN80)</f>
        <v>0</v>
      </c>
      <c r="BA80" s="69">
        <f ca="1">$AO80*IF(Auswahllisten!$G$150,BA$25+BA$25*BA$13*$AN80,BA$25*(1+BA$13)^$AN80)</f>
        <v>0</v>
      </c>
      <c r="BB80" s="69">
        <f ca="1">$AO80*IF(Auswahllisten!$G$150,BB$25+BB$25*BB$13*$AN80,BB$25*(1+BB$13)^$AN80)</f>
        <v>0</v>
      </c>
      <c r="BC80" s="69">
        <f ca="1">$AO80*IF(Auswahllisten!$G$150,BC$25+BC$25*BC$13*$AN80,BC$25*(1+BC$13)^$AN80)</f>
        <v>0</v>
      </c>
      <c r="BD80" s="69">
        <f t="shared" ca="1" si="37"/>
        <v>0</v>
      </c>
      <c r="BE80" s="69">
        <f t="shared" ca="1" si="38"/>
        <v>0</v>
      </c>
      <c r="BF80" s="69">
        <f t="shared" ca="1" si="39"/>
        <v>0</v>
      </c>
      <c r="BG80" s="69">
        <f t="shared" ca="1" si="40"/>
        <v>0</v>
      </c>
      <c r="BI80" s="69">
        <f t="shared" ca="1" si="105"/>
        <v>0</v>
      </c>
      <c r="BJ80" s="69">
        <f t="shared" ca="1" si="105"/>
        <v>0</v>
      </c>
      <c r="BK80" s="69">
        <f t="shared" si="105"/>
        <v>0</v>
      </c>
      <c r="BL80" s="69">
        <f t="shared" ca="1" si="105"/>
        <v>0</v>
      </c>
      <c r="BM80" s="69">
        <f t="shared" ca="1" si="104"/>
        <v>0</v>
      </c>
      <c r="BN80" s="69">
        <f t="shared" ca="1" si="104"/>
        <v>0</v>
      </c>
      <c r="BO80" s="69">
        <f t="shared" si="104"/>
        <v>0</v>
      </c>
      <c r="BP80" s="69">
        <f t="shared" ca="1" si="82"/>
        <v>0</v>
      </c>
      <c r="BQ80" s="69">
        <f t="shared" ca="1" si="41"/>
        <v>0</v>
      </c>
      <c r="BR80" s="69">
        <f t="shared" ca="1" si="83"/>
        <v>0</v>
      </c>
      <c r="BS80" s="69">
        <f ca="1">$AO80*IF(Auswahllisten!$G$150,BS$25+BS$25*BS$13*$AN80,BS$25*(1+BS$13)^$AN80)</f>
        <v>0</v>
      </c>
      <c r="BT80" s="69">
        <f ca="1">$AO80*IF(Auswahllisten!$G$150,BT$25+BT$25*BT$13*$AN80,BT$25*(1+BT$13)^$AN80)</f>
        <v>0</v>
      </c>
      <c r="BU80" s="69">
        <f ca="1">$AO80*IF(Auswahllisten!$G$150,BU$25+BU$25*BU$13*$AN80,BU$25*(1+BU$13)^$AN80)</f>
        <v>0</v>
      </c>
      <c r="BV80" s="69">
        <f ca="1">$AO80*IF(Auswahllisten!$G$150,BV$25+BV$25*BV$13*$AN80,BV$25*(1+BV$13)^$AN80)</f>
        <v>0</v>
      </c>
      <c r="BW80" s="69">
        <f t="shared" ca="1" si="42"/>
        <v>0</v>
      </c>
      <c r="BX80" s="69">
        <f t="shared" ca="1" si="43"/>
        <v>0</v>
      </c>
      <c r="BY80" s="69">
        <f t="shared" ca="1" si="29"/>
        <v>0</v>
      </c>
      <c r="BZ80" s="69">
        <f t="shared" ca="1" si="30"/>
        <v>0</v>
      </c>
    </row>
    <row r="81" spans="1:78">
      <c r="A81" s="125" t="s">
        <v>1002</v>
      </c>
      <c r="B81" s="125" t="s">
        <v>1810</v>
      </c>
      <c r="C81" s="125"/>
      <c r="D81" s="69"/>
      <c r="E81" s="69"/>
      <c r="G81" s="69"/>
      <c r="H81" s="69"/>
      <c r="J81" s="69"/>
      <c r="K81" s="69"/>
      <c r="L81" s="155">
        <v>14</v>
      </c>
      <c r="M81" s="69"/>
      <c r="P81" s="69"/>
      <c r="R81" s="69"/>
      <c r="S81" s="69"/>
      <c r="U81" s="69"/>
      <c r="V81" s="69"/>
      <c r="X81" s="69"/>
      <c r="AA81" s="1">
        <v>67</v>
      </c>
      <c r="AB81" s="1">
        <v>-2</v>
      </c>
      <c r="AN81" s="1">
        <v>56</v>
      </c>
      <c r="AO81" s="1">
        <f t="shared" si="24"/>
        <v>0</v>
      </c>
      <c r="AP81" s="69">
        <f t="shared" ca="1" si="103"/>
        <v>0</v>
      </c>
      <c r="AQ81" s="69">
        <f t="shared" ca="1" si="103"/>
        <v>0</v>
      </c>
      <c r="AR81" s="69">
        <f t="shared" si="103"/>
        <v>0</v>
      </c>
      <c r="AS81" s="69">
        <f t="shared" ca="1" si="103"/>
        <v>0</v>
      </c>
      <c r="AT81" s="69">
        <f t="shared" ca="1" si="103"/>
        <v>0</v>
      </c>
      <c r="AU81" s="69">
        <f t="shared" ca="1" si="103"/>
        <v>0</v>
      </c>
      <c r="AV81" s="69">
        <f t="shared" si="103"/>
        <v>0</v>
      </c>
      <c r="AW81" s="69">
        <f t="shared" ca="1" si="72"/>
        <v>0</v>
      </c>
      <c r="AX81" s="69">
        <f t="shared" ca="1" si="35"/>
        <v>0</v>
      </c>
      <c r="AY81" s="69">
        <f t="shared" ca="1" si="36"/>
        <v>0</v>
      </c>
      <c r="AZ81" s="69">
        <f ca="1">$AO81*IF(Auswahllisten!$G$150,AZ$25+AZ$25*AZ$13*$AN81,AZ$25*(1+AZ$13)^$AN81)</f>
        <v>0</v>
      </c>
      <c r="BA81" s="69">
        <f ca="1">$AO81*IF(Auswahllisten!$G$150,BA$25+BA$25*BA$13*$AN81,BA$25*(1+BA$13)^$AN81)</f>
        <v>0</v>
      </c>
      <c r="BB81" s="69">
        <f ca="1">$AO81*IF(Auswahllisten!$G$150,BB$25+BB$25*BB$13*$AN81,BB$25*(1+BB$13)^$AN81)</f>
        <v>0</v>
      </c>
      <c r="BC81" s="69">
        <f ca="1">$AO81*IF(Auswahllisten!$G$150,BC$25+BC$25*BC$13*$AN81,BC$25*(1+BC$13)^$AN81)</f>
        <v>0</v>
      </c>
      <c r="BD81" s="69">
        <f t="shared" ca="1" si="37"/>
        <v>0</v>
      </c>
      <c r="BE81" s="69">
        <f t="shared" ca="1" si="38"/>
        <v>0</v>
      </c>
      <c r="BF81" s="69">
        <f t="shared" ca="1" si="39"/>
        <v>0</v>
      </c>
      <c r="BG81" s="69">
        <f t="shared" ca="1" si="40"/>
        <v>0</v>
      </c>
      <c r="BI81" s="69">
        <f t="shared" ca="1" si="105"/>
        <v>0</v>
      </c>
      <c r="BJ81" s="69">
        <f t="shared" ca="1" si="105"/>
        <v>0</v>
      </c>
      <c r="BK81" s="69">
        <f t="shared" si="105"/>
        <v>0</v>
      </c>
      <c r="BL81" s="69">
        <f t="shared" ca="1" si="105"/>
        <v>0</v>
      </c>
      <c r="BM81" s="69">
        <f t="shared" ca="1" si="104"/>
        <v>0</v>
      </c>
      <c r="BN81" s="69">
        <f t="shared" ca="1" si="104"/>
        <v>0</v>
      </c>
      <c r="BO81" s="69">
        <f t="shared" si="104"/>
        <v>0</v>
      </c>
      <c r="BP81" s="69">
        <f t="shared" ca="1" si="82"/>
        <v>0</v>
      </c>
      <c r="BQ81" s="69">
        <f t="shared" ca="1" si="41"/>
        <v>0</v>
      </c>
      <c r="BR81" s="69">
        <f t="shared" ca="1" si="83"/>
        <v>0</v>
      </c>
      <c r="BS81" s="69">
        <f ca="1">$AO81*IF(Auswahllisten!$G$150,BS$25+BS$25*BS$13*$AN81,BS$25*(1+BS$13)^$AN81)</f>
        <v>0</v>
      </c>
      <c r="BT81" s="69">
        <f ca="1">$AO81*IF(Auswahllisten!$G$150,BT$25+BT$25*BT$13*$AN81,BT$25*(1+BT$13)^$AN81)</f>
        <v>0</v>
      </c>
      <c r="BU81" s="69">
        <f ca="1">$AO81*IF(Auswahllisten!$G$150,BU$25+BU$25*BU$13*$AN81,BU$25*(1+BU$13)^$AN81)</f>
        <v>0</v>
      </c>
      <c r="BV81" s="69">
        <f ca="1">$AO81*IF(Auswahllisten!$G$150,BV$25+BV$25*BV$13*$AN81,BV$25*(1+BV$13)^$AN81)</f>
        <v>0</v>
      </c>
      <c r="BW81" s="69">
        <f t="shared" ca="1" si="42"/>
        <v>0</v>
      </c>
      <c r="BX81" s="69">
        <f t="shared" ca="1" si="43"/>
        <v>0</v>
      </c>
      <c r="BY81" s="69">
        <f t="shared" ca="1" si="29"/>
        <v>0</v>
      </c>
      <c r="BZ81" s="69">
        <f t="shared" ca="1" si="30"/>
        <v>0</v>
      </c>
    </row>
    <row r="82" spans="1:78">
      <c r="A82" s="304" t="s">
        <v>1217</v>
      </c>
      <c r="B82" s="131" t="s">
        <v>1242</v>
      </c>
      <c r="C82" s="131" t="s">
        <v>246</v>
      </c>
      <c r="D82" s="162" t="str" cm="1">
        <f t="array" aca="1" ref="D82" ca="1">INDIRECT("Vergleich!"&amp;$G$2&amp;Z82)</f>
        <v>mittel</v>
      </c>
      <c r="E82" s="162" cm="1">
        <f t="array" aca="1" ref="E82" ca="1">INDIRECT("Investition_gewählt!"&amp;$I$5&amp;AA82)</f>
        <v>20800</v>
      </c>
      <c r="F82" s="25" cm="1">
        <f t="array" aca="1" ref="F82" ca="1">IF($C$5=0,0,INDEX(Faktoren!E68:GQ68,1,VLOOKUP($F$5,$L$2:$O$14,4,FALSE)+$C$9*5+VLOOKUP(D82,Auswahllisten!$E$25:$F$29,2,FALSE)))</f>
        <v>0</v>
      </c>
      <c r="G82" s="162">
        <f ca="1">E82*F82</f>
        <v>0</v>
      </c>
      <c r="H82" s="162" cm="1">
        <f t="array" aca="1" ref="H82" ca="1">INDIRECT("Investition_gewählt!"&amp;$I$6&amp;AA82)</f>
        <v>20800</v>
      </c>
      <c r="I82" s="25" cm="1">
        <f t="array" aca="1" ref="I82" ca="1">IF($C$5=0,0,INDEX(Faktoren!E68:GQ68,1,VLOOKUP($F$6,$L$2:$O$14,4,FALSE)+$C$9*5+VLOOKUP(D82,Auswahllisten!$E$25:$F$29,2,FALSE)))</f>
        <v>0</v>
      </c>
      <c r="J82" s="162">
        <f ca="1">H82*I82</f>
        <v>0</v>
      </c>
      <c r="K82" s="162">
        <f t="shared" ref="K82:K89" ca="1" si="106">IF($C$5=0,0,G82+(J82-G82)*($C$6-$F$5)/($F$6-$F$5))</f>
        <v>0</v>
      </c>
      <c r="L82" s="25" t="b">
        <f ca="1">($C$5=$L$81)</f>
        <v>0</v>
      </c>
      <c r="M82" s="162">
        <f t="shared" ref="M82:M89" ca="1" si="107">IFERROR(ROUND(K82*L82,AB82),0)</f>
        <v>0</v>
      </c>
      <c r="O82" s="25" t="str" cm="1">
        <f t="array" aca="1" ref="O82" ca="1">INDIRECT("Vergleich!"&amp;$Y$2&amp;Z82)</f>
        <v>gering</v>
      </c>
      <c r="P82" s="162" cm="1">
        <f t="array" aca="1" ref="P82" ca="1">INDIRECT("Investition_gewählt!"&amp;$AA$5&amp;AA82)</f>
        <v>20800</v>
      </c>
      <c r="Q82" s="25" cm="1">
        <f t="array" aca="1" ref="Q82" ca="1">IF($U$5=0,0,INDEX(Faktoren!E68:GQ68,1,VLOOKUP($X$5,$L$2:$O$14,4,FALSE)+$U$9*5+VLOOKUP(O82,Auswahllisten!$E$25:$F$29,2,FALSE)))</f>
        <v>0</v>
      </c>
      <c r="R82" s="162">
        <f t="shared" ref="R82:R89" ca="1" si="108">P82*Q82</f>
        <v>0</v>
      </c>
      <c r="S82" s="162" cm="1">
        <f t="array" aca="1" ref="S82" ca="1">INDIRECT("Investition_gewählt!"&amp;$AA$6&amp;AA82)</f>
        <v>20800</v>
      </c>
      <c r="T82" s="25" cm="1">
        <f t="array" aca="1" ref="T82" ca="1">IF($U$5=0,0,INDEX(Faktoren!E68:QG68,1,VLOOKUP($X$6,$L$3:$O$14,4,FALSE)+$U$9*5+VLOOKUP(O82,Auswahllisten!$E$25:$F$29,2,FALSE)))</f>
        <v>0</v>
      </c>
      <c r="U82" s="162">
        <f t="shared" ref="U82:U89" ca="1" si="109">S82*T82</f>
        <v>0</v>
      </c>
      <c r="V82" s="162">
        <f t="shared" ca="1" si="14"/>
        <v>0</v>
      </c>
      <c r="W82" s="25" t="b">
        <f ca="1">($U$5=$L$81)</f>
        <v>0</v>
      </c>
      <c r="X82" s="162">
        <f t="shared" ref="X82:X89" ca="1" si="110">IFERROR(ROUND(V82*W82,AB82),0)</f>
        <v>0</v>
      </c>
      <c r="Z82" s="1">
        <v>31</v>
      </c>
      <c r="AA82" s="1">
        <v>68</v>
      </c>
      <c r="AB82" s="1">
        <v>-2</v>
      </c>
      <c r="AN82" s="1">
        <v>57</v>
      </c>
      <c r="AO82" s="1">
        <f t="shared" si="24"/>
        <v>0</v>
      </c>
      <c r="AP82" s="69">
        <f t="shared" ca="1" si="103"/>
        <v>0</v>
      </c>
      <c r="AQ82" s="69">
        <f t="shared" ca="1" si="103"/>
        <v>0</v>
      </c>
      <c r="AR82" s="69">
        <f t="shared" si="103"/>
        <v>0</v>
      </c>
      <c r="AS82" s="69">
        <f t="shared" ca="1" si="103"/>
        <v>0</v>
      </c>
      <c r="AT82" s="69">
        <f t="shared" ca="1" si="103"/>
        <v>0</v>
      </c>
      <c r="AU82" s="69">
        <f t="shared" ca="1" si="103"/>
        <v>0</v>
      </c>
      <c r="AV82" s="69">
        <f t="shared" si="103"/>
        <v>0</v>
      </c>
      <c r="AW82" s="69">
        <f t="shared" ca="1" si="72"/>
        <v>0</v>
      </c>
      <c r="AX82" s="69">
        <f t="shared" ca="1" si="35"/>
        <v>0</v>
      </c>
      <c r="AY82" s="69">
        <f t="shared" ca="1" si="36"/>
        <v>0</v>
      </c>
      <c r="AZ82" s="69">
        <f ca="1">$AO82*IF(Auswahllisten!$G$150,AZ$25+AZ$25*AZ$13*$AN82,AZ$25*(1+AZ$13)^$AN82)</f>
        <v>0</v>
      </c>
      <c r="BA82" s="69">
        <f ca="1">$AO82*IF(Auswahllisten!$G$150,BA$25+BA$25*BA$13*$AN82,BA$25*(1+BA$13)^$AN82)</f>
        <v>0</v>
      </c>
      <c r="BB82" s="69">
        <f ca="1">$AO82*IF(Auswahllisten!$G$150,BB$25+BB$25*BB$13*$AN82,BB$25*(1+BB$13)^$AN82)</f>
        <v>0</v>
      </c>
      <c r="BC82" s="69">
        <f ca="1">$AO82*IF(Auswahllisten!$G$150,BC$25+BC$25*BC$13*$AN82,BC$25*(1+BC$13)^$AN82)</f>
        <v>0</v>
      </c>
      <c r="BD82" s="69">
        <f t="shared" ca="1" si="37"/>
        <v>0</v>
      </c>
      <c r="BE82" s="69">
        <f t="shared" ca="1" si="38"/>
        <v>0</v>
      </c>
      <c r="BF82" s="69">
        <f t="shared" ca="1" si="39"/>
        <v>0</v>
      </c>
      <c r="BG82" s="69">
        <f t="shared" ca="1" si="40"/>
        <v>0</v>
      </c>
      <c r="BI82" s="69">
        <f t="shared" ca="1" si="105"/>
        <v>0</v>
      </c>
      <c r="BJ82" s="69">
        <f t="shared" ca="1" si="105"/>
        <v>0</v>
      </c>
      <c r="BK82" s="69">
        <f t="shared" si="105"/>
        <v>0</v>
      </c>
      <c r="BL82" s="69">
        <f t="shared" ca="1" si="105"/>
        <v>0</v>
      </c>
      <c r="BM82" s="69">
        <f t="shared" ca="1" si="104"/>
        <v>0</v>
      </c>
      <c r="BN82" s="69">
        <f t="shared" ca="1" si="104"/>
        <v>0</v>
      </c>
      <c r="BO82" s="69">
        <f t="shared" si="104"/>
        <v>0</v>
      </c>
      <c r="BP82" s="69">
        <f t="shared" ca="1" si="82"/>
        <v>0</v>
      </c>
      <c r="BQ82" s="69">
        <f t="shared" ca="1" si="41"/>
        <v>0</v>
      </c>
      <c r="BR82" s="69">
        <f t="shared" ca="1" si="83"/>
        <v>0</v>
      </c>
      <c r="BS82" s="69">
        <f ca="1">$AO82*IF(Auswahllisten!$G$150,BS$25+BS$25*BS$13*$AN82,BS$25*(1+BS$13)^$AN82)</f>
        <v>0</v>
      </c>
      <c r="BT82" s="69">
        <f ca="1">$AO82*IF(Auswahllisten!$G$150,BT$25+BT$25*BT$13*$AN82,BT$25*(1+BT$13)^$AN82)</f>
        <v>0</v>
      </c>
      <c r="BU82" s="69">
        <f ca="1">$AO82*IF(Auswahllisten!$G$150,BU$25+BU$25*BU$13*$AN82,BU$25*(1+BU$13)^$AN82)</f>
        <v>0</v>
      </c>
      <c r="BV82" s="69">
        <f ca="1">$AO82*IF(Auswahllisten!$G$150,BV$25+BV$25*BV$13*$AN82,BV$25*(1+BV$13)^$AN82)</f>
        <v>0</v>
      </c>
      <c r="BW82" s="69">
        <f t="shared" ca="1" si="42"/>
        <v>0</v>
      </c>
      <c r="BX82" s="69">
        <f t="shared" ca="1" si="43"/>
        <v>0</v>
      </c>
      <c r="BY82" s="69">
        <f t="shared" ca="1" si="29"/>
        <v>0</v>
      </c>
      <c r="BZ82" s="69">
        <f t="shared" ca="1" si="30"/>
        <v>0</v>
      </c>
    </row>
    <row r="83" spans="1:78">
      <c r="A83" s="305" t="s">
        <v>1215</v>
      </c>
      <c r="B83" s="126" t="s">
        <v>303</v>
      </c>
      <c r="C83" s="126" t="s">
        <v>235</v>
      </c>
      <c r="D83" s="26" t="str" cm="1">
        <f t="array" aca="1" ref="D83" ca="1">INDIRECT("Vergleich!"&amp;$G$2&amp;Z83)</f>
        <v>mittel</v>
      </c>
      <c r="E83" s="26" cm="1">
        <f t="array" aca="1" ref="E83" ca="1">INDIRECT("Investition_gewählt!"&amp;$I$5&amp;AA83)</f>
        <v>15200</v>
      </c>
      <c r="F83" s="25" cm="1">
        <f t="array" aca="1" ref="F83" ca="1">IF($C$5=0,0,INDEX(Faktoren!E69:GQ69,1,VLOOKUP($F$5,$L$2:$O$14,4,FALSE)+$C$9*5+VLOOKUP(D83,Auswahllisten!$E$25:$F$29,2,FALSE)))</f>
        <v>0</v>
      </c>
      <c r="G83" s="26">
        <f t="shared" ref="G83:G89" ca="1" si="111">E83*F83</f>
        <v>0</v>
      </c>
      <c r="H83" s="26" cm="1">
        <f t="array" aca="1" ref="H83" ca="1">INDIRECT("Investition_gewählt!"&amp;$I$6&amp;AA83)</f>
        <v>15200</v>
      </c>
      <c r="I83" s="25" cm="1">
        <f t="array" aca="1" ref="I83" ca="1">IF($C$5=0,0,INDEX(Faktoren!E69:GQ69,1,VLOOKUP($F$6,$L$2:$O$14,4,FALSE)+$C$9*5+VLOOKUP(D83,Auswahllisten!$E$25:$F$29,2,FALSE)))</f>
        <v>0</v>
      </c>
      <c r="J83" s="26">
        <f t="shared" ref="J83:J89" ca="1" si="112">H83*I83</f>
        <v>0</v>
      </c>
      <c r="K83" s="26">
        <f t="shared" ca="1" si="106"/>
        <v>0</v>
      </c>
      <c r="L83" s="16" t="b">
        <f t="shared" ref="L83:L89" ca="1" si="113">($C$5=$L$81)</f>
        <v>0</v>
      </c>
      <c r="M83" s="26">
        <f t="shared" ca="1" si="107"/>
        <v>0</v>
      </c>
      <c r="O83" s="16" t="str" cm="1">
        <f t="array" aca="1" ref="O83" ca="1">INDIRECT("Vergleich!"&amp;$Y$2&amp;Z83)</f>
        <v>gering</v>
      </c>
      <c r="P83" s="26" cm="1">
        <f t="array" aca="1" ref="P83" ca="1">INDIRECT("Investition_gewählt!"&amp;$AA$5&amp;AA83)</f>
        <v>15200</v>
      </c>
      <c r="Q83" s="16" cm="1">
        <f t="array" aca="1" ref="Q83" ca="1">IF($U$5=0,0,INDEX(Faktoren!E69:GQ69,1,VLOOKUP($X$5,$L$2:$O$14,4,FALSE)+$U$9*5+VLOOKUP(O83,Auswahllisten!$E$25:$F$29,2,FALSE)))</f>
        <v>0</v>
      </c>
      <c r="R83" s="26">
        <f t="shared" ca="1" si="108"/>
        <v>0</v>
      </c>
      <c r="S83" s="26" cm="1">
        <f t="array" aca="1" ref="S83" ca="1">INDIRECT("Investition_gewählt!"&amp;$AA$6&amp;AA83)</f>
        <v>15200</v>
      </c>
      <c r="T83" s="16" cm="1">
        <f t="array" aca="1" ref="T83" ca="1">IF($U$5=0,0,INDEX(Faktoren!E69:QG69,1,VLOOKUP($X$6,$L$3:$O$14,4,FALSE)+$U$9*5+VLOOKUP(O83,Auswahllisten!$E$25:$F$29,2,FALSE)))</f>
        <v>0</v>
      </c>
      <c r="U83" s="26">
        <f t="shared" ca="1" si="109"/>
        <v>0</v>
      </c>
      <c r="V83" s="26">
        <f t="shared" ca="1" si="14"/>
        <v>0</v>
      </c>
      <c r="W83" s="16" t="b">
        <f t="shared" ref="W83:W89" ca="1" si="114">($U$5=$L$81)</f>
        <v>0</v>
      </c>
      <c r="X83" s="26">
        <f t="shared" ca="1" si="110"/>
        <v>0</v>
      </c>
      <c r="Z83" s="1">
        <v>40</v>
      </c>
      <c r="AA83" s="1">
        <v>69</v>
      </c>
      <c r="AB83" s="1">
        <v>-2</v>
      </c>
      <c r="AN83" s="1">
        <v>58</v>
      </c>
      <c r="AO83" s="1">
        <f t="shared" si="24"/>
        <v>0</v>
      </c>
      <c r="AP83" s="69">
        <f t="shared" ca="1" si="103"/>
        <v>0</v>
      </c>
      <c r="AQ83" s="69">
        <f t="shared" ca="1" si="103"/>
        <v>0</v>
      </c>
      <c r="AR83" s="69">
        <f t="shared" si="103"/>
        <v>0</v>
      </c>
      <c r="AS83" s="69">
        <f t="shared" ca="1" si="103"/>
        <v>0</v>
      </c>
      <c r="AT83" s="69">
        <f t="shared" ca="1" si="103"/>
        <v>0</v>
      </c>
      <c r="AU83" s="69">
        <f t="shared" ca="1" si="103"/>
        <v>0</v>
      </c>
      <c r="AV83" s="69">
        <f t="shared" si="103"/>
        <v>0</v>
      </c>
      <c r="AW83" s="69">
        <f t="shared" ca="1" si="72"/>
        <v>0</v>
      </c>
      <c r="AX83" s="69">
        <f t="shared" ca="1" si="35"/>
        <v>0</v>
      </c>
      <c r="AY83" s="69">
        <f t="shared" ca="1" si="36"/>
        <v>0</v>
      </c>
      <c r="AZ83" s="69">
        <f ca="1">$AO83*IF(Auswahllisten!$G$150,AZ$25+AZ$25*AZ$13*$AN83,AZ$25*(1+AZ$13)^$AN83)</f>
        <v>0</v>
      </c>
      <c r="BA83" s="69">
        <f ca="1">$AO83*IF(Auswahllisten!$G$150,BA$25+BA$25*BA$13*$AN83,BA$25*(1+BA$13)^$AN83)</f>
        <v>0</v>
      </c>
      <c r="BB83" s="69">
        <f ca="1">$AO83*IF(Auswahllisten!$G$150,BB$25+BB$25*BB$13*$AN83,BB$25*(1+BB$13)^$AN83)</f>
        <v>0</v>
      </c>
      <c r="BC83" s="69">
        <f ca="1">$AO83*IF(Auswahllisten!$G$150,BC$25+BC$25*BC$13*$AN83,BC$25*(1+BC$13)^$AN83)</f>
        <v>0</v>
      </c>
      <c r="BD83" s="69">
        <f t="shared" ca="1" si="37"/>
        <v>0</v>
      </c>
      <c r="BE83" s="69">
        <f t="shared" ca="1" si="38"/>
        <v>0</v>
      </c>
      <c r="BF83" s="69">
        <f t="shared" ca="1" si="39"/>
        <v>0</v>
      </c>
      <c r="BG83" s="69">
        <f t="shared" ca="1" si="40"/>
        <v>0</v>
      </c>
      <c r="BI83" s="69">
        <f t="shared" ca="1" si="105"/>
        <v>0</v>
      </c>
      <c r="BJ83" s="69">
        <f t="shared" ca="1" si="105"/>
        <v>0</v>
      </c>
      <c r="BK83" s="69">
        <f t="shared" si="105"/>
        <v>0</v>
      </c>
      <c r="BL83" s="69">
        <f t="shared" ca="1" si="105"/>
        <v>0</v>
      </c>
      <c r="BM83" s="69">
        <f t="shared" ca="1" si="104"/>
        <v>0</v>
      </c>
      <c r="BN83" s="69">
        <f t="shared" ca="1" si="104"/>
        <v>0</v>
      </c>
      <c r="BO83" s="69">
        <f t="shared" si="104"/>
        <v>0</v>
      </c>
      <c r="BP83" s="69">
        <f t="shared" ca="1" si="82"/>
        <v>0</v>
      </c>
      <c r="BQ83" s="69">
        <f t="shared" ca="1" si="41"/>
        <v>0</v>
      </c>
      <c r="BR83" s="69">
        <f t="shared" ca="1" si="83"/>
        <v>0</v>
      </c>
      <c r="BS83" s="69">
        <f ca="1">$AO83*IF(Auswahllisten!$G$150,BS$25+BS$25*BS$13*$AN83,BS$25*(1+BS$13)^$AN83)</f>
        <v>0</v>
      </c>
      <c r="BT83" s="69">
        <f ca="1">$AO83*IF(Auswahllisten!$G$150,BT$25+BT$25*BT$13*$AN83,BT$25*(1+BT$13)^$AN83)</f>
        <v>0</v>
      </c>
      <c r="BU83" s="69">
        <f ca="1">$AO83*IF(Auswahllisten!$G$150,BU$25+BU$25*BU$13*$AN83,BU$25*(1+BU$13)^$AN83)</f>
        <v>0</v>
      </c>
      <c r="BV83" s="69">
        <f ca="1">$AO83*IF(Auswahllisten!$G$150,BV$25+BV$25*BV$13*$AN83,BV$25*(1+BV$13)^$AN83)</f>
        <v>0</v>
      </c>
      <c r="BW83" s="69">
        <f t="shared" ca="1" si="42"/>
        <v>0</v>
      </c>
      <c r="BX83" s="69">
        <f t="shared" ca="1" si="43"/>
        <v>0</v>
      </c>
      <c r="BY83" s="69">
        <f t="shared" ca="1" si="29"/>
        <v>0</v>
      </c>
      <c r="BZ83" s="69">
        <f t="shared" ca="1" si="30"/>
        <v>0</v>
      </c>
    </row>
    <row r="84" spans="1:78">
      <c r="A84" s="305" t="s">
        <v>1215</v>
      </c>
      <c r="B84" s="126" t="s">
        <v>303</v>
      </c>
      <c r="C84" s="126" t="s">
        <v>965</v>
      </c>
      <c r="D84" s="26" t="str" cm="1">
        <f t="array" aca="1" ref="D84" ca="1">INDIRECT("Vergleich!"&amp;$G$2&amp;Z84)</f>
        <v>mittel</v>
      </c>
      <c r="E84" s="26" cm="1">
        <f t="array" aca="1" ref="E84" ca="1">INDIRECT("Investition_gewählt!"&amp;$I$5&amp;AA84)</f>
        <v>3600</v>
      </c>
      <c r="F84" s="25" cm="1">
        <f t="array" aca="1" ref="F84" ca="1">IF($C$5=0,0,INDEX(Faktoren!E70:GQ70,1,VLOOKUP($F$5,$L$2:$O$14,4,FALSE)+$C$9*5+VLOOKUP(D84,Auswahllisten!$E$25:$F$29,2,FALSE)))</f>
        <v>0</v>
      </c>
      <c r="G84" s="26">
        <f t="shared" ca="1" si="111"/>
        <v>0</v>
      </c>
      <c r="H84" s="26" cm="1">
        <f t="array" aca="1" ref="H84" ca="1">INDIRECT("Investition_gewählt!"&amp;$I$6&amp;AA84)</f>
        <v>3600</v>
      </c>
      <c r="I84" s="25" cm="1">
        <f t="array" aca="1" ref="I84" ca="1">IF($C$5=0,0,INDEX(Faktoren!E70:GQ70,1,VLOOKUP($F$6,$L$2:$O$14,4,FALSE)+$C$9*5+VLOOKUP(D84,Auswahllisten!$E$25:$F$29,2,FALSE)))</f>
        <v>0</v>
      </c>
      <c r="J84" s="26">
        <f t="shared" ca="1" si="112"/>
        <v>0</v>
      </c>
      <c r="K84" s="26">
        <f t="shared" ca="1" si="106"/>
        <v>0</v>
      </c>
      <c r="L84" s="16" t="b">
        <f t="shared" ca="1" si="113"/>
        <v>0</v>
      </c>
      <c r="M84" s="26">
        <f t="shared" ca="1" si="107"/>
        <v>0</v>
      </c>
      <c r="O84" s="16" t="str" cm="1">
        <f t="array" aca="1" ref="O84" ca="1">INDIRECT("Vergleich!"&amp;$Y$2&amp;Z84)</f>
        <v>gering</v>
      </c>
      <c r="P84" s="26" cm="1">
        <f t="array" aca="1" ref="P84" ca="1">INDIRECT("Investition_gewählt!"&amp;$AA$5&amp;AA84)</f>
        <v>3600</v>
      </c>
      <c r="Q84" s="16" cm="1">
        <f t="array" aca="1" ref="Q84" ca="1">IF($U$5=0,0,INDEX(Faktoren!E70:GQ70,1,VLOOKUP($X$5,$L$2:$O$14,4,FALSE)+$U$9*5+VLOOKUP(O84,Auswahllisten!$E$25:$F$29,2,FALSE)))</f>
        <v>0</v>
      </c>
      <c r="R84" s="26">
        <f t="shared" ca="1" si="108"/>
        <v>0</v>
      </c>
      <c r="S84" s="26" cm="1">
        <f t="array" aca="1" ref="S84" ca="1">INDIRECT("Investition_gewählt!"&amp;$AA$6&amp;AA84)</f>
        <v>3600</v>
      </c>
      <c r="T84" s="16" cm="1">
        <f t="array" aca="1" ref="T84" ca="1">IF($U$5=0,0,INDEX(Faktoren!E70:QG70,1,VLOOKUP($X$6,$L$3:$O$14,4,FALSE)+$U$9*5+VLOOKUP(O84,Auswahllisten!$E$25:$F$29,2,FALSE)))</f>
        <v>0</v>
      </c>
      <c r="U84" s="26">
        <f t="shared" ca="1" si="109"/>
        <v>0</v>
      </c>
      <c r="V84" s="26">
        <f t="shared" ref="V84:V134" ca="1" si="115">IF($U$5=0,0,R84+(U84-R84)*($U$6-$X$5)/($X$6-$X$5))</f>
        <v>0</v>
      </c>
      <c r="W84" s="16" t="b">
        <f t="shared" ca="1" si="114"/>
        <v>0</v>
      </c>
      <c r="X84" s="26">
        <f t="shared" ca="1" si="110"/>
        <v>0</v>
      </c>
      <c r="Z84" s="1">
        <v>42</v>
      </c>
      <c r="AA84" s="1">
        <v>70</v>
      </c>
      <c r="AB84" s="1">
        <v>-2</v>
      </c>
      <c r="AN84" s="1">
        <v>59</v>
      </c>
      <c r="AO84" s="1">
        <f t="shared" si="24"/>
        <v>0</v>
      </c>
      <c r="AP84" s="69">
        <f t="shared" ca="1" si="103"/>
        <v>0</v>
      </c>
      <c r="AQ84" s="69">
        <f t="shared" ca="1" si="103"/>
        <v>0</v>
      </c>
      <c r="AR84" s="69">
        <f t="shared" si="103"/>
        <v>0</v>
      </c>
      <c r="AS84" s="69">
        <f t="shared" ca="1" si="103"/>
        <v>0</v>
      </c>
      <c r="AT84" s="69">
        <f t="shared" ca="1" si="103"/>
        <v>0</v>
      </c>
      <c r="AU84" s="69">
        <f t="shared" ca="1" si="103"/>
        <v>0</v>
      </c>
      <c r="AV84" s="69">
        <f t="shared" si="103"/>
        <v>0</v>
      </c>
      <c r="AW84" s="69">
        <f t="shared" ca="1" si="72"/>
        <v>0</v>
      </c>
      <c r="AX84" s="69">
        <f t="shared" ca="1" si="35"/>
        <v>0</v>
      </c>
      <c r="AY84" s="69">
        <f t="shared" ca="1" si="36"/>
        <v>0</v>
      </c>
      <c r="AZ84" s="69">
        <f ca="1">$AO84*IF(Auswahllisten!$G$150,AZ$25+AZ$25*AZ$13*$AN84,AZ$25*(1+AZ$13)^$AN84)</f>
        <v>0</v>
      </c>
      <c r="BA84" s="69">
        <f ca="1">$AO84*IF(Auswahllisten!$G$150,BA$25+BA$25*BA$13*$AN84,BA$25*(1+BA$13)^$AN84)</f>
        <v>0</v>
      </c>
      <c r="BB84" s="69">
        <f ca="1">$AO84*IF(Auswahllisten!$G$150,BB$25+BB$25*BB$13*$AN84,BB$25*(1+BB$13)^$AN84)</f>
        <v>0</v>
      </c>
      <c r="BC84" s="69">
        <f ca="1">$AO84*IF(Auswahllisten!$G$150,BC$25+BC$25*BC$13*$AN84,BC$25*(1+BC$13)^$AN84)</f>
        <v>0</v>
      </c>
      <c r="BD84" s="69">
        <f t="shared" ca="1" si="37"/>
        <v>0</v>
      </c>
      <c r="BE84" s="69">
        <f t="shared" ca="1" si="38"/>
        <v>0</v>
      </c>
      <c r="BF84" s="69">
        <f t="shared" ca="1" si="39"/>
        <v>0</v>
      </c>
      <c r="BG84" s="69">
        <f t="shared" ca="1" si="40"/>
        <v>0</v>
      </c>
      <c r="BI84" s="69">
        <f t="shared" ca="1" si="105"/>
        <v>0</v>
      </c>
      <c r="BJ84" s="69">
        <f t="shared" ca="1" si="105"/>
        <v>0</v>
      </c>
      <c r="BK84" s="69">
        <f t="shared" si="105"/>
        <v>0</v>
      </c>
      <c r="BL84" s="69">
        <f t="shared" ca="1" si="105"/>
        <v>0</v>
      </c>
      <c r="BM84" s="69">
        <f t="shared" ca="1" si="104"/>
        <v>0</v>
      </c>
      <c r="BN84" s="69">
        <f t="shared" ca="1" si="104"/>
        <v>0</v>
      </c>
      <c r="BO84" s="69">
        <f t="shared" si="104"/>
        <v>0</v>
      </c>
      <c r="BP84" s="69">
        <f t="shared" ca="1" si="82"/>
        <v>0</v>
      </c>
      <c r="BQ84" s="69">
        <f t="shared" ca="1" si="41"/>
        <v>0</v>
      </c>
      <c r="BR84" s="69">
        <f t="shared" ca="1" si="83"/>
        <v>0</v>
      </c>
      <c r="BS84" s="69">
        <f ca="1">$AO84*IF(Auswahllisten!$G$150,BS$25+BS$25*BS$13*$AN84,BS$25*(1+BS$13)^$AN84)</f>
        <v>0</v>
      </c>
      <c r="BT84" s="69">
        <f ca="1">$AO84*IF(Auswahllisten!$G$150,BT$25+BT$25*BT$13*$AN84,BT$25*(1+BT$13)^$AN84)</f>
        <v>0</v>
      </c>
      <c r="BU84" s="69">
        <f ca="1">$AO84*IF(Auswahllisten!$G$150,BU$25+BU$25*BU$13*$AN84,BU$25*(1+BU$13)^$AN84)</f>
        <v>0</v>
      </c>
      <c r="BV84" s="69">
        <f ca="1">$AO84*IF(Auswahllisten!$G$150,BV$25+BV$25*BV$13*$AN84,BV$25*(1+BV$13)^$AN84)</f>
        <v>0</v>
      </c>
      <c r="BW84" s="69">
        <f t="shared" ca="1" si="42"/>
        <v>0</v>
      </c>
      <c r="BX84" s="69">
        <f t="shared" ca="1" si="43"/>
        <v>0</v>
      </c>
      <c r="BY84" s="69">
        <f t="shared" ca="1" si="29"/>
        <v>0</v>
      </c>
      <c r="BZ84" s="69">
        <f t="shared" ca="1" si="30"/>
        <v>0</v>
      </c>
    </row>
    <row r="85" spans="1:78">
      <c r="A85" s="305" t="s">
        <v>1218</v>
      </c>
      <c r="B85" s="126" t="s">
        <v>1243</v>
      </c>
      <c r="C85" s="126" t="s">
        <v>231</v>
      </c>
      <c r="D85" s="26" t="str" cm="1">
        <f t="array" aca="1" ref="D85" ca="1">INDIRECT("Vergleich!"&amp;$G$2&amp;Z85)</f>
        <v>mittel</v>
      </c>
      <c r="E85" s="26" cm="1">
        <f t="array" aca="1" ref="E85" ca="1">INDIRECT("Investition_gewählt!"&amp;$I$5&amp;AA85)</f>
        <v>1500</v>
      </c>
      <c r="F85" s="25" cm="1">
        <f t="array" aca="1" ref="F85" ca="1">IF($C$5=0,0,INDEX(Faktoren!E71:GQ71,1,VLOOKUP($F$5,$L$2:$O$14,4,FALSE)+$C$9*5+VLOOKUP(D85,Auswahllisten!$E$25:$F$29,2,FALSE)))</f>
        <v>0</v>
      </c>
      <c r="G85" s="26">
        <f t="shared" ca="1" si="111"/>
        <v>0</v>
      </c>
      <c r="H85" s="26" cm="1">
        <f t="array" aca="1" ref="H85" ca="1">INDIRECT("Investition_gewählt!"&amp;$I$6&amp;AA85)</f>
        <v>1500</v>
      </c>
      <c r="I85" s="25" cm="1">
        <f t="array" aca="1" ref="I85" ca="1">IF($C$5=0,0,INDEX(Faktoren!E71:GQ71,1,VLOOKUP($F$6,$L$2:$O$14,4,FALSE)+$C$9*5+VLOOKUP(D85,Auswahllisten!$E$25:$F$29,2,FALSE)))</f>
        <v>0</v>
      </c>
      <c r="J85" s="26">
        <f t="shared" ca="1" si="112"/>
        <v>0</v>
      </c>
      <c r="K85" s="26">
        <f t="shared" ca="1" si="106"/>
        <v>0</v>
      </c>
      <c r="L85" s="16" t="b">
        <f t="shared" ca="1" si="113"/>
        <v>0</v>
      </c>
      <c r="M85" s="26">
        <f t="shared" ca="1" si="107"/>
        <v>0</v>
      </c>
      <c r="O85" s="16" t="str" cm="1">
        <f t="array" aca="1" ref="O85" ca="1">INDIRECT("Vergleich!"&amp;$Y$2&amp;Z85)</f>
        <v>gering</v>
      </c>
      <c r="P85" s="26" cm="1">
        <f t="array" aca="1" ref="P85" ca="1">INDIRECT("Investition_gewählt!"&amp;$AA$5&amp;AA85)</f>
        <v>1500</v>
      </c>
      <c r="Q85" s="16" cm="1">
        <f t="array" aca="1" ref="Q85" ca="1">IF($U$5=0,0,INDEX(Faktoren!E71:GQ71,1,VLOOKUP($X$5,$L$2:$O$14,4,FALSE)+$U$9*5+VLOOKUP(O85,Auswahllisten!$E$25:$F$29,2,FALSE)))</f>
        <v>0</v>
      </c>
      <c r="R85" s="26">
        <f t="shared" ca="1" si="108"/>
        <v>0</v>
      </c>
      <c r="S85" s="26" cm="1">
        <f t="array" aca="1" ref="S85" ca="1">INDIRECT("Investition_gewählt!"&amp;$AA$6&amp;AA85)</f>
        <v>1500</v>
      </c>
      <c r="T85" s="16" cm="1">
        <f t="array" aca="1" ref="T85" ca="1">IF($U$5=0,0,INDEX(Faktoren!E71:QG71,1,VLOOKUP($X$6,$L$3:$O$14,4,FALSE)+$U$9*5+VLOOKUP(O85,Auswahllisten!$E$25:$F$29,2,FALSE)))</f>
        <v>0</v>
      </c>
      <c r="U85" s="26">
        <f t="shared" ca="1" si="109"/>
        <v>0</v>
      </c>
      <c r="V85" s="26">
        <f t="shared" ca="1" si="115"/>
        <v>0</v>
      </c>
      <c r="W85" s="16" t="b">
        <f t="shared" ca="1" si="114"/>
        <v>0</v>
      </c>
      <c r="X85" s="26">
        <f t="shared" ca="1" si="110"/>
        <v>0</v>
      </c>
      <c r="Z85" s="1">
        <v>41</v>
      </c>
      <c r="AA85" s="1">
        <v>71</v>
      </c>
      <c r="AB85" s="1">
        <v>-2</v>
      </c>
      <c r="AN85" s="1">
        <v>60</v>
      </c>
      <c r="AO85" s="1">
        <f t="shared" si="24"/>
        <v>0</v>
      </c>
      <c r="AP85" s="69">
        <f t="shared" ca="1" si="103"/>
        <v>0</v>
      </c>
      <c r="AQ85" s="69">
        <f t="shared" ca="1" si="103"/>
        <v>0</v>
      </c>
      <c r="AR85" s="69">
        <f t="shared" ca="1" si="103"/>
        <v>0</v>
      </c>
      <c r="AS85" s="69">
        <f t="shared" ca="1" si="103"/>
        <v>0</v>
      </c>
      <c r="AT85" s="69">
        <f t="shared" ca="1" si="103"/>
        <v>0</v>
      </c>
      <c r="AU85" s="69">
        <f t="shared" ca="1" si="103"/>
        <v>0</v>
      </c>
      <c r="AV85" s="69">
        <f t="shared" ca="1" si="103"/>
        <v>0</v>
      </c>
      <c r="AW85" s="69">
        <f t="shared" ca="1" si="72"/>
        <v>0</v>
      </c>
      <c r="AX85" s="69">
        <f t="shared" ca="1" si="35"/>
        <v>0</v>
      </c>
      <c r="AY85" s="69">
        <f t="shared" ca="1" si="36"/>
        <v>0</v>
      </c>
      <c r="AZ85" s="69">
        <f ca="1">$AO85*IF(Auswahllisten!$G$150,AZ$25+AZ$25*AZ$13*$AN85,AZ$25*(1+AZ$13)^$AN85)</f>
        <v>0</v>
      </c>
      <c r="BA85" s="69">
        <f ca="1">$AO85*IF(Auswahllisten!$G$150,BA$25+BA$25*BA$13*$AN85,BA$25*(1+BA$13)^$AN85)</f>
        <v>0</v>
      </c>
      <c r="BB85" s="69">
        <f ca="1">$AO85*IF(Auswahllisten!$G$150,BB$25+BB$25*BB$13*$AN85,BB$25*(1+BB$13)^$AN85)</f>
        <v>0</v>
      </c>
      <c r="BC85" s="69">
        <f ca="1">$AO85*IF(Auswahllisten!$G$150,BC$25+BC$25*BC$13*$AN85,BC$25*(1+BC$13)^$AN85)</f>
        <v>0</v>
      </c>
      <c r="BD85" s="69">
        <f t="shared" ca="1" si="37"/>
        <v>0</v>
      </c>
      <c r="BE85" s="69">
        <f t="shared" ca="1" si="38"/>
        <v>0</v>
      </c>
      <c r="BF85" s="69">
        <f t="shared" ca="1" si="39"/>
        <v>0</v>
      </c>
      <c r="BG85" s="69">
        <f t="shared" ca="1" si="40"/>
        <v>0</v>
      </c>
      <c r="BI85" s="69">
        <f t="shared" ca="1" si="105"/>
        <v>0</v>
      </c>
      <c r="BJ85" s="69">
        <f t="shared" ca="1" si="105"/>
        <v>0</v>
      </c>
      <c r="BK85" s="69">
        <f t="shared" si="105"/>
        <v>0</v>
      </c>
      <c r="BL85" s="69">
        <f t="shared" ca="1" si="105"/>
        <v>0</v>
      </c>
      <c r="BM85" s="69">
        <f t="shared" ca="1" si="104"/>
        <v>0</v>
      </c>
      <c r="BN85" s="69">
        <f t="shared" ca="1" si="104"/>
        <v>0</v>
      </c>
      <c r="BO85" s="69">
        <f t="shared" si="104"/>
        <v>0</v>
      </c>
      <c r="BP85" s="69">
        <f t="shared" ca="1" si="82"/>
        <v>0</v>
      </c>
      <c r="BQ85" s="69">
        <f t="shared" ca="1" si="41"/>
        <v>0</v>
      </c>
      <c r="BR85" s="69">
        <f t="shared" ca="1" si="83"/>
        <v>0</v>
      </c>
      <c r="BS85" s="69">
        <f ca="1">$AO85*IF(Auswahllisten!$G$150,BS$25+BS$25*BS$13*$AN85,BS$25*(1+BS$13)^$AN85)</f>
        <v>0</v>
      </c>
      <c r="BT85" s="69">
        <f ca="1">$AO85*IF(Auswahllisten!$G$150,BT$25+BT$25*BT$13*$AN85,BT$25*(1+BT$13)^$AN85)</f>
        <v>0</v>
      </c>
      <c r="BU85" s="69">
        <f ca="1">$AO85*IF(Auswahllisten!$G$150,BU$25+BU$25*BU$13*$AN85,BU$25*(1+BU$13)^$AN85)</f>
        <v>0</v>
      </c>
      <c r="BV85" s="69">
        <f ca="1">$AO85*IF(Auswahllisten!$G$150,BV$25+BV$25*BV$13*$AN85,BV$25*(1+BV$13)^$AN85)</f>
        <v>0</v>
      </c>
      <c r="BW85" s="69">
        <f t="shared" ca="1" si="42"/>
        <v>0</v>
      </c>
      <c r="BX85" s="69">
        <f t="shared" ca="1" si="43"/>
        <v>0</v>
      </c>
      <c r="BY85" s="69">
        <f t="shared" ca="1" si="29"/>
        <v>0</v>
      </c>
      <c r="BZ85" s="69">
        <f t="shared" ca="1" si="30"/>
        <v>0</v>
      </c>
    </row>
    <row r="86" spans="1:78">
      <c r="A86" s="305" t="s">
        <v>1215</v>
      </c>
      <c r="B86" s="126" t="s">
        <v>303</v>
      </c>
      <c r="C86" s="126" t="s">
        <v>966</v>
      </c>
      <c r="D86" s="26" t="str" cm="1">
        <f t="array" aca="1" ref="D86" ca="1">INDIRECT("Vergleich!"&amp;$G$2&amp;Z86)</f>
        <v>mittel</v>
      </c>
      <c r="E86" s="26" cm="1">
        <f t="array" aca="1" ref="E86" ca="1">INDIRECT("Investition_gewählt!"&amp;$I$5&amp;AA86)</f>
        <v>16500</v>
      </c>
      <c r="F86" s="25" cm="1">
        <f t="array" aca="1" ref="F86" ca="1">IF($C$5=0,0,INDEX(Faktoren!E72:GQ72,1,VLOOKUP($F$5,$L$2:$O$14,4,FALSE)+$C$9*5+VLOOKUP(D86,Auswahllisten!$E$25:$F$29,2,FALSE)))</f>
        <v>0</v>
      </c>
      <c r="G86" s="26">
        <f t="shared" ca="1" si="111"/>
        <v>0</v>
      </c>
      <c r="H86" s="26" cm="1">
        <f t="array" aca="1" ref="H86" ca="1">INDIRECT("Investition_gewählt!"&amp;$I$6&amp;AA86)</f>
        <v>16500</v>
      </c>
      <c r="I86" s="25" cm="1">
        <f t="array" aca="1" ref="I86" ca="1">IF($C$5=0,0,INDEX(Faktoren!E72:GQ72,1,VLOOKUP($F$6,$L$2:$O$14,4,FALSE)+$C$9*5+VLOOKUP(D86,Auswahllisten!$E$25:$F$29,2,FALSE)))</f>
        <v>0</v>
      </c>
      <c r="J86" s="26">
        <f t="shared" ca="1" si="112"/>
        <v>0</v>
      </c>
      <c r="K86" s="26">
        <f t="shared" ca="1" si="106"/>
        <v>0</v>
      </c>
      <c r="L86" s="16" t="b">
        <f ca="1">($C$5=$L$81)</f>
        <v>0</v>
      </c>
      <c r="M86" s="26">
        <f t="shared" ca="1" si="107"/>
        <v>0</v>
      </c>
      <c r="O86" s="16" t="str" cm="1">
        <f t="array" aca="1" ref="O86" ca="1">INDIRECT("Vergleich!"&amp;$Y$2&amp;Z86)</f>
        <v>gering</v>
      </c>
      <c r="P86" s="26" cm="1">
        <f t="array" aca="1" ref="P86" ca="1">INDIRECT("Investition_gewählt!"&amp;$AA$5&amp;AA86)</f>
        <v>16500</v>
      </c>
      <c r="Q86" s="16" cm="1">
        <f t="array" aca="1" ref="Q86" ca="1">IF($U$5=0,0,INDEX(Faktoren!E72:GQ72,1,VLOOKUP($X$5,$L$2:$O$14,4,FALSE)+$U$9*5+VLOOKUP(O86,Auswahllisten!$E$25:$F$29,2,FALSE)))</f>
        <v>0</v>
      </c>
      <c r="R86" s="26">
        <f t="shared" ca="1" si="108"/>
        <v>0</v>
      </c>
      <c r="S86" s="26" cm="1">
        <f t="array" aca="1" ref="S86" ca="1">INDIRECT("Investition_gewählt!"&amp;$AA$6&amp;AA86)</f>
        <v>16500</v>
      </c>
      <c r="T86" s="16" cm="1">
        <f t="array" aca="1" ref="T86" ca="1">IF($U$5=0,0,INDEX(Faktoren!E72:QG72,1,VLOOKUP($X$6,$L$3:$O$14,4,FALSE)+$U$9*5+VLOOKUP(O86,Auswahllisten!$E$25:$F$29,2,FALSE)))</f>
        <v>0</v>
      </c>
      <c r="U86" s="26">
        <f t="shared" ca="1" si="109"/>
        <v>0</v>
      </c>
      <c r="V86" s="26">
        <f t="shared" ca="1" si="115"/>
        <v>0</v>
      </c>
      <c r="W86" s="16" t="b">
        <f ca="1">($U$5=$L$81)</f>
        <v>0</v>
      </c>
      <c r="X86" s="26">
        <f t="shared" ca="1" si="110"/>
        <v>0</v>
      </c>
      <c r="Z86" s="1">
        <v>47</v>
      </c>
      <c r="AA86" s="1">
        <v>72</v>
      </c>
      <c r="AB86" s="1">
        <v>-2</v>
      </c>
      <c r="AN86" s="1">
        <v>61</v>
      </c>
      <c r="AO86" s="1">
        <f t="shared" si="24"/>
        <v>0</v>
      </c>
      <c r="AP86" s="69">
        <f t="shared" ca="1" si="103"/>
        <v>0</v>
      </c>
      <c r="AQ86" s="69">
        <f t="shared" ca="1" si="103"/>
        <v>0</v>
      </c>
      <c r="AR86" s="69">
        <f t="shared" si="103"/>
        <v>0</v>
      </c>
      <c r="AS86" s="69">
        <f t="shared" ca="1" si="103"/>
        <v>0</v>
      </c>
      <c r="AT86" s="69">
        <f t="shared" ca="1" si="103"/>
        <v>0</v>
      </c>
      <c r="AU86" s="69">
        <f t="shared" ca="1" si="103"/>
        <v>0</v>
      </c>
      <c r="AV86" s="69">
        <f t="shared" si="103"/>
        <v>0</v>
      </c>
      <c r="AW86" s="69">
        <f t="shared" ca="1" si="72"/>
        <v>0</v>
      </c>
      <c r="AX86" s="69">
        <f t="shared" ca="1" si="35"/>
        <v>0</v>
      </c>
      <c r="AY86" s="69">
        <f t="shared" ca="1" si="36"/>
        <v>0</v>
      </c>
      <c r="AZ86" s="69">
        <f ca="1">$AO86*IF(Auswahllisten!$G$150,AZ$25+AZ$25*AZ$13*$AN86,AZ$25*(1+AZ$13)^$AN86)</f>
        <v>0</v>
      </c>
      <c r="BA86" s="69">
        <f ca="1">$AO86*IF(Auswahllisten!$G$150,BA$25+BA$25*BA$13*$AN86,BA$25*(1+BA$13)^$AN86)</f>
        <v>0</v>
      </c>
      <c r="BB86" s="69">
        <f ca="1">$AO86*IF(Auswahllisten!$G$150,BB$25+BB$25*BB$13*$AN86,BB$25*(1+BB$13)^$AN86)</f>
        <v>0</v>
      </c>
      <c r="BC86" s="69">
        <f ca="1">$AO86*IF(Auswahllisten!$G$150,BC$25+BC$25*BC$13*$AN86,BC$25*(1+BC$13)^$AN86)</f>
        <v>0</v>
      </c>
      <c r="BD86" s="69">
        <f t="shared" ca="1" si="37"/>
        <v>0</v>
      </c>
      <c r="BE86" s="69">
        <f t="shared" ca="1" si="38"/>
        <v>0</v>
      </c>
      <c r="BF86" s="69">
        <f t="shared" ca="1" si="39"/>
        <v>0</v>
      </c>
      <c r="BG86" s="69">
        <f t="shared" ca="1" si="40"/>
        <v>0</v>
      </c>
      <c r="BI86" s="69">
        <f t="shared" ca="1" si="105"/>
        <v>0</v>
      </c>
      <c r="BJ86" s="69">
        <f t="shared" ca="1" si="105"/>
        <v>0</v>
      </c>
      <c r="BK86" s="69">
        <f t="shared" si="105"/>
        <v>0</v>
      </c>
      <c r="BL86" s="69">
        <f t="shared" ca="1" si="105"/>
        <v>0</v>
      </c>
      <c r="BM86" s="69">
        <f t="shared" ca="1" si="104"/>
        <v>0</v>
      </c>
      <c r="BN86" s="69">
        <f t="shared" ca="1" si="104"/>
        <v>0</v>
      </c>
      <c r="BO86" s="69">
        <f t="shared" si="104"/>
        <v>0</v>
      </c>
      <c r="BP86" s="69">
        <f t="shared" ca="1" si="82"/>
        <v>0</v>
      </c>
      <c r="BQ86" s="69">
        <f t="shared" ca="1" si="41"/>
        <v>0</v>
      </c>
      <c r="BR86" s="69">
        <f t="shared" ca="1" si="83"/>
        <v>0</v>
      </c>
      <c r="BS86" s="69">
        <f ca="1">$AO86*IF(Auswahllisten!$G$150,BS$25+BS$25*BS$13*$AN86,BS$25*(1+BS$13)^$AN86)</f>
        <v>0</v>
      </c>
      <c r="BT86" s="69">
        <f ca="1">$AO86*IF(Auswahllisten!$G$150,BT$25+BT$25*BT$13*$AN86,BT$25*(1+BT$13)^$AN86)</f>
        <v>0</v>
      </c>
      <c r="BU86" s="69">
        <f ca="1">$AO86*IF(Auswahllisten!$G$150,BU$25+BU$25*BU$13*$AN86,BU$25*(1+BU$13)^$AN86)</f>
        <v>0</v>
      </c>
      <c r="BV86" s="69">
        <f ca="1">$AO86*IF(Auswahllisten!$G$150,BV$25+BV$25*BV$13*$AN86,BV$25*(1+BV$13)^$AN86)</f>
        <v>0</v>
      </c>
      <c r="BW86" s="69">
        <f t="shared" ca="1" si="42"/>
        <v>0</v>
      </c>
      <c r="BX86" s="69">
        <f t="shared" ca="1" si="43"/>
        <v>0</v>
      </c>
      <c r="BY86" s="69">
        <f t="shared" ca="1" si="29"/>
        <v>0</v>
      </c>
      <c r="BZ86" s="69">
        <f t="shared" ca="1" si="30"/>
        <v>0</v>
      </c>
    </row>
    <row r="87" spans="1:78">
      <c r="A87" s="305" t="s">
        <v>1244</v>
      </c>
      <c r="B87" s="126" t="s">
        <v>1245</v>
      </c>
      <c r="C87" s="126" t="s">
        <v>206</v>
      </c>
      <c r="D87" s="26" t="str" cm="1">
        <f t="array" aca="1" ref="D87" ca="1">INDIRECT("Vergleich!"&amp;$G$2&amp;Z87)</f>
        <v>mittel</v>
      </c>
      <c r="E87" s="26" cm="1">
        <f t="array" aca="1" ref="E87" ca="1">INDIRECT("Investition_gewählt!"&amp;$I$5&amp;AA87)</f>
        <v>0</v>
      </c>
      <c r="F87" s="25" cm="1">
        <f t="array" aca="1" ref="F87" ca="1">IF($C$5=0,0,INDEX(Faktoren!E73:GQ73,1,VLOOKUP($F$5,$L$2:$O$14,4,FALSE)+$C$9*5+VLOOKUP(D87,Auswahllisten!$E$25:$F$29,2,FALSE)))</f>
        <v>0</v>
      </c>
      <c r="G87" s="26">
        <f t="shared" ca="1" si="111"/>
        <v>0</v>
      </c>
      <c r="H87" s="26" cm="1">
        <f t="array" aca="1" ref="H87" ca="1">INDIRECT("Investition_gewählt!"&amp;$I$6&amp;AA87)</f>
        <v>0</v>
      </c>
      <c r="I87" s="25" cm="1">
        <f t="array" aca="1" ref="I87" ca="1">IF($C$5=0,0,INDEX(Faktoren!E73:GQ73,1,VLOOKUP($F$6,$L$2:$O$14,4,FALSE)+$C$9*5+VLOOKUP(D87,Auswahllisten!$E$25:$F$29,2,FALSE)))</f>
        <v>0</v>
      </c>
      <c r="J87" s="26">
        <f t="shared" ca="1" si="112"/>
        <v>0</v>
      </c>
      <c r="K87" s="26">
        <f t="shared" ca="1" si="106"/>
        <v>0</v>
      </c>
      <c r="L87" s="16" t="b">
        <f t="shared" ca="1" si="113"/>
        <v>0</v>
      </c>
      <c r="M87" s="26">
        <f t="shared" ca="1" si="107"/>
        <v>0</v>
      </c>
      <c r="O87" s="16" t="str" cm="1">
        <f t="array" aca="1" ref="O87" ca="1">INDIRECT("Vergleich!"&amp;$Y$2&amp;Z87)</f>
        <v>gering</v>
      </c>
      <c r="P87" s="26" cm="1">
        <f t="array" aca="1" ref="P87" ca="1">INDIRECT("Investition_gewählt!"&amp;$AA$5&amp;AA87)</f>
        <v>0</v>
      </c>
      <c r="Q87" s="16" cm="1">
        <f t="array" aca="1" ref="Q87" ca="1">IF($U$5=0,0,INDEX(Faktoren!E73:GQ73,1,VLOOKUP($X$5,$L$2:$O$14,4,FALSE)+$U$9*5+VLOOKUP(O87,Auswahllisten!$E$25:$F$29,2,FALSE)))</f>
        <v>0</v>
      </c>
      <c r="R87" s="26">
        <f t="shared" ca="1" si="108"/>
        <v>0</v>
      </c>
      <c r="S87" s="26" cm="1">
        <f t="array" aca="1" ref="S87" ca="1">INDIRECT("Investition_gewählt!"&amp;$AA$6&amp;AA87)</f>
        <v>0</v>
      </c>
      <c r="T87" s="16" cm="1">
        <f t="array" aca="1" ref="T87" ca="1">IF($U$5=0,0,INDEX(Faktoren!E73:QG73,1,VLOOKUP($X$6,$L$3:$O$14,4,FALSE)+$U$9*5+VLOOKUP(O87,Auswahllisten!$E$25:$F$29,2,FALSE)))</f>
        <v>0</v>
      </c>
      <c r="U87" s="26">
        <f t="shared" ca="1" si="109"/>
        <v>0</v>
      </c>
      <c r="V87" s="26">
        <f t="shared" ca="1" si="115"/>
        <v>0</v>
      </c>
      <c r="W87" s="16" t="b">
        <f t="shared" ca="1" si="114"/>
        <v>0</v>
      </c>
      <c r="X87" s="26">
        <f t="shared" ca="1" si="110"/>
        <v>0</v>
      </c>
      <c r="Z87" s="1">
        <v>51</v>
      </c>
      <c r="AA87" s="1">
        <v>73</v>
      </c>
      <c r="AB87" s="1">
        <v>-2</v>
      </c>
      <c r="AC87" s="82"/>
      <c r="AD87" s="64"/>
      <c r="AE87" s="64"/>
      <c r="AN87" s="1">
        <v>62</v>
      </c>
      <c r="AO87" s="1">
        <f t="shared" si="24"/>
        <v>0</v>
      </c>
      <c r="AP87" s="69">
        <f t="shared" ca="1" si="103"/>
        <v>0</v>
      </c>
      <c r="AQ87" s="69">
        <f t="shared" ca="1" si="103"/>
        <v>0</v>
      </c>
      <c r="AR87" s="69">
        <f t="shared" si="103"/>
        <v>0</v>
      </c>
      <c r="AS87" s="69">
        <f t="shared" ca="1" si="103"/>
        <v>0</v>
      </c>
      <c r="AT87" s="69">
        <f t="shared" ca="1" si="103"/>
        <v>0</v>
      </c>
      <c r="AU87" s="69">
        <f t="shared" ca="1" si="103"/>
        <v>0</v>
      </c>
      <c r="AV87" s="69">
        <f t="shared" si="103"/>
        <v>0</v>
      </c>
      <c r="AW87" s="69">
        <f t="shared" ca="1" si="72"/>
        <v>0</v>
      </c>
      <c r="AX87" s="69">
        <f t="shared" ca="1" si="35"/>
        <v>0</v>
      </c>
      <c r="AY87" s="69">
        <f t="shared" ca="1" si="36"/>
        <v>0</v>
      </c>
      <c r="AZ87" s="69">
        <f ca="1">$AO87*IF(Auswahllisten!$G$150,AZ$25+AZ$25*AZ$13*$AN87,AZ$25*(1+AZ$13)^$AN87)</f>
        <v>0</v>
      </c>
      <c r="BA87" s="69">
        <f ca="1">$AO87*IF(Auswahllisten!$G$150,BA$25+BA$25*BA$13*$AN87,BA$25*(1+BA$13)^$AN87)</f>
        <v>0</v>
      </c>
      <c r="BB87" s="69">
        <f ca="1">$AO87*IF(Auswahllisten!$G$150,BB$25+BB$25*BB$13*$AN87,BB$25*(1+BB$13)^$AN87)</f>
        <v>0</v>
      </c>
      <c r="BC87" s="69">
        <f ca="1">$AO87*IF(Auswahllisten!$G$150,BC$25+BC$25*BC$13*$AN87,BC$25*(1+BC$13)^$AN87)</f>
        <v>0</v>
      </c>
      <c r="BD87" s="69">
        <f t="shared" ca="1" si="37"/>
        <v>0</v>
      </c>
      <c r="BE87" s="69">
        <f t="shared" ca="1" si="38"/>
        <v>0</v>
      </c>
      <c r="BF87" s="69">
        <f t="shared" ca="1" si="39"/>
        <v>0</v>
      </c>
      <c r="BG87" s="69">
        <f t="shared" ca="1" si="40"/>
        <v>0</v>
      </c>
      <c r="BI87" s="69">
        <f t="shared" ca="1" si="105"/>
        <v>0</v>
      </c>
      <c r="BJ87" s="69">
        <f t="shared" ca="1" si="105"/>
        <v>0</v>
      </c>
      <c r="BK87" s="69">
        <f t="shared" si="105"/>
        <v>0</v>
      </c>
      <c r="BL87" s="69">
        <f t="shared" ca="1" si="105"/>
        <v>0</v>
      </c>
      <c r="BM87" s="69">
        <f t="shared" ca="1" si="105"/>
        <v>0</v>
      </c>
      <c r="BN87" s="69">
        <f t="shared" ca="1" si="105"/>
        <v>0</v>
      </c>
      <c r="BO87" s="69">
        <f t="shared" si="105"/>
        <v>0</v>
      </c>
      <c r="BP87" s="69">
        <f t="shared" ca="1" si="82"/>
        <v>0</v>
      </c>
      <c r="BQ87" s="69">
        <f t="shared" ca="1" si="41"/>
        <v>0</v>
      </c>
      <c r="BR87" s="69">
        <f t="shared" ca="1" si="83"/>
        <v>0</v>
      </c>
      <c r="BS87" s="69">
        <f ca="1">$AO87*IF(Auswahllisten!$G$150,BS$25+BS$25*BS$13*$AN87,BS$25*(1+BS$13)^$AN87)</f>
        <v>0</v>
      </c>
      <c r="BT87" s="69">
        <f ca="1">$AO87*IF(Auswahllisten!$G$150,BT$25+BT$25*BT$13*$AN87,BT$25*(1+BT$13)^$AN87)</f>
        <v>0</v>
      </c>
      <c r="BU87" s="69">
        <f ca="1">$AO87*IF(Auswahllisten!$G$150,BU$25+BU$25*BU$13*$AN87,BU$25*(1+BU$13)^$AN87)</f>
        <v>0</v>
      </c>
      <c r="BV87" s="69">
        <f ca="1">$AO87*IF(Auswahllisten!$G$150,BV$25+BV$25*BV$13*$AN87,BV$25*(1+BV$13)^$AN87)</f>
        <v>0</v>
      </c>
      <c r="BW87" s="69">
        <f t="shared" ca="1" si="42"/>
        <v>0</v>
      </c>
      <c r="BX87" s="69">
        <f t="shared" ca="1" si="43"/>
        <v>0</v>
      </c>
      <c r="BY87" s="69">
        <f t="shared" ca="1" si="29"/>
        <v>0</v>
      </c>
      <c r="BZ87" s="69">
        <f t="shared" ca="1" si="30"/>
        <v>0</v>
      </c>
    </row>
    <row r="88" spans="1:78">
      <c r="A88" s="305" t="s">
        <v>1244</v>
      </c>
      <c r="B88" s="126" t="s">
        <v>1245</v>
      </c>
      <c r="C88" s="126" t="s">
        <v>967</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IF($C$5=0,0,INDEX(Faktoren!E74:GQ74,1,VLOOKUP($F$5,$L$2:$O$14,4,FALSE)+$C$9*5+VLOOKUP(D88,Auswahllisten!$E$25:$F$29,2,FALSE)))</f>
        <v>0</v>
      </c>
      <c r="G88" s="26">
        <f t="shared" ca="1" si="111"/>
        <v>0</v>
      </c>
      <c r="H88" s="26" cm="1">
        <f t="array" aca="1" ref="H88" ca="1">INDIRECT("Investition_gewählt!"&amp;$I$6&amp;AA88)</f>
        <v>0</v>
      </c>
      <c r="I88" s="25" cm="1">
        <f t="array" aca="1" ref="I88" ca="1">IF($C$5=0,0,INDEX(Faktoren!E74:GQ74,1,VLOOKUP($F$6,$L$2:$O$14,4,FALSE)+$C$9*5+VLOOKUP(D88,Auswahllisten!$E$25:$F$29,2,FALSE)))</f>
        <v>0</v>
      </c>
      <c r="J88" s="26">
        <f t="shared" ca="1" si="112"/>
        <v>0</v>
      </c>
      <c r="K88" s="26">
        <f t="shared" ca="1" si="106"/>
        <v>0</v>
      </c>
      <c r="L88" s="16" t="b">
        <f t="shared" ca="1" si="113"/>
        <v>0</v>
      </c>
      <c r="M88" s="26">
        <f t="shared" ca="1" si="107"/>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IF($U$5=0,0,INDEX(Faktoren!E74:GQ74,1,VLOOKUP($X$5,$L$2:$O$14,4,FALSE)+$U$9*5+VLOOKUP(O88,Auswahllisten!$E$25:$F$29,2,FALSE)))</f>
        <v>0</v>
      </c>
      <c r="R88" s="26">
        <f t="shared" ca="1" si="108"/>
        <v>0</v>
      </c>
      <c r="S88" s="26" cm="1">
        <f t="array" aca="1" ref="S88" ca="1">INDIRECT("Investition_gewählt!"&amp;$AA$6&amp;AA88)</f>
        <v>0</v>
      </c>
      <c r="T88" s="16" cm="1">
        <f t="array" aca="1" ref="T88" ca="1">IF($U$5=0,0,INDEX(Faktoren!E74:QG74,1,VLOOKUP($X$6,$L$3:$O$14,4,FALSE)+$U$9*5+VLOOKUP(O88,Auswahllisten!$E$25:$F$29,2,FALSE)))</f>
        <v>0</v>
      </c>
      <c r="U88" s="26">
        <f t="shared" ca="1" si="109"/>
        <v>0</v>
      </c>
      <c r="V88" s="26">
        <f t="shared" ca="1" si="115"/>
        <v>0</v>
      </c>
      <c r="W88" s="16" t="b">
        <f t="shared" ca="1" si="114"/>
        <v>0</v>
      </c>
      <c r="X88" s="26">
        <f t="shared" ca="1" si="110"/>
        <v>0</v>
      </c>
      <c r="Z88" s="1">
        <v>49</v>
      </c>
      <c r="AA88" s="1">
        <v>74</v>
      </c>
      <c r="AB88" s="1">
        <v>-2</v>
      </c>
      <c r="AC88" s="82"/>
      <c r="AD88" s="64"/>
      <c r="AE88" s="64"/>
      <c r="AN88" s="1">
        <v>63</v>
      </c>
      <c r="AO88" s="1">
        <f t="shared" si="24"/>
        <v>0</v>
      </c>
      <c r="AP88" s="69">
        <f t="shared" ca="1" si="103"/>
        <v>0</v>
      </c>
      <c r="AQ88" s="69">
        <f t="shared" ca="1" si="103"/>
        <v>0</v>
      </c>
      <c r="AR88" s="69">
        <f t="shared" si="103"/>
        <v>0</v>
      </c>
      <c r="AS88" s="69">
        <f t="shared" ca="1" si="103"/>
        <v>0</v>
      </c>
      <c r="AT88" s="69">
        <f t="shared" ca="1" si="103"/>
        <v>0</v>
      </c>
      <c r="AU88" s="69">
        <f t="shared" ca="1" si="103"/>
        <v>0</v>
      </c>
      <c r="AV88" s="69">
        <f t="shared" si="103"/>
        <v>0</v>
      </c>
      <c r="AW88" s="69">
        <f t="shared" ca="1" si="72"/>
        <v>0</v>
      </c>
      <c r="AX88" s="69">
        <f t="shared" ca="1" si="35"/>
        <v>0</v>
      </c>
      <c r="AY88" s="69">
        <f t="shared" ca="1" si="36"/>
        <v>0</v>
      </c>
      <c r="AZ88" s="69">
        <f ca="1">$AO88*IF(Auswahllisten!$G$150,AZ$25+AZ$25*AZ$13*$AN88,AZ$25*(1+AZ$13)^$AN88)</f>
        <v>0</v>
      </c>
      <c r="BA88" s="69">
        <f ca="1">$AO88*IF(Auswahllisten!$G$150,BA$25+BA$25*BA$13*$AN88,BA$25*(1+BA$13)^$AN88)</f>
        <v>0</v>
      </c>
      <c r="BB88" s="69">
        <f ca="1">$AO88*IF(Auswahllisten!$G$150,BB$25+BB$25*BB$13*$AN88,BB$25*(1+BB$13)^$AN88)</f>
        <v>0</v>
      </c>
      <c r="BC88" s="69">
        <f ca="1">$AO88*IF(Auswahllisten!$G$150,BC$25+BC$25*BC$13*$AN88,BC$25*(1+BC$13)^$AN88)</f>
        <v>0</v>
      </c>
      <c r="BD88" s="69">
        <f t="shared" ca="1" si="37"/>
        <v>0</v>
      </c>
      <c r="BE88" s="69">
        <f t="shared" ca="1" si="38"/>
        <v>0</v>
      </c>
      <c r="BF88" s="69">
        <f t="shared" ca="1" si="39"/>
        <v>0</v>
      </c>
      <c r="BG88" s="69">
        <f t="shared" ca="1" si="40"/>
        <v>0</v>
      </c>
      <c r="BI88" s="69">
        <f t="shared" ca="1" si="105"/>
        <v>0</v>
      </c>
      <c r="BJ88" s="69">
        <f t="shared" ca="1" si="105"/>
        <v>0</v>
      </c>
      <c r="BK88" s="69">
        <f t="shared" si="105"/>
        <v>0</v>
      </c>
      <c r="BL88" s="69">
        <f t="shared" ca="1" si="105"/>
        <v>0</v>
      </c>
      <c r="BM88" s="69">
        <f t="shared" ca="1" si="105"/>
        <v>0</v>
      </c>
      <c r="BN88" s="69">
        <f t="shared" ca="1" si="105"/>
        <v>0</v>
      </c>
      <c r="BO88" s="69">
        <f t="shared" si="105"/>
        <v>0</v>
      </c>
      <c r="BP88" s="69">
        <f t="shared" ca="1" si="82"/>
        <v>0</v>
      </c>
      <c r="BQ88" s="69">
        <f t="shared" ca="1" si="41"/>
        <v>0</v>
      </c>
      <c r="BR88" s="69">
        <f t="shared" ca="1" si="83"/>
        <v>0</v>
      </c>
      <c r="BS88" s="69">
        <f ca="1">$AO88*IF(Auswahllisten!$G$150,BS$25+BS$25*BS$13*$AN88,BS$25*(1+BS$13)^$AN88)</f>
        <v>0</v>
      </c>
      <c r="BT88" s="69">
        <f ca="1">$AO88*IF(Auswahllisten!$G$150,BT$25+BT$25*BT$13*$AN88,BT$25*(1+BT$13)^$AN88)</f>
        <v>0</v>
      </c>
      <c r="BU88" s="69">
        <f ca="1">$AO88*IF(Auswahllisten!$G$150,BU$25+BU$25*BU$13*$AN88,BU$25*(1+BU$13)^$AN88)</f>
        <v>0</v>
      </c>
      <c r="BV88" s="69">
        <f ca="1">$AO88*IF(Auswahllisten!$G$150,BV$25+BV$25*BV$13*$AN88,BV$25*(1+BV$13)^$AN88)</f>
        <v>0</v>
      </c>
      <c r="BW88" s="69">
        <f t="shared" ca="1" si="42"/>
        <v>0</v>
      </c>
      <c r="BX88" s="69">
        <f t="shared" ca="1" si="43"/>
        <v>0</v>
      </c>
      <c r="BY88" s="69">
        <f t="shared" ca="1" si="29"/>
        <v>0</v>
      </c>
      <c r="BZ88" s="69">
        <f t="shared" ca="1" si="30"/>
        <v>0</v>
      </c>
    </row>
    <row r="89" spans="1:78">
      <c r="A89" s="307" t="s">
        <v>1244</v>
      </c>
      <c r="B89" s="297" t="s">
        <v>1245</v>
      </c>
      <c r="C89" s="134" t="s">
        <v>359</v>
      </c>
      <c r="D89" s="163" t="str" cm="1">
        <f t="array" aca="1" ref="D89" ca="1">INDIRECT("Vergleich!"&amp;$G$2&amp;Z89)</f>
        <v>mittel</v>
      </c>
      <c r="E89" s="163" cm="1">
        <f t="array" aca="1" ref="E89" ca="1">INDIRECT("Investition_gewählt!"&amp;$I$5&amp;AA89)</f>
        <v>4500</v>
      </c>
      <c r="F89" s="61" cm="1">
        <f t="array" aca="1" ref="F89" ca="1">IF($C$5=0,0,INDEX(Faktoren!E75:GQ75,1,VLOOKUP($F$5,$L$2:$O$14,4,FALSE)+$C$9*5+VLOOKUP(D89,Auswahllisten!$E$25:$F$29,2,FALSE)))</f>
        <v>0</v>
      </c>
      <c r="G89" s="296">
        <f t="shared" ca="1" si="111"/>
        <v>0</v>
      </c>
      <c r="H89" s="296" cm="1">
        <f t="array" aca="1" ref="H89" ca="1">INDIRECT("Investition_gewählt!"&amp;$I$6&amp;AA89)</f>
        <v>4500</v>
      </c>
      <c r="I89" s="61" cm="1">
        <f t="array" aca="1" ref="I89" ca="1">IF($C$5=0,0,INDEX(Faktoren!E75:GQ75,1,VLOOKUP($F$6,$L$2:$O$14,4,FALSE)+$C$9*5+VLOOKUP(D89,Auswahllisten!$E$25:$F$29,2,FALSE)))</f>
        <v>0</v>
      </c>
      <c r="J89" s="163">
        <f t="shared" ca="1" si="112"/>
        <v>0</v>
      </c>
      <c r="K89" s="163">
        <f t="shared" ca="1" si="106"/>
        <v>0</v>
      </c>
      <c r="L89" s="93" t="b">
        <f t="shared" ca="1" si="113"/>
        <v>0</v>
      </c>
      <c r="M89" s="163">
        <f t="shared" ca="1" si="107"/>
        <v>0</v>
      </c>
      <c r="O89" s="93" t="str" cm="1">
        <f t="array" aca="1" ref="O89" ca="1">INDIRECT("Vergleich!"&amp;$Y$2&amp;Z89)</f>
        <v>gering</v>
      </c>
      <c r="P89" s="163" cm="1">
        <f t="array" aca="1" ref="P89" ca="1">INDIRECT("Investition_gewählt!"&amp;$AA$5&amp;AA89)</f>
        <v>4500</v>
      </c>
      <c r="Q89" s="93" cm="1">
        <f t="array" aca="1" ref="Q89" ca="1">IF($U$5=0,0,INDEX(Faktoren!E75:GQ75,1,VLOOKUP($X$5,$L$2:$O$14,4,FALSE)+$U$9*5+VLOOKUP(O89,Auswahllisten!$E$25:$F$29,2,FALSE)))</f>
        <v>0</v>
      </c>
      <c r="R89" s="163">
        <f t="shared" ca="1" si="108"/>
        <v>0</v>
      </c>
      <c r="S89" s="163" cm="1">
        <f t="array" aca="1" ref="S89" ca="1">INDIRECT("Investition_gewählt!"&amp;$AA$6&amp;AA89)</f>
        <v>4500</v>
      </c>
      <c r="T89" s="93" cm="1">
        <f t="array" aca="1" ref="T89" ca="1">IF($U$5=0,0,INDEX(Faktoren!E75:QG75,1,VLOOKUP($X$6,$L$3:$O$14,4,FALSE)+$U$9*5+VLOOKUP(O89,Auswahllisten!$E$25:$F$29,2,FALSE)))</f>
        <v>0</v>
      </c>
      <c r="U89" s="163">
        <f t="shared" ca="1" si="109"/>
        <v>0</v>
      </c>
      <c r="V89" s="163">
        <f t="shared" ca="1" si="115"/>
        <v>0</v>
      </c>
      <c r="W89" s="93" t="b">
        <f t="shared" ca="1" si="114"/>
        <v>0</v>
      </c>
      <c r="X89" s="163">
        <f t="shared" ca="1" si="110"/>
        <v>0</v>
      </c>
      <c r="Z89" s="1">
        <v>50</v>
      </c>
      <c r="AA89" s="1">
        <v>75</v>
      </c>
      <c r="AB89" s="1">
        <v>-2</v>
      </c>
      <c r="AC89" s="82"/>
      <c r="AD89" s="64"/>
      <c r="AE89" s="64"/>
      <c r="AN89" s="1">
        <v>64</v>
      </c>
      <c r="AO89" s="1">
        <f t="shared" si="24"/>
        <v>0</v>
      </c>
      <c r="AP89" s="69">
        <f t="shared" ca="1" si="103"/>
        <v>0</v>
      </c>
      <c r="AQ89" s="69">
        <f t="shared" ca="1" si="103"/>
        <v>0</v>
      </c>
      <c r="AR89" s="69">
        <f t="shared" si="103"/>
        <v>0</v>
      </c>
      <c r="AS89" s="69">
        <f t="shared" ca="1" si="103"/>
        <v>0</v>
      </c>
      <c r="AT89" s="69">
        <f t="shared" ca="1" si="103"/>
        <v>0</v>
      </c>
      <c r="AU89" s="69">
        <f t="shared" ca="1" si="103"/>
        <v>0</v>
      </c>
      <c r="AV89" s="69">
        <f t="shared" si="103"/>
        <v>0</v>
      </c>
      <c r="AW89" s="69">
        <f t="shared" ca="1" si="72"/>
        <v>0</v>
      </c>
      <c r="AX89" s="69">
        <f t="shared" ca="1" si="35"/>
        <v>0</v>
      </c>
      <c r="AY89" s="69">
        <f t="shared" ca="1" si="36"/>
        <v>0</v>
      </c>
      <c r="AZ89" s="69">
        <f ca="1">$AO89*IF(Auswahllisten!$G$150,AZ$25+AZ$25*AZ$13*$AN89,AZ$25*(1+AZ$13)^$AN89)</f>
        <v>0</v>
      </c>
      <c r="BA89" s="69">
        <f ca="1">$AO89*IF(Auswahllisten!$G$150,BA$25+BA$25*BA$13*$AN89,BA$25*(1+BA$13)^$AN89)</f>
        <v>0</v>
      </c>
      <c r="BB89" s="69">
        <f ca="1">$AO89*IF(Auswahllisten!$G$150,BB$25+BB$25*BB$13*$AN89,BB$25*(1+BB$13)^$AN89)</f>
        <v>0</v>
      </c>
      <c r="BC89" s="69">
        <f ca="1">$AO89*IF(Auswahllisten!$G$150,BC$25+BC$25*BC$13*$AN89,BC$25*(1+BC$13)^$AN89)</f>
        <v>0</v>
      </c>
      <c r="BD89" s="69">
        <f t="shared" ca="1" si="37"/>
        <v>0</v>
      </c>
      <c r="BE89" s="69">
        <f t="shared" ca="1" si="38"/>
        <v>0</v>
      </c>
      <c r="BF89" s="69">
        <f t="shared" ca="1" si="39"/>
        <v>0</v>
      </c>
      <c r="BG89" s="69">
        <f t="shared" ca="1" si="40"/>
        <v>0</v>
      </c>
      <c r="BI89" s="69">
        <f t="shared" ca="1" si="105"/>
        <v>0</v>
      </c>
      <c r="BJ89" s="69">
        <f t="shared" ca="1" si="105"/>
        <v>0</v>
      </c>
      <c r="BK89" s="69">
        <f t="shared" si="105"/>
        <v>0</v>
      </c>
      <c r="BL89" s="69">
        <f t="shared" ca="1" si="105"/>
        <v>0</v>
      </c>
      <c r="BM89" s="69">
        <f t="shared" ca="1" si="105"/>
        <v>0</v>
      </c>
      <c r="BN89" s="69">
        <f t="shared" ca="1" si="105"/>
        <v>0</v>
      </c>
      <c r="BO89" s="69">
        <f t="shared" si="105"/>
        <v>0</v>
      </c>
      <c r="BP89" s="69">
        <f t="shared" ca="1" si="82"/>
        <v>0</v>
      </c>
      <c r="BQ89" s="69">
        <f t="shared" ca="1" si="41"/>
        <v>0</v>
      </c>
      <c r="BR89" s="69">
        <f t="shared" ca="1" si="83"/>
        <v>0</v>
      </c>
      <c r="BS89" s="69">
        <f ca="1">$AO89*IF(Auswahllisten!$G$150,BS$25+BS$25*BS$13*$AN89,BS$25*(1+BS$13)^$AN89)</f>
        <v>0</v>
      </c>
      <c r="BT89" s="69">
        <f ca="1">$AO89*IF(Auswahllisten!$G$150,BT$25+BT$25*BT$13*$AN89,BT$25*(1+BT$13)^$AN89)</f>
        <v>0</v>
      </c>
      <c r="BU89" s="69">
        <f ca="1">$AO89*IF(Auswahllisten!$G$150,BU$25+BU$25*BU$13*$AN89,BU$25*(1+BU$13)^$AN89)</f>
        <v>0</v>
      </c>
      <c r="BV89" s="69">
        <f ca="1">$AO89*IF(Auswahllisten!$G$150,BV$25+BV$25*BV$13*$AN89,BV$25*(1+BV$13)^$AN89)</f>
        <v>0</v>
      </c>
      <c r="BW89" s="69">
        <f t="shared" ca="1" si="42"/>
        <v>0</v>
      </c>
      <c r="BX89" s="69">
        <f t="shared" ca="1" si="43"/>
        <v>0</v>
      </c>
      <c r="BY89" s="69">
        <f t="shared" ca="1" si="29"/>
        <v>0</v>
      </c>
      <c r="BZ89" s="69">
        <f t="shared" ca="1" si="30"/>
        <v>0</v>
      </c>
    </row>
    <row r="90" spans="1:78">
      <c r="AA90" s="1">
        <v>76</v>
      </c>
      <c r="AB90" s="1">
        <v>-2</v>
      </c>
      <c r="AC90" s="82"/>
      <c r="AD90" s="64"/>
      <c r="AE90" s="64"/>
      <c r="AN90" s="1">
        <v>65</v>
      </c>
      <c r="AO90" s="1">
        <f t="shared" ref="AO90:AO96" si="116">IF($AS$3&lt;AN90,0,1)</f>
        <v>0</v>
      </c>
      <c r="AP90" s="69">
        <f t="shared" ca="1" si="103"/>
        <v>0</v>
      </c>
      <c r="AQ90" s="69">
        <f t="shared" ca="1" si="103"/>
        <v>0</v>
      </c>
      <c r="AR90" s="69">
        <f t="shared" si="103"/>
        <v>0</v>
      </c>
      <c r="AS90" s="69">
        <f t="shared" ca="1" si="103"/>
        <v>0</v>
      </c>
      <c r="AT90" s="69">
        <f t="shared" ca="1" si="103"/>
        <v>0</v>
      </c>
      <c r="AU90" s="69">
        <f t="shared" ca="1" si="103"/>
        <v>0</v>
      </c>
      <c r="AV90" s="69">
        <f t="shared" si="103"/>
        <v>0</v>
      </c>
      <c r="AW90" s="69">
        <f t="shared" ca="1" si="72"/>
        <v>0</v>
      </c>
      <c r="AX90" s="69">
        <f t="shared" ca="1" si="35"/>
        <v>0</v>
      </c>
      <c r="AY90" s="69">
        <f t="shared" ca="1" si="36"/>
        <v>0</v>
      </c>
      <c r="AZ90" s="69">
        <f ca="1">$AO90*IF(Auswahllisten!$G$150,AZ$25+AZ$25*AZ$13*$AN90,AZ$25*(1+AZ$13)^$AN90)</f>
        <v>0</v>
      </c>
      <c r="BA90" s="69">
        <f ca="1">$AO90*IF(Auswahllisten!$G$150,BA$25+BA$25*BA$13*$AN90,BA$25*(1+BA$13)^$AN90)</f>
        <v>0</v>
      </c>
      <c r="BB90" s="69">
        <f ca="1">$AO90*IF(Auswahllisten!$G$150,BB$25+BB$25*BB$13*$AN90,BB$25*(1+BB$13)^$AN90)</f>
        <v>0</v>
      </c>
      <c r="BC90" s="69">
        <f ca="1">$AO90*IF(Auswahllisten!$G$150,BC$25+BC$25*BC$13*$AN90,BC$25*(1+BC$13)^$AN90)</f>
        <v>0</v>
      </c>
      <c r="BD90" s="69">
        <f t="shared" ca="1" si="37"/>
        <v>0</v>
      </c>
      <c r="BE90" s="69">
        <f t="shared" ca="1" si="38"/>
        <v>0</v>
      </c>
      <c r="BF90" s="69">
        <f t="shared" ca="1" si="39"/>
        <v>0</v>
      </c>
      <c r="BG90" s="69">
        <f t="shared" ca="1" si="40"/>
        <v>0</v>
      </c>
      <c r="BI90" s="69">
        <f t="shared" ca="1" si="105"/>
        <v>0</v>
      </c>
      <c r="BJ90" s="69">
        <f t="shared" ca="1" si="105"/>
        <v>0</v>
      </c>
      <c r="BK90" s="69">
        <f t="shared" si="105"/>
        <v>0</v>
      </c>
      <c r="BL90" s="69">
        <f t="shared" ca="1" si="105"/>
        <v>0</v>
      </c>
      <c r="BM90" s="69">
        <f t="shared" ca="1" si="105"/>
        <v>0</v>
      </c>
      <c r="BN90" s="69">
        <f t="shared" ca="1" si="105"/>
        <v>0</v>
      </c>
      <c r="BO90" s="69">
        <f t="shared" si="105"/>
        <v>0</v>
      </c>
      <c r="BP90" s="69">
        <f t="shared" ca="1" si="82"/>
        <v>0</v>
      </c>
      <c r="BQ90" s="69">
        <f t="shared" ca="1" si="41"/>
        <v>0</v>
      </c>
      <c r="BR90" s="69">
        <f t="shared" ca="1" si="83"/>
        <v>0</v>
      </c>
      <c r="BS90" s="69">
        <f ca="1">$AO90*IF(Auswahllisten!$G$150,BS$25+BS$25*BS$13*$AN90,BS$25*(1+BS$13)^$AN90)</f>
        <v>0</v>
      </c>
      <c r="BT90" s="69">
        <f ca="1">$AO90*IF(Auswahllisten!$G$150,BT$25+BT$25*BT$13*$AN90,BT$25*(1+BT$13)^$AN90)</f>
        <v>0</v>
      </c>
      <c r="BU90" s="69">
        <f ca="1">$AO90*IF(Auswahllisten!$G$150,BU$25+BU$25*BU$13*$AN90,BU$25*(1+BU$13)^$AN90)</f>
        <v>0</v>
      </c>
      <c r="BV90" s="69">
        <f ca="1">$AO90*IF(Auswahllisten!$G$150,BV$25+BV$25*BV$13*$AN90,BV$25*(1+BV$13)^$AN90)</f>
        <v>0</v>
      </c>
      <c r="BW90" s="69">
        <f t="shared" ca="1" si="42"/>
        <v>0</v>
      </c>
      <c r="BX90" s="69">
        <f t="shared" ca="1" si="43"/>
        <v>0</v>
      </c>
      <c r="BY90" s="69">
        <f t="shared" ref="BY90:BY96" ca="1" si="117">BX90/(1+$AS$11)^AN90</f>
        <v>0</v>
      </c>
      <c r="BZ90" s="69">
        <f t="shared" ref="BZ90:BZ125" ca="1" si="118">BZ89+BP90+BR90+BW90+BY90+IF(AN90=$AS$3,$BY$22,0)</f>
        <v>0</v>
      </c>
    </row>
    <row r="91" spans="1:78">
      <c r="A91" s="125" t="s">
        <v>1003</v>
      </c>
      <c r="B91" s="125" t="s">
        <v>32</v>
      </c>
      <c r="C91" s="125"/>
      <c r="D91" s="69"/>
      <c r="E91" s="69"/>
      <c r="G91" s="69"/>
      <c r="H91" s="69"/>
      <c r="J91" s="69"/>
      <c r="K91" s="69"/>
      <c r="M91" s="69"/>
      <c r="P91" s="69"/>
      <c r="R91" s="69"/>
      <c r="S91" s="69"/>
      <c r="U91" s="69"/>
      <c r="V91" s="69"/>
      <c r="X91" s="69"/>
      <c r="AA91" s="1">
        <v>77</v>
      </c>
      <c r="AB91" s="1">
        <v>-2</v>
      </c>
      <c r="AC91" s="82"/>
      <c r="AD91" s="64"/>
      <c r="AE91" s="64"/>
      <c r="AN91" s="1">
        <v>66</v>
      </c>
      <c r="AO91" s="1">
        <f t="shared" si="116"/>
        <v>0</v>
      </c>
      <c r="AP91" s="69">
        <f t="shared" ca="1" si="103"/>
        <v>0</v>
      </c>
      <c r="AQ91" s="69">
        <f t="shared" ca="1" si="103"/>
        <v>0</v>
      </c>
      <c r="AR91" s="69">
        <f t="shared" si="103"/>
        <v>0</v>
      </c>
      <c r="AS91" s="69">
        <f t="shared" ca="1" si="103"/>
        <v>0</v>
      </c>
      <c r="AT91" s="69">
        <f t="shared" ca="1" si="103"/>
        <v>0</v>
      </c>
      <c r="AU91" s="69">
        <f t="shared" ca="1" si="103"/>
        <v>0</v>
      </c>
      <c r="AV91" s="69">
        <f t="shared" si="103"/>
        <v>0</v>
      </c>
      <c r="AW91" s="69">
        <f t="shared" ref="AW91:AW96" ca="1" si="119">SUM(AP91:AV91)/(1+$AS$11)^AN91</f>
        <v>0</v>
      </c>
      <c r="AX91" s="69">
        <f t="shared" ref="AX91:AX96" ca="1" si="120">$AO91*AX$25*(1+$AS$9)^$AN91</f>
        <v>0</v>
      </c>
      <c r="AY91" s="69">
        <f t="shared" ref="AY91:AY96" ca="1" si="121">SUM(AX91)/(1+$AS$11)^AN91</f>
        <v>0</v>
      </c>
      <c r="AZ91" s="69">
        <f ca="1">$AO91*IF(Auswahllisten!$G$150,AZ$25+AZ$25*AZ$13*$AN91,AZ$25*(1+AZ$13)^$AN91)</f>
        <v>0</v>
      </c>
      <c r="BA91" s="69">
        <f ca="1">$AO91*IF(Auswahllisten!$G$150,BA$25+BA$25*BA$13*$AN91,BA$25*(1+BA$13)^$AN91)</f>
        <v>0</v>
      </c>
      <c r="BB91" s="69">
        <f ca="1">$AO91*IF(Auswahllisten!$G$150,BB$25+BB$25*BB$13*$AN91,BB$25*(1+BB$13)^$AN91)</f>
        <v>0</v>
      </c>
      <c r="BC91" s="69">
        <f ca="1">$AO91*IF(Auswahllisten!$G$150,BC$25+BC$25*BC$13*$AN91,BC$25*(1+BC$13)^$AN91)</f>
        <v>0</v>
      </c>
      <c r="BD91" s="69">
        <f t="shared" ref="BD91:BD96" ca="1" si="122">SUM(AZ91:BC91)/(1+$AS$11)^AN91</f>
        <v>0</v>
      </c>
      <c r="BE91" s="69">
        <f t="shared" ref="BE91:BE96" ca="1" si="123">AO91*$BE$25*(1+$AS$8)^AN91</f>
        <v>0</v>
      </c>
      <c r="BF91" s="69">
        <f t="shared" ref="BF91:BF96" ca="1" si="124">BE91/(1+$AS$11)^AN91</f>
        <v>0</v>
      </c>
      <c r="BG91" s="69">
        <f t="shared" ref="BG91:BG125" ca="1" si="125">BG90+AW91+AY91+BD91+BF91+IF(AN91=$AS$3,$BF$22,0)</f>
        <v>0</v>
      </c>
      <c r="BI91" s="69">
        <f t="shared" ca="1" si="105"/>
        <v>0</v>
      </c>
      <c r="BJ91" s="69">
        <f t="shared" ca="1" si="105"/>
        <v>0</v>
      </c>
      <c r="BK91" s="69">
        <f t="shared" si="105"/>
        <v>0</v>
      </c>
      <c r="BL91" s="69">
        <f t="shared" ca="1" si="105"/>
        <v>0</v>
      </c>
      <c r="BM91" s="69">
        <f t="shared" ca="1" si="105"/>
        <v>0</v>
      </c>
      <c r="BN91" s="69">
        <f t="shared" ca="1" si="105"/>
        <v>0</v>
      </c>
      <c r="BO91" s="69">
        <f t="shared" si="105"/>
        <v>0</v>
      </c>
      <c r="BP91" s="69">
        <f t="shared" ca="1" si="82"/>
        <v>0</v>
      </c>
      <c r="BQ91" s="69">
        <f t="shared" ref="BQ91:BQ96" ca="1" si="126">$AO91*BQ$25*(1+$AS$9)^$AN91</f>
        <v>0</v>
      </c>
      <c r="BR91" s="69">
        <f t="shared" ca="1" si="83"/>
        <v>0</v>
      </c>
      <c r="BS91" s="69">
        <f ca="1">$AO91*IF(Auswahllisten!$G$150,BS$25+BS$25*BS$13*$AN91,BS$25*(1+BS$13)^$AN91)</f>
        <v>0</v>
      </c>
      <c r="BT91" s="69">
        <f ca="1">$AO91*IF(Auswahllisten!$G$150,BT$25+BT$25*BT$13*$AN91,BT$25*(1+BT$13)^$AN91)</f>
        <v>0</v>
      </c>
      <c r="BU91" s="69">
        <f ca="1">$AO91*IF(Auswahllisten!$G$150,BU$25+BU$25*BU$13*$AN91,BU$25*(1+BU$13)^$AN91)</f>
        <v>0</v>
      </c>
      <c r="BV91" s="69">
        <f ca="1">$AO91*IF(Auswahllisten!$G$150,BV$25+BV$25*BV$13*$AN91,BV$25*(1+BV$13)^$AN91)</f>
        <v>0</v>
      </c>
      <c r="BW91" s="69">
        <f t="shared" ref="BW91:BW125" ca="1" si="127">SUM(BS91:BV91)/(1+$AS$11)^AN91</f>
        <v>0</v>
      </c>
      <c r="BX91" s="69">
        <f t="shared" ref="BX91:BX96" ca="1" si="128">AO91*$BX$25*(1+$AS$8)^AN91</f>
        <v>0</v>
      </c>
      <c r="BY91" s="69">
        <f t="shared" ca="1" si="117"/>
        <v>0</v>
      </c>
      <c r="BZ91" s="69">
        <f t="shared" ca="1" si="118"/>
        <v>0</v>
      </c>
    </row>
    <row r="92" spans="1:78">
      <c r="A92" s="304" t="s">
        <v>1217</v>
      </c>
      <c r="B92" s="131" t="s">
        <v>1242</v>
      </c>
      <c r="C92" s="131" t="s">
        <v>206</v>
      </c>
      <c r="D92" s="162" t="str" cm="1">
        <f t="array" aca="1" ref="D92" ca="1">INDIRECT("Vergleich!"&amp;$G$2&amp;Z92)</f>
        <v>mittel</v>
      </c>
      <c r="E92" s="162" cm="1">
        <f t="array" aca="1" ref="E92" ca="1">INDIRECT("Investition_gewählt!"&amp;$I$5&amp;AA92)</f>
        <v>5100</v>
      </c>
      <c r="F92" s="25" cm="1">
        <f t="array" aca="1" ref="F92" ca="1">IF($C$5=0,0,INDEX(Faktoren!E78:GQ78,1,VLOOKUP($F$5,$L$2:$O$14,4,FALSE)+$C$9*5+VLOOKUP(D92,Auswahllisten!$E$25:$F$29,2,FALSE)))</f>
        <v>0</v>
      </c>
      <c r="G92" s="162">
        <f ca="1">E92*F92</f>
        <v>0</v>
      </c>
      <c r="H92" s="162" cm="1">
        <f t="array" aca="1" ref="H92" ca="1">INDIRECT("Investition_gewählt!"&amp;$I$6&amp;AA92)</f>
        <v>5100</v>
      </c>
      <c r="I92" s="25" cm="1">
        <f t="array" aca="1" ref="I92" ca="1">IF($C$5=0,0,INDEX(Faktoren!E78:GQ78,1,VLOOKUP($F$6,$L$2:$O$14,4,FALSE)+$C$9*5+VLOOKUP(D92,Auswahllisten!$E$25:$F$29,2,FALSE)))</f>
        <v>0</v>
      </c>
      <c r="J92" s="162">
        <f ca="1">H92*I92</f>
        <v>0</v>
      </c>
      <c r="K92" s="162">
        <f t="shared" ref="K92:K94" ca="1" si="129">IF($C$5=0,0,G92+(J92-G92)*($C$6-$F$5)/($F$6-$F$5))</f>
        <v>0</v>
      </c>
      <c r="L92" s="25" t="b">
        <f ca="1">(OR($C$5=10,$C$5=11,$C$5=12,$C$5=13))</f>
        <v>0</v>
      </c>
      <c r="M92" s="162">
        <f t="shared" ref="M92:M94" ca="1" si="130">IFERROR(ROUND(K92*L92,AB92),0)</f>
        <v>0</v>
      </c>
      <c r="O92" s="25" t="str" cm="1">
        <f t="array" aca="1" ref="O92" ca="1">INDIRECT("Vergleich!"&amp;$Y$2&amp;Z92)</f>
        <v>gering</v>
      </c>
      <c r="P92" s="162" cm="1">
        <f t="array" aca="1" ref="P92" ca="1">INDIRECT("Investition_gewählt!"&amp;$AA$5&amp;AA92)</f>
        <v>5100</v>
      </c>
      <c r="Q92" s="25" cm="1">
        <f t="array" aca="1" ref="Q92" ca="1">IF($U$5=0,0,INDEX(Faktoren!E78:GQ78,1,VLOOKUP($X$5,$L$2:$O$14,4,FALSE)+$U$9*5+VLOOKUP(O92,Auswahllisten!$E$25:$F$29,2,FALSE)))</f>
        <v>0</v>
      </c>
      <c r="R92" s="162">
        <f t="shared" ref="R92:R94" ca="1" si="131">P92*Q92</f>
        <v>0</v>
      </c>
      <c r="S92" s="162" cm="1">
        <f t="array" aca="1" ref="S92" ca="1">INDIRECT("Investition_gewählt!"&amp;$AA$6&amp;AA92)</f>
        <v>5100</v>
      </c>
      <c r="T92" s="25" cm="1">
        <f t="array" aca="1" ref="T92" ca="1">IF($U$5=0,0,INDEX(Faktoren!E78:QG78,1,VLOOKUP($X$6,$L$3:$O$14,4,FALSE)+$U$9*5+VLOOKUP(O92,Auswahllisten!$E$25:$F$29,2,FALSE)))</f>
        <v>0</v>
      </c>
      <c r="U92" s="162">
        <f t="shared" ref="U92:U94" ca="1" si="132">S92*T92</f>
        <v>0</v>
      </c>
      <c r="V92" s="162">
        <f t="shared" ca="1" si="115"/>
        <v>0</v>
      </c>
      <c r="W92" s="25" t="b">
        <f ca="1">(OR($U$5=10,$U$5=11,$U$5=12,$U$5=13))</f>
        <v>0</v>
      </c>
      <c r="X92" s="162">
        <f ca="1">IFERROR(ROUND(V92*W92,AB92),0)</f>
        <v>0</v>
      </c>
      <c r="Z92" s="1">
        <v>38</v>
      </c>
      <c r="AA92" s="1">
        <v>78</v>
      </c>
      <c r="AB92" s="1">
        <v>-2</v>
      </c>
      <c r="AC92" s="82"/>
      <c r="AD92" s="64"/>
      <c r="AE92" s="64"/>
      <c r="AN92" s="1">
        <v>67</v>
      </c>
      <c r="AO92" s="1">
        <f t="shared" si="116"/>
        <v>0</v>
      </c>
      <c r="AP92" s="69">
        <f t="shared" ca="1" si="103"/>
        <v>0</v>
      </c>
      <c r="AQ92" s="69">
        <f t="shared" ca="1" si="103"/>
        <v>0</v>
      </c>
      <c r="AR92" s="69">
        <f t="shared" si="103"/>
        <v>0</v>
      </c>
      <c r="AS92" s="69">
        <f t="shared" ca="1" si="103"/>
        <v>0</v>
      </c>
      <c r="AT92" s="69">
        <f t="shared" ca="1" si="103"/>
        <v>0</v>
      </c>
      <c r="AU92" s="69">
        <f t="shared" ca="1" si="103"/>
        <v>0</v>
      </c>
      <c r="AV92" s="69">
        <f t="shared" si="103"/>
        <v>0</v>
      </c>
      <c r="AW92" s="69">
        <f t="shared" ca="1" si="119"/>
        <v>0</v>
      </c>
      <c r="AX92" s="69">
        <f t="shared" ca="1" si="120"/>
        <v>0</v>
      </c>
      <c r="AY92" s="69">
        <f t="shared" ca="1" si="121"/>
        <v>0</v>
      </c>
      <c r="AZ92" s="69">
        <f ca="1">$AO92*IF(Auswahllisten!$G$150,AZ$25+AZ$25*AZ$13*$AN92,AZ$25*(1+AZ$13)^$AN92)</f>
        <v>0</v>
      </c>
      <c r="BA92" s="69">
        <f ca="1">$AO92*IF(Auswahllisten!$G$150,BA$25+BA$25*BA$13*$AN92,BA$25*(1+BA$13)^$AN92)</f>
        <v>0</v>
      </c>
      <c r="BB92" s="69">
        <f ca="1">$AO92*IF(Auswahllisten!$G$150,BB$25+BB$25*BB$13*$AN92,BB$25*(1+BB$13)^$AN92)</f>
        <v>0</v>
      </c>
      <c r="BC92" s="69">
        <f ca="1">$AO92*IF(Auswahllisten!$G$150,BC$25+BC$25*BC$13*$AN92,BC$25*(1+BC$13)^$AN92)</f>
        <v>0</v>
      </c>
      <c r="BD92" s="69">
        <f t="shared" ca="1" si="122"/>
        <v>0</v>
      </c>
      <c r="BE92" s="69">
        <f t="shared" ca="1" si="123"/>
        <v>0</v>
      </c>
      <c r="BF92" s="69">
        <f t="shared" ca="1" si="124"/>
        <v>0</v>
      </c>
      <c r="BG92" s="69">
        <f t="shared" ca="1" si="125"/>
        <v>0</v>
      </c>
      <c r="BI92" s="69">
        <f t="shared" ca="1" si="105"/>
        <v>0</v>
      </c>
      <c r="BJ92" s="69">
        <f t="shared" ca="1" si="105"/>
        <v>0</v>
      </c>
      <c r="BK92" s="69">
        <f t="shared" si="105"/>
        <v>0</v>
      </c>
      <c r="BL92" s="69">
        <f t="shared" ca="1" si="105"/>
        <v>0</v>
      </c>
      <c r="BM92" s="69">
        <f t="shared" ca="1" si="105"/>
        <v>0</v>
      </c>
      <c r="BN92" s="69">
        <f t="shared" ca="1" si="105"/>
        <v>0</v>
      </c>
      <c r="BO92" s="69">
        <f t="shared" si="105"/>
        <v>0</v>
      </c>
      <c r="BP92" s="69">
        <f t="shared" ca="1" si="82"/>
        <v>0</v>
      </c>
      <c r="BQ92" s="69">
        <f t="shared" ca="1" si="126"/>
        <v>0</v>
      </c>
      <c r="BR92" s="69">
        <f t="shared" ca="1" si="83"/>
        <v>0</v>
      </c>
      <c r="BS92" s="69">
        <f ca="1">$AO92*IF(Auswahllisten!$G$150,BS$25+BS$25*BS$13*$AN92,BS$25*(1+BS$13)^$AN92)</f>
        <v>0</v>
      </c>
      <c r="BT92" s="69">
        <f ca="1">$AO92*IF(Auswahllisten!$G$150,BT$25+BT$25*BT$13*$AN92,BT$25*(1+BT$13)^$AN92)</f>
        <v>0</v>
      </c>
      <c r="BU92" s="69">
        <f ca="1">$AO92*IF(Auswahllisten!$G$150,BU$25+BU$25*BU$13*$AN92,BU$25*(1+BU$13)^$AN92)</f>
        <v>0</v>
      </c>
      <c r="BV92" s="69">
        <f ca="1">$AO92*IF(Auswahllisten!$G$150,BV$25+BV$25*BV$13*$AN92,BV$25*(1+BV$13)^$AN92)</f>
        <v>0</v>
      </c>
      <c r="BW92" s="69">
        <f t="shared" ca="1" si="127"/>
        <v>0</v>
      </c>
      <c r="BX92" s="69">
        <f t="shared" ca="1" si="128"/>
        <v>0</v>
      </c>
      <c r="BY92" s="69">
        <f t="shared" ca="1" si="117"/>
        <v>0</v>
      </c>
      <c r="BZ92" s="69">
        <f t="shared" ca="1" si="118"/>
        <v>0</v>
      </c>
    </row>
    <row r="93" spans="1:78">
      <c r="A93" s="305" t="s">
        <v>1215</v>
      </c>
      <c r="B93" s="126" t="s">
        <v>303</v>
      </c>
      <c r="C93" s="126" t="s">
        <v>241</v>
      </c>
      <c r="D93" s="26" t="str" cm="1">
        <f t="array" aca="1" ref="D93" ca="1">INDIRECT("Vergleich!"&amp;$G$2&amp;Z93)</f>
        <v>mittel</v>
      </c>
      <c r="E93" s="26" cm="1">
        <f t="array" aca="1" ref="E93" ca="1">INDIRECT("Investition_gewählt!"&amp;$I$5&amp;AA93)</f>
        <v>7000</v>
      </c>
      <c r="F93" s="25" cm="1">
        <f t="array" aca="1" ref="F93" ca="1">IF($C$5=0,0,INDEX(Faktoren!E79:GQ79,1,VLOOKUP($F$5,$L$2:$O$14,4,FALSE)+$C$9*5+VLOOKUP(D93,Auswahllisten!$E$25:$F$29,2,FALSE)))</f>
        <v>0</v>
      </c>
      <c r="G93" s="26">
        <f t="shared" ref="G93:G94" ca="1" si="133">E93*F93</f>
        <v>0</v>
      </c>
      <c r="H93" s="26" cm="1">
        <f t="array" aca="1" ref="H93" ca="1">INDIRECT("Investition_gewählt!"&amp;$I$6&amp;AA93)</f>
        <v>7000</v>
      </c>
      <c r="I93" s="25" cm="1">
        <f t="array" aca="1" ref="I93" ca="1">IF($C$5=0,0,INDEX(Faktoren!E79:GQ79,1,VLOOKUP($F$6,$L$2:$O$14,4,FALSE)+$C$9*5+VLOOKUP(D93,Auswahllisten!$E$25:$F$29,2,FALSE)))</f>
        <v>0</v>
      </c>
      <c r="J93" s="26">
        <f t="shared" ref="J93:J94" ca="1" si="134">H93*I93</f>
        <v>0</v>
      </c>
      <c r="K93" s="26">
        <f t="shared" ca="1" si="129"/>
        <v>0</v>
      </c>
      <c r="L93" s="16" t="b">
        <f ca="1">(OR($C$5=10,$C$5=11,$C$5=12,$C$5=13))</f>
        <v>0</v>
      </c>
      <c r="M93" s="26">
        <f t="shared" ca="1" si="130"/>
        <v>0</v>
      </c>
      <c r="O93" s="16" t="str" cm="1">
        <f t="array" aca="1" ref="O93" ca="1">INDIRECT("Vergleich!"&amp;$Y$2&amp;Z93)</f>
        <v>gering</v>
      </c>
      <c r="P93" s="26" cm="1">
        <f t="array" aca="1" ref="P93" ca="1">INDIRECT("Investition_gewählt!"&amp;$AA$5&amp;AA93)</f>
        <v>7000</v>
      </c>
      <c r="Q93" s="16" cm="1">
        <f t="array" aca="1" ref="Q93" ca="1">IF($U$5=0,0,INDEX(Faktoren!E79:GQ79,1,VLOOKUP($X$5,$L$2:$O$14,4,FALSE)+$U$9*5+VLOOKUP(O93,Auswahllisten!$E$25:$F$29,2,FALSE)))</f>
        <v>0</v>
      </c>
      <c r="R93" s="26">
        <f t="shared" ca="1" si="131"/>
        <v>0</v>
      </c>
      <c r="S93" s="26" cm="1">
        <f t="array" aca="1" ref="S93" ca="1">INDIRECT("Investition_gewählt!"&amp;$AA$6&amp;AA93)</f>
        <v>7000</v>
      </c>
      <c r="T93" s="16" cm="1">
        <f t="array" aca="1" ref="T93" ca="1">IF($U$5=0,0,INDEX(Faktoren!E79:QG79,1,VLOOKUP($X$6,$L$3:$O$14,4,FALSE)+$U$9*5+VLOOKUP(O93,Auswahllisten!$E$25:$F$29,2,FALSE)))</f>
        <v>0</v>
      </c>
      <c r="U93" s="26">
        <f t="shared" ca="1" si="132"/>
        <v>0</v>
      </c>
      <c r="V93" s="26">
        <f t="shared" ca="1" si="115"/>
        <v>0</v>
      </c>
      <c r="W93" s="25" t="b">
        <f ca="1">(OR($U$5=10,$U$5=11,$U$5=12,$U$5=13))</f>
        <v>0</v>
      </c>
      <c r="X93" s="26">
        <f ca="1">IFERROR(ROUND(V93*W93,AB93),0)</f>
        <v>0</v>
      </c>
      <c r="Z93" s="1">
        <v>43</v>
      </c>
      <c r="AA93" s="1">
        <v>79</v>
      </c>
      <c r="AB93" s="1">
        <v>-2</v>
      </c>
      <c r="AC93" s="82"/>
      <c r="AD93" s="64"/>
      <c r="AE93" s="64"/>
      <c r="AN93" s="1">
        <v>68</v>
      </c>
      <c r="AO93" s="1">
        <f t="shared" si="116"/>
        <v>0</v>
      </c>
      <c r="AP93" s="69">
        <f t="shared" ca="1" si="103"/>
        <v>0</v>
      </c>
      <c r="AQ93" s="69">
        <f t="shared" ca="1" si="103"/>
        <v>0</v>
      </c>
      <c r="AR93" s="69">
        <f t="shared" si="103"/>
        <v>0</v>
      </c>
      <c r="AS93" s="69">
        <f t="shared" ca="1" si="103"/>
        <v>0</v>
      </c>
      <c r="AT93" s="69">
        <f t="shared" ca="1" si="103"/>
        <v>0</v>
      </c>
      <c r="AU93" s="69">
        <f t="shared" ca="1" si="103"/>
        <v>0</v>
      </c>
      <c r="AV93" s="69">
        <f t="shared" si="103"/>
        <v>0</v>
      </c>
      <c r="AW93" s="69">
        <f t="shared" ca="1" si="119"/>
        <v>0</v>
      </c>
      <c r="AX93" s="69">
        <f t="shared" ca="1" si="120"/>
        <v>0</v>
      </c>
      <c r="AY93" s="69">
        <f t="shared" ca="1" si="121"/>
        <v>0</v>
      </c>
      <c r="AZ93" s="69">
        <f ca="1">$AO93*IF(Auswahllisten!$G$150,AZ$25+AZ$25*AZ$13*$AN93,AZ$25*(1+AZ$13)^$AN93)</f>
        <v>0</v>
      </c>
      <c r="BA93" s="69">
        <f ca="1">$AO93*IF(Auswahllisten!$G$150,BA$25+BA$25*BA$13*$AN93,BA$25*(1+BA$13)^$AN93)</f>
        <v>0</v>
      </c>
      <c r="BB93" s="69">
        <f ca="1">$AO93*IF(Auswahllisten!$G$150,BB$25+BB$25*BB$13*$AN93,BB$25*(1+BB$13)^$AN93)</f>
        <v>0</v>
      </c>
      <c r="BC93" s="69">
        <f ca="1">$AO93*IF(Auswahllisten!$G$150,BC$25+BC$25*BC$13*$AN93,BC$25*(1+BC$13)^$AN93)</f>
        <v>0</v>
      </c>
      <c r="BD93" s="69">
        <f t="shared" ca="1" si="122"/>
        <v>0</v>
      </c>
      <c r="BE93" s="69">
        <f t="shared" ca="1" si="123"/>
        <v>0</v>
      </c>
      <c r="BF93" s="69">
        <f t="shared" ca="1" si="124"/>
        <v>0</v>
      </c>
      <c r="BG93" s="69">
        <f t="shared" ca="1" si="125"/>
        <v>0</v>
      </c>
      <c r="BI93" s="69">
        <f t="shared" ca="1" si="105"/>
        <v>0</v>
      </c>
      <c r="BJ93" s="69">
        <f t="shared" ca="1" si="105"/>
        <v>0</v>
      </c>
      <c r="BK93" s="69">
        <f t="shared" si="105"/>
        <v>0</v>
      </c>
      <c r="BL93" s="69">
        <f t="shared" ca="1" si="105"/>
        <v>0</v>
      </c>
      <c r="BM93" s="69">
        <f t="shared" ca="1" si="105"/>
        <v>0</v>
      </c>
      <c r="BN93" s="69">
        <f t="shared" ca="1" si="105"/>
        <v>0</v>
      </c>
      <c r="BO93" s="69">
        <f t="shared" si="105"/>
        <v>0</v>
      </c>
      <c r="BP93" s="69">
        <f t="shared" ca="1" si="82"/>
        <v>0</v>
      </c>
      <c r="BQ93" s="69">
        <f t="shared" ca="1" si="126"/>
        <v>0</v>
      </c>
      <c r="BR93" s="69">
        <f t="shared" ca="1" si="83"/>
        <v>0</v>
      </c>
      <c r="BS93" s="69">
        <f ca="1">$AO93*IF(Auswahllisten!$G$150,BS$25+BS$25*BS$13*$AN93,BS$25*(1+BS$13)^$AN93)</f>
        <v>0</v>
      </c>
      <c r="BT93" s="69">
        <f ca="1">$AO93*IF(Auswahllisten!$G$150,BT$25+BT$25*BT$13*$AN93,BT$25*(1+BT$13)^$AN93)</f>
        <v>0</v>
      </c>
      <c r="BU93" s="69">
        <f ca="1">$AO93*IF(Auswahllisten!$G$150,BU$25+BU$25*BU$13*$AN93,BU$25*(1+BU$13)^$AN93)</f>
        <v>0</v>
      </c>
      <c r="BV93" s="69">
        <f ca="1">$AO93*IF(Auswahllisten!$G$150,BV$25+BV$25*BV$13*$AN93,BV$25*(1+BV$13)^$AN93)</f>
        <v>0</v>
      </c>
      <c r="BW93" s="69">
        <f t="shared" ca="1" si="127"/>
        <v>0</v>
      </c>
      <c r="BX93" s="69">
        <f t="shared" ca="1" si="128"/>
        <v>0</v>
      </c>
      <c r="BY93" s="69">
        <f t="shared" ca="1" si="117"/>
        <v>0</v>
      </c>
      <c r="BZ93" s="69">
        <f t="shared" ca="1" si="118"/>
        <v>0</v>
      </c>
    </row>
    <row r="94" spans="1:78">
      <c r="A94" s="307" t="s">
        <v>1215</v>
      </c>
      <c r="B94" s="297" t="s">
        <v>303</v>
      </c>
      <c r="C94" s="134" t="s">
        <v>966</v>
      </c>
      <c r="D94" s="163" t="str" cm="1">
        <f t="array" aca="1" ref="D94" ca="1">INDIRECT("Vergleich!"&amp;$G$2&amp;Z94)</f>
        <v>mittel</v>
      </c>
      <c r="E94" s="163" cm="1">
        <f t="array" aca="1" ref="E94" ca="1">INDIRECT("Investition_gewählt!"&amp;$I$5&amp;AA94)</f>
        <v>2500</v>
      </c>
      <c r="F94" s="61" cm="1">
        <f t="array" aca="1" ref="F94" ca="1">IF($C$5=0,0,INDEX(Faktoren!E80:GQ80,1,VLOOKUP($F$5,$L$2:$O$14,4,FALSE)+$C$9*5+VLOOKUP(D94,Auswahllisten!$E$25:$F$29,2,FALSE)))</f>
        <v>0</v>
      </c>
      <c r="G94" s="296">
        <f t="shared" ca="1" si="133"/>
        <v>0</v>
      </c>
      <c r="H94" s="296" cm="1">
        <f t="array" aca="1" ref="H94" ca="1">INDIRECT("Investition_gewählt!"&amp;$I$6&amp;AA94)</f>
        <v>2500</v>
      </c>
      <c r="I94" s="61" cm="1">
        <f t="array" aca="1" ref="I94" ca="1">IF($C$5=0,0,INDEX(Faktoren!E80:GQ80,1,VLOOKUP($F$6,$L$2:$O$14,4,FALSE)+$C$9*5+VLOOKUP(D94,Auswahllisten!$E$25:$F$29,2,FALSE)))</f>
        <v>0</v>
      </c>
      <c r="J94" s="163">
        <f t="shared" ca="1" si="134"/>
        <v>0</v>
      </c>
      <c r="K94" s="163">
        <f t="shared" ca="1" si="129"/>
        <v>0</v>
      </c>
      <c r="L94" s="93" t="b">
        <f ca="1">(OR($C$5=10,$C$5=11,$C$5=12,$C$5=13))</f>
        <v>0</v>
      </c>
      <c r="M94" s="163">
        <f t="shared" ca="1" si="130"/>
        <v>0</v>
      </c>
      <c r="O94" s="93" t="str" cm="1">
        <f t="array" aca="1" ref="O94" ca="1">INDIRECT("Vergleich!"&amp;$Y$2&amp;Z94)</f>
        <v>gering</v>
      </c>
      <c r="P94" s="163" cm="1">
        <f t="array" aca="1" ref="P94" ca="1">INDIRECT("Investition_gewählt!"&amp;$AA$5&amp;AA94)</f>
        <v>2500</v>
      </c>
      <c r="Q94" s="93" cm="1">
        <f t="array" aca="1" ref="Q94" ca="1">IF($U$5=0,0,INDEX(Faktoren!E80:GQ80,1,VLOOKUP($X$5,$L$2:$O$14,4,FALSE)+$U$9*5+VLOOKUP(O94,Auswahllisten!$E$25:$F$29,2,FALSE)))</f>
        <v>0</v>
      </c>
      <c r="R94" s="163">
        <f t="shared" ca="1" si="131"/>
        <v>0</v>
      </c>
      <c r="S94" s="163" cm="1">
        <f t="array" aca="1" ref="S94" ca="1">INDIRECT("Investition_gewählt!"&amp;$AA$6&amp;AA94)</f>
        <v>2500</v>
      </c>
      <c r="T94" s="93" cm="1">
        <f t="array" aca="1" ref="T94" ca="1">IF($U$5=0,0,INDEX(Faktoren!E80:QG80,1,VLOOKUP($X$6,$L$3:$O$14,4,FALSE)+$U$9*5+VLOOKUP(O94,Auswahllisten!$E$25:$F$29,2,FALSE)))</f>
        <v>0</v>
      </c>
      <c r="U94" s="163">
        <f t="shared" ca="1" si="132"/>
        <v>0</v>
      </c>
      <c r="V94" s="163">
        <f t="shared" ca="1" si="115"/>
        <v>0</v>
      </c>
      <c r="W94" s="61" t="b">
        <f ca="1">(OR($U$5=10,$U$5=11,$U$5=12,$U$5=13))</f>
        <v>0</v>
      </c>
      <c r="X94" s="163">
        <f ca="1">IFERROR(ROUND(V94*W94,AB94),0)</f>
        <v>0</v>
      </c>
      <c r="Z94" s="1">
        <v>47</v>
      </c>
      <c r="AA94" s="1">
        <v>80</v>
      </c>
      <c r="AB94" s="1">
        <v>-2</v>
      </c>
      <c r="AC94" s="82"/>
      <c r="AD94" s="64"/>
      <c r="AE94" s="64"/>
      <c r="AN94" s="1">
        <v>69</v>
      </c>
      <c r="AO94" s="1">
        <f t="shared" si="116"/>
        <v>0</v>
      </c>
      <c r="AP94" s="69">
        <f t="shared" ref="AP94:AV96" ca="1" si="135">IFERROR($AO94*IF(MOD($AN94,AP$20)=0,AP$25,0)*(1+$AS$10)^$AN94*IF($AS$3=$AN94,0,1),0)</f>
        <v>0</v>
      </c>
      <c r="AQ94" s="69">
        <f t="shared" ca="1" si="135"/>
        <v>0</v>
      </c>
      <c r="AR94" s="69">
        <f t="shared" si="135"/>
        <v>0</v>
      </c>
      <c r="AS94" s="69">
        <f t="shared" ca="1" si="135"/>
        <v>0</v>
      </c>
      <c r="AT94" s="69">
        <f t="shared" ca="1" si="135"/>
        <v>0</v>
      </c>
      <c r="AU94" s="69">
        <f t="shared" ca="1" si="135"/>
        <v>0</v>
      </c>
      <c r="AV94" s="69">
        <f t="shared" si="135"/>
        <v>0</v>
      </c>
      <c r="AW94" s="69">
        <f t="shared" ca="1" si="119"/>
        <v>0</v>
      </c>
      <c r="AX94" s="69">
        <f t="shared" ca="1" si="120"/>
        <v>0</v>
      </c>
      <c r="AY94" s="69">
        <f t="shared" ca="1" si="121"/>
        <v>0</v>
      </c>
      <c r="AZ94" s="69">
        <f ca="1">$AO94*IF(Auswahllisten!$G$150,AZ$25+AZ$25*AZ$13*$AN94,AZ$25*(1+AZ$13)^$AN94)</f>
        <v>0</v>
      </c>
      <c r="BA94" s="69">
        <f ca="1">$AO94*IF(Auswahllisten!$G$150,BA$25+BA$25*BA$13*$AN94,BA$25*(1+BA$13)^$AN94)</f>
        <v>0</v>
      </c>
      <c r="BB94" s="69">
        <f ca="1">$AO94*IF(Auswahllisten!$G$150,BB$25+BB$25*BB$13*$AN94,BB$25*(1+BB$13)^$AN94)</f>
        <v>0</v>
      </c>
      <c r="BC94" s="69">
        <f ca="1">$AO94*IF(Auswahllisten!$G$150,BC$25+BC$25*BC$13*$AN94,BC$25*(1+BC$13)^$AN94)</f>
        <v>0</v>
      </c>
      <c r="BD94" s="69">
        <f t="shared" ca="1" si="122"/>
        <v>0</v>
      </c>
      <c r="BE94" s="69">
        <f t="shared" ca="1" si="123"/>
        <v>0</v>
      </c>
      <c r="BF94" s="69">
        <f t="shared" ca="1" si="124"/>
        <v>0</v>
      </c>
      <c r="BG94" s="69">
        <f t="shared" ca="1" si="125"/>
        <v>0</v>
      </c>
      <c r="BI94" s="69">
        <f t="shared" ca="1" si="105"/>
        <v>0</v>
      </c>
      <c r="BJ94" s="69">
        <f t="shared" ca="1" si="105"/>
        <v>0</v>
      </c>
      <c r="BK94" s="69">
        <f t="shared" si="105"/>
        <v>0</v>
      </c>
      <c r="BL94" s="69">
        <f t="shared" ca="1" si="105"/>
        <v>0</v>
      </c>
      <c r="BM94" s="69">
        <f t="shared" ca="1" si="105"/>
        <v>0</v>
      </c>
      <c r="BN94" s="69">
        <f t="shared" ca="1" si="105"/>
        <v>0</v>
      </c>
      <c r="BO94" s="69">
        <f t="shared" si="105"/>
        <v>0</v>
      </c>
      <c r="BP94" s="69">
        <f t="shared" ca="1" si="82"/>
        <v>0</v>
      </c>
      <c r="BQ94" s="69">
        <f t="shared" ca="1" si="126"/>
        <v>0</v>
      </c>
      <c r="BR94" s="69">
        <f t="shared" ca="1" si="83"/>
        <v>0</v>
      </c>
      <c r="BS94" s="69">
        <f ca="1">$AO94*IF(Auswahllisten!$G$150,BS$25+BS$25*BS$13*$AN94,BS$25*(1+BS$13)^$AN94)</f>
        <v>0</v>
      </c>
      <c r="BT94" s="69">
        <f ca="1">$AO94*IF(Auswahllisten!$G$150,BT$25+BT$25*BT$13*$AN94,BT$25*(1+BT$13)^$AN94)</f>
        <v>0</v>
      </c>
      <c r="BU94" s="69">
        <f ca="1">$AO94*IF(Auswahllisten!$G$150,BU$25+BU$25*BU$13*$AN94,BU$25*(1+BU$13)^$AN94)</f>
        <v>0</v>
      </c>
      <c r="BV94" s="69">
        <f ca="1">$AO94*IF(Auswahllisten!$G$150,BV$25+BV$25*BV$13*$AN94,BV$25*(1+BV$13)^$AN94)</f>
        <v>0</v>
      </c>
      <c r="BW94" s="69">
        <f t="shared" ca="1" si="127"/>
        <v>0</v>
      </c>
      <c r="BX94" s="69">
        <f t="shared" ca="1" si="128"/>
        <v>0</v>
      </c>
      <c r="BY94" s="69">
        <f t="shared" ca="1" si="117"/>
        <v>0</v>
      </c>
      <c r="BZ94" s="69">
        <f t="shared" ca="1" si="118"/>
        <v>0</v>
      </c>
    </row>
    <row r="95" spans="1:78">
      <c r="D95" s="69"/>
      <c r="G95" s="69"/>
      <c r="H95" s="69"/>
      <c r="M95" s="69"/>
      <c r="X95" s="69"/>
      <c r="AA95" s="1">
        <v>81</v>
      </c>
      <c r="AB95" s="1">
        <v>-2</v>
      </c>
      <c r="AC95" s="82"/>
      <c r="AD95" s="64"/>
      <c r="AE95" s="64"/>
      <c r="AN95" s="1">
        <v>70</v>
      </c>
      <c r="AO95" s="1">
        <f t="shared" si="116"/>
        <v>0</v>
      </c>
      <c r="AP95" s="69">
        <f t="shared" ca="1" si="135"/>
        <v>0</v>
      </c>
      <c r="AQ95" s="69">
        <f t="shared" ca="1" si="135"/>
        <v>0</v>
      </c>
      <c r="AR95" s="69">
        <f t="shared" si="135"/>
        <v>0</v>
      </c>
      <c r="AS95" s="69">
        <f t="shared" ca="1" si="135"/>
        <v>0</v>
      </c>
      <c r="AT95" s="69">
        <f t="shared" ca="1" si="135"/>
        <v>0</v>
      </c>
      <c r="AU95" s="69">
        <f t="shared" ca="1" si="135"/>
        <v>0</v>
      </c>
      <c r="AV95" s="69">
        <f t="shared" si="135"/>
        <v>0</v>
      </c>
      <c r="AW95" s="69">
        <f t="shared" ca="1" si="119"/>
        <v>0</v>
      </c>
      <c r="AX95" s="69">
        <f t="shared" ca="1" si="120"/>
        <v>0</v>
      </c>
      <c r="AY95" s="69">
        <f t="shared" ca="1" si="121"/>
        <v>0</v>
      </c>
      <c r="AZ95" s="69">
        <f ca="1">$AO95*IF(Auswahllisten!$G$150,AZ$25+AZ$25*AZ$13*$AN95,AZ$25*(1+AZ$13)^$AN95)</f>
        <v>0</v>
      </c>
      <c r="BA95" s="69">
        <f ca="1">$AO95*IF(Auswahllisten!$G$150,BA$25+BA$25*BA$13*$AN95,BA$25*(1+BA$13)^$AN95)</f>
        <v>0</v>
      </c>
      <c r="BB95" s="69">
        <f ca="1">$AO95*IF(Auswahllisten!$G$150,BB$25+BB$25*BB$13*$AN95,BB$25*(1+BB$13)^$AN95)</f>
        <v>0</v>
      </c>
      <c r="BC95" s="69">
        <f ca="1">$AO95*IF(Auswahllisten!$G$150,BC$25+BC$25*BC$13*$AN95,BC$25*(1+BC$13)^$AN95)</f>
        <v>0</v>
      </c>
      <c r="BD95" s="69">
        <f t="shared" ca="1" si="122"/>
        <v>0</v>
      </c>
      <c r="BE95" s="69">
        <f t="shared" ca="1" si="123"/>
        <v>0</v>
      </c>
      <c r="BF95" s="69">
        <f t="shared" ca="1" si="124"/>
        <v>0</v>
      </c>
      <c r="BG95" s="69">
        <f t="shared" ca="1" si="125"/>
        <v>0</v>
      </c>
      <c r="BI95" s="69">
        <f t="shared" ca="1" si="105"/>
        <v>0</v>
      </c>
      <c r="BJ95" s="69">
        <f t="shared" ca="1" si="105"/>
        <v>0</v>
      </c>
      <c r="BK95" s="69">
        <f t="shared" si="105"/>
        <v>0</v>
      </c>
      <c r="BL95" s="69">
        <f t="shared" ca="1" si="105"/>
        <v>0</v>
      </c>
      <c r="BM95" s="69">
        <f t="shared" ca="1" si="105"/>
        <v>0</v>
      </c>
      <c r="BN95" s="69">
        <f t="shared" ca="1" si="105"/>
        <v>0</v>
      </c>
      <c r="BO95" s="69">
        <f t="shared" si="105"/>
        <v>0</v>
      </c>
      <c r="BP95" s="69">
        <f t="shared" ca="1" si="82"/>
        <v>0</v>
      </c>
      <c r="BQ95" s="69">
        <f t="shared" ca="1" si="126"/>
        <v>0</v>
      </c>
      <c r="BR95" s="69">
        <f t="shared" ca="1" si="83"/>
        <v>0</v>
      </c>
      <c r="BS95" s="69">
        <f ca="1">$AO95*IF(Auswahllisten!$G$150,BS$25+BS$25*BS$13*$AN95,BS$25*(1+BS$13)^$AN95)</f>
        <v>0</v>
      </c>
      <c r="BT95" s="69">
        <f ca="1">$AO95*IF(Auswahllisten!$G$150,BT$25+BT$25*BT$13*$AN95,BT$25*(1+BT$13)^$AN95)</f>
        <v>0</v>
      </c>
      <c r="BU95" s="69">
        <f ca="1">$AO95*IF(Auswahllisten!$G$150,BU$25+BU$25*BU$13*$AN95,BU$25*(1+BU$13)^$AN95)</f>
        <v>0</v>
      </c>
      <c r="BV95" s="69">
        <f ca="1">$AO95*IF(Auswahllisten!$G$150,BV$25+BV$25*BV$13*$AN95,BV$25*(1+BV$13)^$AN95)</f>
        <v>0</v>
      </c>
      <c r="BW95" s="69">
        <f t="shared" ca="1" si="127"/>
        <v>0</v>
      </c>
      <c r="BX95" s="69">
        <f t="shared" ca="1" si="128"/>
        <v>0</v>
      </c>
      <c r="BY95" s="69">
        <f t="shared" ca="1" si="117"/>
        <v>0</v>
      </c>
      <c r="BZ95" s="69">
        <f t="shared" ca="1" si="118"/>
        <v>0</v>
      </c>
    </row>
    <row r="96" spans="1:78">
      <c r="A96" s="125" t="s">
        <v>1008</v>
      </c>
      <c r="B96" s="125" t="s">
        <v>1188</v>
      </c>
      <c r="C96" s="64"/>
      <c r="D96" s="69"/>
      <c r="M96" s="69"/>
      <c r="X96" s="69"/>
      <c r="AA96" s="1">
        <v>82</v>
      </c>
      <c r="AB96" s="1">
        <v>-2</v>
      </c>
      <c r="AC96" s="82"/>
      <c r="AD96" s="64"/>
      <c r="AE96" s="64"/>
      <c r="AN96" s="1">
        <v>71</v>
      </c>
      <c r="AO96" s="1">
        <f t="shared" si="116"/>
        <v>0</v>
      </c>
      <c r="AP96" s="69">
        <f t="shared" ca="1" si="135"/>
        <v>0</v>
      </c>
      <c r="AQ96" s="69">
        <f t="shared" ca="1" si="135"/>
        <v>0</v>
      </c>
      <c r="AR96" s="69">
        <f t="shared" si="135"/>
        <v>0</v>
      </c>
      <c r="AS96" s="69">
        <f t="shared" ca="1" si="135"/>
        <v>0</v>
      </c>
      <c r="AT96" s="69">
        <f t="shared" ca="1" si="135"/>
        <v>0</v>
      </c>
      <c r="AU96" s="69">
        <f t="shared" ca="1" si="135"/>
        <v>0</v>
      </c>
      <c r="AV96" s="69">
        <f t="shared" si="135"/>
        <v>0</v>
      </c>
      <c r="AW96" s="69">
        <f t="shared" ca="1" si="119"/>
        <v>0</v>
      </c>
      <c r="AX96" s="69">
        <f t="shared" ca="1" si="120"/>
        <v>0</v>
      </c>
      <c r="AY96" s="69">
        <f t="shared" ca="1" si="121"/>
        <v>0</v>
      </c>
      <c r="AZ96" s="69">
        <f ca="1">$AO96*IF(Auswahllisten!$G$150,AZ$25+AZ$25*AZ$13*$AN96,AZ$25*(1+AZ$13)^$AN96)</f>
        <v>0</v>
      </c>
      <c r="BA96" s="69">
        <f ca="1">$AO96*IF(Auswahllisten!$G$150,BA$25+BA$25*BA$13*$AN96,BA$25*(1+BA$13)^$AN96)</f>
        <v>0</v>
      </c>
      <c r="BB96" s="69">
        <f ca="1">$AO96*IF(Auswahllisten!$G$150,BB$25+BB$25*BB$13*$AN96,BB$25*(1+BB$13)^$AN96)</f>
        <v>0</v>
      </c>
      <c r="BC96" s="69">
        <f ca="1">$AO96*IF(Auswahllisten!$G$150,BC$25+BC$25*BC$13*$AN96,BC$25*(1+BC$13)^$AN96)</f>
        <v>0</v>
      </c>
      <c r="BD96" s="69">
        <f t="shared" ca="1" si="122"/>
        <v>0</v>
      </c>
      <c r="BE96" s="69">
        <f t="shared" ca="1" si="123"/>
        <v>0</v>
      </c>
      <c r="BF96" s="69">
        <f t="shared" ca="1" si="124"/>
        <v>0</v>
      </c>
      <c r="BG96" s="69">
        <f t="shared" ca="1" si="125"/>
        <v>0</v>
      </c>
      <c r="BI96" s="69">
        <f t="shared" ca="1" si="105"/>
        <v>0</v>
      </c>
      <c r="BJ96" s="69">
        <f t="shared" ca="1" si="105"/>
        <v>0</v>
      </c>
      <c r="BK96" s="69">
        <f t="shared" si="105"/>
        <v>0</v>
      </c>
      <c r="BL96" s="69">
        <f t="shared" ca="1" si="105"/>
        <v>0</v>
      </c>
      <c r="BM96" s="69">
        <f t="shared" ca="1" si="105"/>
        <v>0</v>
      </c>
      <c r="BN96" s="69">
        <f t="shared" ca="1" si="105"/>
        <v>0</v>
      </c>
      <c r="BO96" s="69">
        <f t="shared" si="105"/>
        <v>0</v>
      </c>
      <c r="BP96" s="69">
        <f t="shared" ca="1" si="82"/>
        <v>0</v>
      </c>
      <c r="BQ96" s="69">
        <f t="shared" ca="1" si="126"/>
        <v>0</v>
      </c>
      <c r="BR96" s="69">
        <f t="shared" ca="1" si="83"/>
        <v>0</v>
      </c>
      <c r="BS96" s="69">
        <f ca="1">$AO96*IF(Auswahllisten!$G$150,BS$25+BS$25*BS$13*$AN96,BS$25*(1+BS$13)^$AN96)</f>
        <v>0</v>
      </c>
      <c r="BT96" s="69">
        <f ca="1">$AO96*IF(Auswahllisten!$G$150,BT$25+BT$25*BT$13*$AN96,BT$25*(1+BT$13)^$AN96)</f>
        <v>0</v>
      </c>
      <c r="BU96" s="69">
        <f ca="1">$AO96*IF(Auswahllisten!$G$150,BU$25+BU$25*BU$13*$AN96,BU$25*(1+BU$13)^$AN96)</f>
        <v>0</v>
      </c>
      <c r="BV96" s="69">
        <f ca="1">$AO96*IF(Auswahllisten!$G$150,BV$25+BV$25*BV$13*$AN96,BV$25*(1+BV$13)^$AN96)</f>
        <v>0</v>
      </c>
      <c r="BW96" s="69">
        <f t="shared" ca="1" si="127"/>
        <v>0</v>
      </c>
      <c r="BX96" s="69">
        <f t="shared" ca="1" si="128"/>
        <v>0</v>
      </c>
      <c r="BY96" s="69">
        <f t="shared" ca="1" si="117"/>
        <v>0</v>
      </c>
      <c r="BZ96" s="69">
        <f t="shared" ca="1" si="118"/>
        <v>0</v>
      </c>
    </row>
    <row r="97" spans="1:78">
      <c r="A97" s="304" t="s">
        <v>1217</v>
      </c>
      <c r="B97" s="131" t="s">
        <v>1242</v>
      </c>
      <c r="C97" s="131" t="s">
        <v>206</v>
      </c>
      <c r="D97" s="162" t="str" cm="1">
        <f t="array" aca="1" ref="D97" ca="1">INDIRECT("Vergleich!"&amp;$G$2&amp;Z97)</f>
        <v>mittel</v>
      </c>
      <c r="E97" s="162" cm="1">
        <f t="array" aca="1" ref="E97" ca="1">INDIRECT("Investition_gewählt!"&amp;$I$5&amp;AA97)</f>
        <v>0</v>
      </c>
      <c r="F97" s="25" cm="1">
        <f t="array" aca="1" ref="F97" ca="1">IF($C$5=0,0,INDEX(Faktoren!E83:GQ83,1,VLOOKUP($F$5,$L$2:$O$14,4,FALSE)+$C$9*5+VLOOKUP(D97,Auswahllisten!$E$25:$F$29,2,FALSE)))</f>
        <v>0</v>
      </c>
      <c r="G97" s="162">
        <f ca="1">E97*F97</f>
        <v>0</v>
      </c>
      <c r="H97" s="162" cm="1">
        <f t="array" aca="1" ref="H97" ca="1">INDIRECT("Investition_gewählt!"&amp;$I$6&amp;AA97)</f>
        <v>0</v>
      </c>
      <c r="I97" s="25" cm="1">
        <f t="array" aca="1" ref="I97" ca="1">IF($C$5=0,0,INDEX(Faktoren!E83:GQ83,1,VLOOKUP($F$6,$L$2:$O$14,4,FALSE)+$C$9*5+VLOOKUP(D97,Auswahllisten!$E$25:$F$29,2,FALSE)))</f>
        <v>0</v>
      </c>
      <c r="J97" s="162">
        <f ca="1">H97*I97</f>
        <v>0</v>
      </c>
      <c r="K97" s="162">
        <f t="shared" ref="K97:K106" ca="1" si="136">IF($C$5=0,0,G97+(J97-G97)*($C$6-$F$5)/($F$6-$F$5))</f>
        <v>0</v>
      </c>
      <c r="L97" s="25" t="b">
        <f ca="1">(OR($C$5=8,$C$5=9))</f>
        <v>0</v>
      </c>
      <c r="M97" s="162">
        <f t="shared" ref="M97:M106" ca="1" si="137">IFERROR(ROUND(K97*L97,AB97),0)</f>
        <v>0</v>
      </c>
      <c r="O97" s="25" t="str" cm="1">
        <f t="array" aca="1" ref="O97" ca="1">INDIRECT("Vergleich!"&amp;$Y$2&amp;Z97)</f>
        <v>gering</v>
      </c>
      <c r="P97" s="162" cm="1">
        <f t="array" aca="1" ref="P97" ca="1">INDIRECT("Investition_gewählt!"&amp;$AA$5&amp;AA97)</f>
        <v>0</v>
      </c>
      <c r="Q97" s="25" cm="1">
        <f t="array" aca="1" ref="Q97" ca="1">IF($U$5=0,0,INDEX(Faktoren!E83:GQ83,1,VLOOKUP($X$5,$L$2:$O$14,4,FALSE)+$U$9*5+VLOOKUP(O97,Auswahllisten!$E$25:$F$29,2,FALSE)))</f>
        <v>0</v>
      </c>
      <c r="R97" s="162">
        <f t="shared" ref="R97:R106" ca="1" si="138">P97*Q97</f>
        <v>0</v>
      </c>
      <c r="S97" s="162" cm="1">
        <f t="array" aca="1" ref="S97" ca="1">INDIRECT("Investition_gewählt!"&amp;$AA$6&amp;AA97)</f>
        <v>0</v>
      </c>
      <c r="T97" s="25" cm="1">
        <f t="array" aca="1" ref="T97" ca="1">IF($U$5=0,0,INDEX(Faktoren!E83:QG83,1,VLOOKUP($X$6,$L$3:$O$14,4,FALSE)+$U$9*5+VLOOKUP(O97,Auswahllisten!$E$25:$F$29,2,FALSE)))</f>
        <v>0</v>
      </c>
      <c r="U97" s="162">
        <f t="shared" ref="U97:U106" ca="1" si="139">S97*T97</f>
        <v>0</v>
      </c>
      <c r="V97" s="162">
        <f t="shared" ca="1" si="115"/>
        <v>0</v>
      </c>
      <c r="W97" s="25" t="b">
        <f t="shared" ref="W97:W106" ca="1" si="140">(OR($U$5=8,$U$5=9))</f>
        <v>0</v>
      </c>
      <c r="X97" s="162">
        <f t="shared" ref="X97:X106" ca="1" si="141">IFERROR(ROUND(V97*W97,AB97),0)</f>
        <v>0</v>
      </c>
      <c r="Z97" s="1">
        <v>38</v>
      </c>
      <c r="AA97" s="1">
        <v>83</v>
      </c>
      <c r="AB97" s="1">
        <v>-2</v>
      </c>
      <c r="AN97" s="1">
        <v>72</v>
      </c>
      <c r="AO97" s="1">
        <f t="shared" ref="AO97:AO125" si="142">IF($AS$3&lt;AN97,0,1)</f>
        <v>0</v>
      </c>
      <c r="AP97" s="69">
        <f t="shared" ref="AP97:AV113" ca="1" si="143">IFERROR($AO97*IF(MOD($AN97,AP$20)=0,AP$25,0)*(1+$AS$10)^$AN97*IF($AS$3=$AN97,0,1),0)</f>
        <v>0</v>
      </c>
      <c r="AQ97" s="69">
        <f t="shared" ca="1" si="143"/>
        <v>0</v>
      </c>
      <c r="AR97" s="69">
        <f t="shared" si="143"/>
        <v>0</v>
      </c>
      <c r="AS97" s="69">
        <f t="shared" ca="1" si="143"/>
        <v>0</v>
      </c>
      <c r="AT97" s="69">
        <f t="shared" ca="1" si="143"/>
        <v>0</v>
      </c>
      <c r="AU97" s="69">
        <f t="shared" ca="1" si="143"/>
        <v>0</v>
      </c>
      <c r="AV97" s="69">
        <f t="shared" si="143"/>
        <v>0</v>
      </c>
      <c r="AW97" s="69">
        <f t="shared" ref="AW97:AW125" ca="1" si="144">SUM(AP97:AV97)/(1+$AS$11)^AN97</f>
        <v>0</v>
      </c>
      <c r="AX97" s="69">
        <f t="shared" ref="AX97:AX125" ca="1" si="145">$AO97*AX$25*(1+$AS$9)^$AN97</f>
        <v>0</v>
      </c>
      <c r="AY97" s="69">
        <f t="shared" ref="AY97:AY125" ca="1" si="146">SUM(AX97)/(1+$AS$11)^AN97</f>
        <v>0</v>
      </c>
      <c r="AZ97" s="69">
        <f ca="1">$AO97*IF(Auswahllisten!$G$150,AZ$25+AZ$25*AZ$13*$AN97,AZ$25*(1+AZ$13)^$AN97)</f>
        <v>0</v>
      </c>
      <c r="BA97" s="69">
        <f ca="1">$AO97*IF(Auswahllisten!$G$150,BA$25+BA$25*BA$13*$AN97,BA$25*(1+BA$13)^$AN97)</f>
        <v>0</v>
      </c>
      <c r="BB97" s="69">
        <f ca="1">$AO97*IF(Auswahllisten!$G$150,BB$25+BB$25*BB$13*$AN97,BB$25*(1+BB$13)^$AN97)</f>
        <v>0</v>
      </c>
      <c r="BC97" s="69">
        <f ca="1">$AO97*IF(Auswahllisten!$G$150,BC$25+BC$25*BC$13*$AN97,BC$25*(1+BC$13)^$AN97)</f>
        <v>0</v>
      </c>
      <c r="BD97" s="69">
        <f t="shared" ref="BD97:BD125" ca="1" si="147">SUM(AZ97:BC97)/(1+$AS$11)^AN97</f>
        <v>0</v>
      </c>
      <c r="BE97" s="69">
        <f t="shared" ref="BE97:BE125" ca="1" si="148">AO97*$BE$25*(1+$AS$8)^AN97</f>
        <v>0</v>
      </c>
      <c r="BF97" s="69">
        <f t="shared" ref="BF97:BF125" ca="1" si="149">BE97/(1+$AS$11)^AN97</f>
        <v>0</v>
      </c>
      <c r="BG97" s="69">
        <f t="shared" ca="1" si="125"/>
        <v>0</v>
      </c>
      <c r="BI97" s="69">
        <f t="shared" ref="BI97:BO125" ca="1" si="150">IFERROR($AO97*IF(MOD($AN97,BI$20)=0,BI$25,0)*(1+$AS$10)^$AN97*IF($AS$3=$AN97,0,1),0)</f>
        <v>0</v>
      </c>
      <c r="BJ97" s="69">
        <f t="shared" ca="1" si="150"/>
        <v>0</v>
      </c>
      <c r="BK97" s="69">
        <f t="shared" si="150"/>
        <v>0</v>
      </c>
      <c r="BL97" s="69">
        <f t="shared" ca="1" si="150"/>
        <v>0</v>
      </c>
      <c r="BM97" s="69">
        <f t="shared" ca="1" si="150"/>
        <v>0</v>
      </c>
      <c r="BN97" s="69">
        <f t="shared" ca="1" si="150"/>
        <v>0</v>
      </c>
      <c r="BO97" s="69">
        <f t="shared" si="150"/>
        <v>0</v>
      </c>
      <c r="BP97" s="69">
        <f t="shared" ref="BP97:BP122" ca="1" si="151">SUM(BI97:BO97)/(1+$AS$11)^AN97</f>
        <v>0</v>
      </c>
      <c r="BQ97" s="69">
        <f t="shared" ref="BQ97:BQ125" ca="1" si="152">$AO97*BQ$25*(1+$AS$9)^$AN97</f>
        <v>0</v>
      </c>
      <c r="BR97" s="69">
        <f t="shared" ref="BR97:BR125" ca="1" si="153">SUM(BQ97)/(1+$AS$11)^AN97</f>
        <v>0</v>
      </c>
      <c r="BS97" s="69">
        <f ca="1">$AO97*IF(Auswahllisten!$G$150,BS$25+BS$25*BS$13*$AN97,BS$25*(1+BS$13)^$AN97)</f>
        <v>0</v>
      </c>
      <c r="BT97" s="69">
        <f ca="1">$AO97*IF(Auswahllisten!$G$150,BT$25+BT$25*BT$13*$AN97,BT$25*(1+BT$13)^$AN97)</f>
        <v>0</v>
      </c>
      <c r="BU97" s="69">
        <f ca="1">$AO97*IF(Auswahllisten!$G$150,BU$25+BU$25*BU$13*$AN97,BU$25*(1+BU$13)^$AN97)</f>
        <v>0</v>
      </c>
      <c r="BV97" s="69">
        <f ca="1">$AO97*IF(Auswahllisten!$G$150,BV$25+BV$25*BV$13*$AN97,BV$25*(1+BV$13)^$AN97)</f>
        <v>0</v>
      </c>
      <c r="BW97" s="69">
        <f t="shared" ca="1" si="127"/>
        <v>0</v>
      </c>
      <c r="BX97" s="69">
        <f t="shared" ref="BX97:BX125" ca="1" si="154">AO97*$BX$25*(1+$AS$8)^AN97</f>
        <v>0</v>
      </c>
      <c r="BY97" s="69">
        <f t="shared" ref="BY97:BY125" ca="1" si="155">BX97/(1+$AS$11)^AN97</f>
        <v>0</v>
      </c>
      <c r="BZ97" s="69">
        <f t="shared" ca="1" si="118"/>
        <v>0</v>
      </c>
    </row>
    <row r="98" spans="1:78">
      <c r="A98" s="305" t="s">
        <v>1215</v>
      </c>
      <c r="B98" s="126" t="s">
        <v>303</v>
      </c>
      <c r="C98" s="126" t="s">
        <v>1336</v>
      </c>
      <c r="D98" s="26" t="str" cm="1">
        <f t="array" aca="1" ref="D98" ca="1">INDIRECT("Vergleich!"&amp;$G$2&amp;Z98)</f>
        <v>mittel</v>
      </c>
      <c r="E98" s="26" cm="1">
        <f t="array" aca="1" ref="E98" ca="1">INDIRECT("Investition_gewählt!"&amp;$I$5&amp;AA98)</f>
        <v>0</v>
      </c>
      <c r="F98" s="25" cm="1">
        <f t="array" aca="1" ref="F98" ca="1">IF($C$5=0,0,INDEX(Faktoren!E84:GQ84,1,VLOOKUP($F$5,$L$2:$O$14,4,FALSE)+$C$9*5+VLOOKUP(D98,Auswahllisten!$E$25:$F$29,2,FALSE)))</f>
        <v>0</v>
      </c>
      <c r="G98" s="162">
        <f t="shared" ref="G98:G106" ca="1" si="156">E98*F98</f>
        <v>0</v>
      </c>
      <c r="H98" s="26" cm="1">
        <f t="array" aca="1" ref="H98" ca="1">INDIRECT("Investition_gewählt!"&amp;$I$6&amp;AA98)</f>
        <v>0</v>
      </c>
      <c r="I98" s="25" cm="1">
        <f t="array" aca="1" ref="I98" ca="1">IF($C$5=0,0,INDEX(Faktoren!E84:GQ84,1,VLOOKUP($F$6,$L$2:$O$14,4,FALSE)+$C$9*5+VLOOKUP(D98,Auswahllisten!$E$25:$F$29,2,FALSE)))</f>
        <v>0</v>
      </c>
      <c r="J98" s="162">
        <f t="shared" ref="J98:J106" ca="1" si="157">H98*I98</f>
        <v>0</v>
      </c>
      <c r="K98" s="26">
        <f t="shared" ca="1" si="136"/>
        <v>0</v>
      </c>
      <c r="L98" s="25" t="b">
        <f t="shared" ref="L98:L106" ca="1" si="158">(OR($C$5=8,$C$5=9))</f>
        <v>0</v>
      </c>
      <c r="M98" s="26">
        <f t="shared" ca="1" si="137"/>
        <v>0</v>
      </c>
      <c r="O98" s="16" t="str" cm="1">
        <f t="array" aca="1" ref="O98" ca="1">INDIRECT("Vergleich!"&amp;$Y$2&amp;Z98)</f>
        <v>gering</v>
      </c>
      <c r="P98" s="26" cm="1">
        <f t="array" aca="1" ref="P98" ca="1">INDIRECT("Investition_gewählt!"&amp;$AA$5&amp;AA98)</f>
        <v>0</v>
      </c>
      <c r="Q98" s="16" cm="1">
        <f t="array" aca="1" ref="Q98" ca="1">IF($U$5=0,0,INDEX(Faktoren!E84:GQ84,1,VLOOKUP($X$5,$L$2:$O$14,4,FALSE)+$U$9*5+VLOOKUP(O98,Auswahllisten!$E$25:$F$29,2,FALSE)))</f>
        <v>0</v>
      </c>
      <c r="R98" s="26">
        <f t="shared" ca="1" si="138"/>
        <v>0</v>
      </c>
      <c r="S98" s="26" cm="1">
        <f t="array" aca="1" ref="S98" ca="1">INDIRECT("Investition_gewählt!"&amp;$AA$6&amp;AA98)</f>
        <v>0</v>
      </c>
      <c r="T98" s="16" cm="1">
        <f t="array" aca="1" ref="T98" ca="1">IF($U$5=0,0,INDEX(Faktoren!E84:QG84,1,VLOOKUP($X$6,$L$3:$O$14,4,FALSE)+$U$9*5+VLOOKUP(O98,Auswahllisten!$E$25:$F$29,2,FALSE)))</f>
        <v>0</v>
      </c>
      <c r="U98" s="26">
        <f t="shared" ca="1" si="139"/>
        <v>0</v>
      </c>
      <c r="V98" s="26">
        <f t="shared" ca="1" si="115"/>
        <v>0</v>
      </c>
      <c r="W98" s="16" t="b">
        <f t="shared" ca="1" si="140"/>
        <v>0</v>
      </c>
      <c r="X98" s="26">
        <f t="shared" ca="1" si="141"/>
        <v>0</v>
      </c>
      <c r="Z98" s="1">
        <v>40</v>
      </c>
      <c r="AA98" s="1">
        <v>84</v>
      </c>
      <c r="AB98" s="1">
        <v>-2</v>
      </c>
      <c r="AN98" s="1">
        <v>73</v>
      </c>
      <c r="AO98" s="1">
        <f t="shared" si="142"/>
        <v>0</v>
      </c>
      <c r="AP98" s="69">
        <f t="shared" ca="1" si="143"/>
        <v>0</v>
      </c>
      <c r="AQ98" s="69">
        <f t="shared" ca="1" si="143"/>
        <v>0</v>
      </c>
      <c r="AR98" s="69">
        <f t="shared" si="143"/>
        <v>0</v>
      </c>
      <c r="AS98" s="69">
        <f t="shared" ca="1" si="143"/>
        <v>0</v>
      </c>
      <c r="AT98" s="69">
        <f t="shared" ca="1" si="143"/>
        <v>0</v>
      </c>
      <c r="AU98" s="69">
        <f t="shared" ca="1" si="143"/>
        <v>0</v>
      </c>
      <c r="AV98" s="69">
        <f t="shared" si="143"/>
        <v>0</v>
      </c>
      <c r="AW98" s="69">
        <f t="shared" ca="1" si="144"/>
        <v>0</v>
      </c>
      <c r="AX98" s="69">
        <f t="shared" ca="1" si="145"/>
        <v>0</v>
      </c>
      <c r="AY98" s="69">
        <f t="shared" ca="1" si="146"/>
        <v>0</v>
      </c>
      <c r="AZ98" s="69">
        <f ca="1">$AO98*IF(Auswahllisten!$G$150,AZ$25+AZ$25*AZ$13*$AN98,AZ$25*(1+AZ$13)^$AN98)</f>
        <v>0</v>
      </c>
      <c r="BA98" s="69">
        <f ca="1">$AO98*IF(Auswahllisten!$G$150,BA$25+BA$25*BA$13*$AN98,BA$25*(1+BA$13)^$AN98)</f>
        <v>0</v>
      </c>
      <c r="BB98" s="69">
        <f ca="1">$AO98*IF(Auswahllisten!$G$150,BB$25+BB$25*BB$13*$AN98,BB$25*(1+BB$13)^$AN98)</f>
        <v>0</v>
      </c>
      <c r="BC98" s="69">
        <f ca="1">$AO98*IF(Auswahllisten!$G$150,BC$25+BC$25*BC$13*$AN98,BC$25*(1+BC$13)^$AN98)</f>
        <v>0</v>
      </c>
      <c r="BD98" s="69">
        <f t="shared" ca="1" si="147"/>
        <v>0</v>
      </c>
      <c r="BE98" s="69">
        <f t="shared" ca="1" si="148"/>
        <v>0</v>
      </c>
      <c r="BF98" s="69">
        <f t="shared" ca="1" si="149"/>
        <v>0</v>
      </c>
      <c r="BG98" s="69">
        <f t="shared" ca="1" si="125"/>
        <v>0</v>
      </c>
      <c r="BI98" s="69">
        <f t="shared" ca="1" si="150"/>
        <v>0</v>
      </c>
      <c r="BJ98" s="69">
        <f t="shared" ca="1" si="150"/>
        <v>0</v>
      </c>
      <c r="BK98" s="69">
        <f t="shared" si="150"/>
        <v>0</v>
      </c>
      <c r="BL98" s="69">
        <f t="shared" ca="1" si="150"/>
        <v>0</v>
      </c>
      <c r="BM98" s="69">
        <f t="shared" ca="1" si="150"/>
        <v>0</v>
      </c>
      <c r="BN98" s="69">
        <f t="shared" ca="1" si="150"/>
        <v>0</v>
      </c>
      <c r="BO98" s="69">
        <f t="shared" si="150"/>
        <v>0</v>
      </c>
      <c r="BP98" s="69">
        <f t="shared" ca="1" si="151"/>
        <v>0</v>
      </c>
      <c r="BQ98" s="69">
        <f t="shared" ca="1" si="152"/>
        <v>0</v>
      </c>
      <c r="BR98" s="69">
        <f t="shared" ca="1" si="153"/>
        <v>0</v>
      </c>
      <c r="BS98" s="69">
        <f ca="1">$AO98*IF(Auswahllisten!$G$150,BS$25+BS$25*BS$13*$AN98,BS$25*(1+BS$13)^$AN98)</f>
        <v>0</v>
      </c>
      <c r="BT98" s="69">
        <f ca="1">$AO98*IF(Auswahllisten!$G$150,BT$25+BT$25*BT$13*$AN98,BT$25*(1+BT$13)^$AN98)</f>
        <v>0</v>
      </c>
      <c r="BU98" s="69">
        <f ca="1">$AO98*IF(Auswahllisten!$G$150,BU$25+BU$25*BU$13*$AN98,BU$25*(1+BU$13)^$AN98)</f>
        <v>0</v>
      </c>
      <c r="BV98" s="69">
        <f ca="1">$AO98*IF(Auswahllisten!$G$150,BV$25+BV$25*BV$13*$AN98,BV$25*(1+BV$13)^$AN98)</f>
        <v>0</v>
      </c>
      <c r="BW98" s="69">
        <f t="shared" ca="1" si="127"/>
        <v>0</v>
      </c>
      <c r="BX98" s="69">
        <f t="shared" ca="1" si="154"/>
        <v>0</v>
      </c>
      <c r="BY98" s="69">
        <f t="shared" ca="1" si="155"/>
        <v>0</v>
      </c>
      <c r="BZ98" s="69">
        <f t="shared" ca="1" si="118"/>
        <v>0</v>
      </c>
    </row>
    <row r="99" spans="1:78">
      <c r="A99" s="305" t="s">
        <v>1215</v>
      </c>
      <c r="B99" s="126" t="s">
        <v>303</v>
      </c>
      <c r="C99" s="126" t="s">
        <v>965</v>
      </c>
      <c r="D99" s="26" t="str" cm="1">
        <f t="array" aca="1" ref="D99" ca="1">INDIRECT("Vergleich!"&amp;$G$2&amp;Z99)</f>
        <v>mittel</v>
      </c>
      <c r="E99" s="26" cm="1">
        <f t="array" aca="1" ref="E99" ca="1">INDIRECT("Investition_gewählt!"&amp;$I$5&amp;AA99)</f>
        <v>0</v>
      </c>
      <c r="F99" s="25" cm="1">
        <f t="array" aca="1" ref="F99" ca="1">IF($C$5=0,0,INDEX(Faktoren!E85:GQ85,1,VLOOKUP($F$5,$L$2:$O$14,4,FALSE)+$C$9*5+VLOOKUP(D99,Auswahllisten!$E$25:$F$29,2,FALSE)))</f>
        <v>0</v>
      </c>
      <c r="G99" s="162">
        <f t="shared" ca="1" si="156"/>
        <v>0</v>
      </c>
      <c r="H99" s="26" cm="1">
        <f t="array" aca="1" ref="H99" ca="1">INDIRECT("Investition_gewählt!"&amp;$I$6&amp;AA99)</f>
        <v>0</v>
      </c>
      <c r="I99" s="25" cm="1">
        <f t="array" aca="1" ref="I99" ca="1">IF($C$5=0,0,INDEX(Faktoren!E85:GQ85,1,VLOOKUP($F$6,$L$2:$O$14,4,FALSE)+$C$9*5+VLOOKUP(D99,Auswahllisten!$E$25:$F$29,2,FALSE)))</f>
        <v>0</v>
      </c>
      <c r="J99" s="162">
        <f t="shared" ca="1" si="157"/>
        <v>0</v>
      </c>
      <c r="K99" s="26">
        <f t="shared" ca="1" si="136"/>
        <v>0</v>
      </c>
      <c r="L99" s="25" t="b">
        <f t="shared" ca="1" si="158"/>
        <v>0</v>
      </c>
      <c r="M99" s="26">
        <f t="shared" ca="1" si="137"/>
        <v>0</v>
      </c>
      <c r="O99" s="16" t="str" cm="1">
        <f t="array" aca="1" ref="O99" ca="1">INDIRECT("Vergleich!"&amp;$Y$2&amp;Z99)</f>
        <v>gering</v>
      </c>
      <c r="P99" s="26" cm="1">
        <f t="array" aca="1" ref="P99" ca="1">INDIRECT("Investition_gewählt!"&amp;$AA$5&amp;AA99)</f>
        <v>0</v>
      </c>
      <c r="Q99" s="16" cm="1">
        <f t="array" aca="1" ref="Q99" ca="1">IF($U$5=0,0,INDEX(Faktoren!E85:GQ85,1,VLOOKUP($X$5,$L$2:$O$14,4,FALSE)+$U$9*5+VLOOKUP(O99,Auswahllisten!$E$25:$F$29,2,FALSE)))</f>
        <v>0</v>
      </c>
      <c r="R99" s="26">
        <f t="shared" ca="1" si="138"/>
        <v>0</v>
      </c>
      <c r="S99" s="26" cm="1">
        <f t="array" aca="1" ref="S99" ca="1">INDIRECT("Investition_gewählt!"&amp;$AA$6&amp;AA99)</f>
        <v>0</v>
      </c>
      <c r="T99" s="16" cm="1">
        <f t="array" aca="1" ref="T99" ca="1">IF($U$5=0,0,INDEX(Faktoren!E85:QG85,1,VLOOKUP($X$6,$L$3:$O$14,4,FALSE)+$U$9*5+VLOOKUP(O99,Auswahllisten!$E$25:$F$29,2,FALSE)))</f>
        <v>0</v>
      </c>
      <c r="U99" s="26">
        <f t="shared" ca="1" si="139"/>
        <v>0</v>
      </c>
      <c r="V99" s="26">
        <f t="shared" ca="1" si="115"/>
        <v>0</v>
      </c>
      <c r="W99" s="16" t="b">
        <f t="shared" ca="1" si="140"/>
        <v>0</v>
      </c>
      <c r="X99" s="26">
        <f t="shared" ca="1" si="141"/>
        <v>0</v>
      </c>
      <c r="Z99" s="1">
        <v>42</v>
      </c>
      <c r="AA99" s="1">
        <v>85</v>
      </c>
      <c r="AB99" s="1">
        <v>-2</v>
      </c>
      <c r="AN99" s="1">
        <v>74</v>
      </c>
      <c r="AO99" s="1">
        <f t="shared" si="142"/>
        <v>0</v>
      </c>
      <c r="AP99" s="69">
        <f t="shared" ca="1" si="143"/>
        <v>0</v>
      </c>
      <c r="AQ99" s="69">
        <f t="shared" ca="1" si="143"/>
        <v>0</v>
      </c>
      <c r="AR99" s="69">
        <f t="shared" si="143"/>
        <v>0</v>
      </c>
      <c r="AS99" s="69">
        <f t="shared" ca="1" si="143"/>
        <v>0</v>
      </c>
      <c r="AT99" s="69">
        <f t="shared" ca="1" si="143"/>
        <v>0</v>
      </c>
      <c r="AU99" s="69">
        <f t="shared" ca="1" si="143"/>
        <v>0</v>
      </c>
      <c r="AV99" s="69">
        <f t="shared" si="143"/>
        <v>0</v>
      </c>
      <c r="AW99" s="69">
        <f t="shared" ca="1" si="144"/>
        <v>0</v>
      </c>
      <c r="AX99" s="69">
        <f t="shared" ca="1" si="145"/>
        <v>0</v>
      </c>
      <c r="AY99" s="69">
        <f t="shared" ca="1" si="146"/>
        <v>0</v>
      </c>
      <c r="AZ99" s="69">
        <f ca="1">$AO99*IF(Auswahllisten!$G$150,AZ$25+AZ$25*AZ$13*$AN99,AZ$25*(1+AZ$13)^$AN99)</f>
        <v>0</v>
      </c>
      <c r="BA99" s="69">
        <f ca="1">$AO99*IF(Auswahllisten!$G$150,BA$25+BA$25*BA$13*$AN99,BA$25*(1+BA$13)^$AN99)</f>
        <v>0</v>
      </c>
      <c r="BB99" s="69">
        <f ca="1">$AO99*IF(Auswahllisten!$G$150,BB$25+BB$25*BB$13*$AN99,BB$25*(1+BB$13)^$AN99)</f>
        <v>0</v>
      </c>
      <c r="BC99" s="69">
        <f ca="1">$AO99*IF(Auswahllisten!$G$150,BC$25+BC$25*BC$13*$AN99,BC$25*(1+BC$13)^$AN99)</f>
        <v>0</v>
      </c>
      <c r="BD99" s="69">
        <f t="shared" ca="1" si="147"/>
        <v>0</v>
      </c>
      <c r="BE99" s="69">
        <f t="shared" ca="1" si="148"/>
        <v>0</v>
      </c>
      <c r="BF99" s="69">
        <f t="shared" ca="1" si="149"/>
        <v>0</v>
      </c>
      <c r="BG99" s="69">
        <f t="shared" ca="1" si="125"/>
        <v>0</v>
      </c>
      <c r="BI99" s="69">
        <f t="shared" ca="1" si="150"/>
        <v>0</v>
      </c>
      <c r="BJ99" s="69">
        <f t="shared" ca="1" si="150"/>
        <v>0</v>
      </c>
      <c r="BK99" s="69">
        <f t="shared" si="150"/>
        <v>0</v>
      </c>
      <c r="BL99" s="69">
        <f t="shared" ca="1" si="150"/>
        <v>0</v>
      </c>
      <c r="BM99" s="69">
        <f t="shared" ca="1" si="150"/>
        <v>0</v>
      </c>
      <c r="BN99" s="69">
        <f t="shared" ca="1" si="150"/>
        <v>0</v>
      </c>
      <c r="BO99" s="69">
        <f t="shared" si="150"/>
        <v>0</v>
      </c>
      <c r="BP99" s="69">
        <f t="shared" ca="1" si="151"/>
        <v>0</v>
      </c>
      <c r="BQ99" s="69">
        <f t="shared" ca="1" si="152"/>
        <v>0</v>
      </c>
      <c r="BR99" s="69">
        <f t="shared" ca="1" si="153"/>
        <v>0</v>
      </c>
      <c r="BS99" s="69">
        <f ca="1">$AO99*IF(Auswahllisten!$G$150,BS$25+BS$25*BS$13*$AN99,BS$25*(1+BS$13)^$AN99)</f>
        <v>0</v>
      </c>
      <c r="BT99" s="69">
        <f ca="1">$AO99*IF(Auswahllisten!$G$150,BT$25+BT$25*BT$13*$AN99,BT$25*(1+BT$13)^$AN99)</f>
        <v>0</v>
      </c>
      <c r="BU99" s="69">
        <f ca="1">$AO99*IF(Auswahllisten!$G$150,BU$25+BU$25*BU$13*$AN99,BU$25*(1+BU$13)^$AN99)</f>
        <v>0</v>
      </c>
      <c r="BV99" s="69">
        <f ca="1">$AO99*IF(Auswahllisten!$G$150,BV$25+BV$25*BV$13*$AN99,BV$25*(1+BV$13)^$AN99)</f>
        <v>0</v>
      </c>
      <c r="BW99" s="69">
        <f t="shared" ca="1" si="127"/>
        <v>0</v>
      </c>
      <c r="BX99" s="69">
        <f t="shared" ca="1" si="154"/>
        <v>0</v>
      </c>
      <c r="BY99" s="69">
        <f t="shared" ca="1" si="155"/>
        <v>0</v>
      </c>
      <c r="BZ99" s="69">
        <f t="shared" ca="1" si="118"/>
        <v>0</v>
      </c>
    </row>
    <row r="100" spans="1:78">
      <c r="A100" s="305" t="s">
        <v>1218</v>
      </c>
      <c r="B100" s="126" t="s">
        <v>1243</v>
      </c>
      <c r="C100" s="185" t="s">
        <v>231</v>
      </c>
      <c r="D100" s="26" t="str" cm="1">
        <f t="array" aca="1" ref="D100" ca="1">INDIRECT("Vergleich!"&amp;$G$2&amp;Z100)</f>
        <v>mittel</v>
      </c>
      <c r="E100" s="26" cm="1">
        <f t="array" aca="1" ref="E100" ca="1">INDIRECT("Investition_gewählt!"&amp;$I$5&amp;AA100)</f>
        <v>0</v>
      </c>
      <c r="F100" s="25" cm="1">
        <f t="array" aca="1" ref="F100" ca="1">IF($C$5=0,0,INDEX(Faktoren!E86:GQ86,1,VLOOKUP($F$5,$L$2:$O$14,4,FALSE)+$C$9*5+VLOOKUP(D100,Auswahllisten!$E$25:$F$29,2,FALSE)))</f>
        <v>0</v>
      </c>
      <c r="G100" s="162">
        <f t="shared" ca="1" si="156"/>
        <v>0</v>
      </c>
      <c r="H100" s="26" cm="1">
        <f t="array" aca="1" ref="H100" ca="1">INDIRECT("Investition_gewählt!"&amp;$I$6&amp;AA100)</f>
        <v>0</v>
      </c>
      <c r="I100" s="25" cm="1">
        <f t="array" aca="1" ref="I100" ca="1">IF($C$5=0,0,INDEX(Faktoren!E86:GQ86,1,VLOOKUP($F$6,$L$2:$O$14,4,FALSE)+$C$9*5+VLOOKUP(D100,Auswahllisten!$E$25:$F$29,2,FALSE)))</f>
        <v>0</v>
      </c>
      <c r="J100" s="162">
        <f t="shared" ca="1" si="157"/>
        <v>0</v>
      </c>
      <c r="K100" s="26">
        <f t="shared" ca="1" si="136"/>
        <v>0</v>
      </c>
      <c r="L100" s="25" t="b">
        <f t="shared" ca="1" si="158"/>
        <v>0</v>
      </c>
      <c r="M100" s="26">
        <f t="shared" ca="1" si="137"/>
        <v>0</v>
      </c>
      <c r="O100" s="16" t="str" cm="1">
        <f t="array" aca="1" ref="O100" ca="1">INDIRECT("Vergleich!"&amp;$Y$2&amp;Z100)</f>
        <v>gering</v>
      </c>
      <c r="P100" s="26" cm="1">
        <f t="array" aca="1" ref="P100" ca="1">INDIRECT("Investition_gewählt!"&amp;$AA$5&amp;AA100)</f>
        <v>0</v>
      </c>
      <c r="Q100" s="16" cm="1">
        <f t="array" aca="1" ref="Q100" ca="1">IF($U$5=0,0,INDEX(Faktoren!E86:GQ86,1,VLOOKUP($X$5,$L$2:$O$14,4,FALSE)+$U$9*5+VLOOKUP(O100,Auswahllisten!$E$25:$F$29,2,FALSE)))</f>
        <v>0</v>
      </c>
      <c r="R100" s="26">
        <f t="shared" ca="1" si="138"/>
        <v>0</v>
      </c>
      <c r="S100" s="26" cm="1">
        <f t="array" aca="1" ref="S100" ca="1">INDIRECT("Investition_gewählt!"&amp;$AA$6&amp;AA100)</f>
        <v>0</v>
      </c>
      <c r="T100" s="16" cm="1">
        <f t="array" aca="1" ref="T100" ca="1">IF($U$5=0,0,INDEX(Faktoren!E86:QG86,1,VLOOKUP($X$6,$L$3:$O$14,4,FALSE)+$U$9*5+VLOOKUP(O100,Auswahllisten!$E$25:$F$29,2,FALSE)))</f>
        <v>0</v>
      </c>
      <c r="U100" s="26">
        <f t="shared" ca="1" si="139"/>
        <v>0</v>
      </c>
      <c r="V100" s="26">
        <f t="shared" ca="1" si="115"/>
        <v>0</v>
      </c>
      <c r="W100" s="16" t="b">
        <f t="shared" ca="1" si="140"/>
        <v>0</v>
      </c>
      <c r="X100" s="26">
        <f t="shared" ca="1" si="141"/>
        <v>0</v>
      </c>
      <c r="Z100" s="1">
        <v>41</v>
      </c>
      <c r="AA100" s="1">
        <v>86</v>
      </c>
      <c r="AB100" s="1">
        <v>-2</v>
      </c>
      <c r="AN100" s="1">
        <v>75</v>
      </c>
      <c r="AO100" s="1">
        <f t="shared" si="142"/>
        <v>0</v>
      </c>
      <c r="AP100" s="69">
        <f t="shared" ca="1" si="143"/>
        <v>0</v>
      </c>
      <c r="AQ100" s="69">
        <f t="shared" ca="1" si="143"/>
        <v>0</v>
      </c>
      <c r="AR100" s="69">
        <f t="shared" si="143"/>
        <v>0</v>
      </c>
      <c r="AS100" s="69">
        <f t="shared" ca="1" si="143"/>
        <v>0</v>
      </c>
      <c r="AT100" s="69">
        <f t="shared" ca="1" si="143"/>
        <v>0</v>
      </c>
      <c r="AU100" s="69">
        <f t="shared" ca="1" si="143"/>
        <v>0</v>
      </c>
      <c r="AV100" s="69">
        <f t="shared" si="143"/>
        <v>0</v>
      </c>
      <c r="AW100" s="69">
        <f t="shared" ca="1" si="144"/>
        <v>0</v>
      </c>
      <c r="AX100" s="69">
        <f t="shared" ca="1" si="145"/>
        <v>0</v>
      </c>
      <c r="AY100" s="69">
        <f t="shared" ca="1" si="146"/>
        <v>0</v>
      </c>
      <c r="AZ100" s="69">
        <f ca="1">$AO100*IF(Auswahllisten!$G$150,AZ$25+AZ$25*AZ$13*$AN100,AZ$25*(1+AZ$13)^$AN100)</f>
        <v>0</v>
      </c>
      <c r="BA100" s="69">
        <f ca="1">$AO100*IF(Auswahllisten!$G$150,BA$25+BA$25*BA$13*$AN100,BA$25*(1+BA$13)^$AN100)</f>
        <v>0</v>
      </c>
      <c r="BB100" s="69">
        <f ca="1">$AO100*IF(Auswahllisten!$G$150,BB$25+BB$25*BB$13*$AN100,BB$25*(1+BB$13)^$AN100)</f>
        <v>0</v>
      </c>
      <c r="BC100" s="69">
        <f ca="1">$AO100*IF(Auswahllisten!$G$150,BC$25+BC$25*BC$13*$AN100,BC$25*(1+BC$13)^$AN100)</f>
        <v>0</v>
      </c>
      <c r="BD100" s="69">
        <f t="shared" ca="1" si="147"/>
        <v>0</v>
      </c>
      <c r="BE100" s="69">
        <f t="shared" ca="1" si="148"/>
        <v>0</v>
      </c>
      <c r="BF100" s="69">
        <f t="shared" ca="1" si="149"/>
        <v>0</v>
      </c>
      <c r="BG100" s="69">
        <f t="shared" ca="1" si="125"/>
        <v>0</v>
      </c>
      <c r="BI100" s="69">
        <f t="shared" ca="1" si="150"/>
        <v>0</v>
      </c>
      <c r="BJ100" s="69">
        <f t="shared" ca="1" si="150"/>
        <v>0</v>
      </c>
      <c r="BK100" s="69">
        <f t="shared" si="150"/>
        <v>0</v>
      </c>
      <c r="BL100" s="69">
        <f t="shared" ca="1" si="150"/>
        <v>0</v>
      </c>
      <c r="BM100" s="69">
        <f t="shared" ca="1" si="150"/>
        <v>0</v>
      </c>
      <c r="BN100" s="69">
        <f t="shared" ca="1" si="150"/>
        <v>0</v>
      </c>
      <c r="BO100" s="69">
        <f t="shared" si="150"/>
        <v>0</v>
      </c>
      <c r="BP100" s="69">
        <f t="shared" ca="1" si="151"/>
        <v>0</v>
      </c>
      <c r="BQ100" s="69">
        <f t="shared" ca="1" si="152"/>
        <v>0</v>
      </c>
      <c r="BR100" s="69">
        <f t="shared" ca="1" si="153"/>
        <v>0</v>
      </c>
      <c r="BS100" s="69">
        <f ca="1">$AO100*IF(Auswahllisten!$G$150,BS$25+BS$25*BS$13*$AN100,BS$25*(1+BS$13)^$AN100)</f>
        <v>0</v>
      </c>
      <c r="BT100" s="69">
        <f ca="1">$AO100*IF(Auswahllisten!$G$150,BT$25+BT$25*BT$13*$AN100,BT$25*(1+BT$13)^$AN100)</f>
        <v>0</v>
      </c>
      <c r="BU100" s="69">
        <f ca="1">$AO100*IF(Auswahllisten!$G$150,BU$25+BU$25*BU$13*$AN100,BU$25*(1+BU$13)^$AN100)</f>
        <v>0</v>
      </c>
      <c r="BV100" s="69">
        <f ca="1">$AO100*IF(Auswahllisten!$G$150,BV$25+BV$25*BV$13*$AN100,BV$25*(1+BV$13)^$AN100)</f>
        <v>0</v>
      </c>
      <c r="BW100" s="69">
        <f t="shared" ca="1" si="127"/>
        <v>0</v>
      </c>
      <c r="BX100" s="69">
        <f t="shared" ca="1" si="154"/>
        <v>0</v>
      </c>
      <c r="BY100" s="69">
        <f t="shared" ca="1" si="155"/>
        <v>0</v>
      </c>
      <c r="BZ100" s="69">
        <f t="shared" ca="1" si="118"/>
        <v>0</v>
      </c>
    </row>
    <row r="101" spans="1:78">
      <c r="A101" s="305" t="s">
        <v>1215</v>
      </c>
      <c r="B101" s="126" t="s">
        <v>303</v>
      </c>
      <c r="C101" s="126" t="s">
        <v>966</v>
      </c>
      <c r="D101" s="26" t="str" cm="1">
        <f t="array" aca="1" ref="D101" ca="1">INDIRECT("Vergleich!"&amp;$G$2&amp;Z101)</f>
        <v>mittel</v>
      </c>
      <c r="E101" s="26" cm="1">
        <f t="array" aca="1" ref="E101" ca="1">INDIRECT("Investition_gewählt!"&amp;$I$5&amp;AA101)</f>
        <v>0</v>
      </c>
      <c r="F101" s="25" cm="1">
        <f t="array" aca="1" ref="F101" ca="1">IF($C$5=0,0,INDEX(Faktoren!E87:GQ87,1,VLOOKUP($F$5,$L$2:$O$14,4,FALSE)+$C$9*5+VLOOKUP(D101,Auswahllisten!$E$25:$F$29,2,FALSE)))</f>
        <v>0</v>
      </c>
      <c r="G101" s="162">
        <f t="shared" ca="1" si="156"/>
        <v>0</v>
      </c>
      <c r="H101" s="26" cm="1">
        <f t="array" aca="1" ref="H101" ca="1">INDIRECT("Investition_gewählt!"&amp;$I$6&amp;AA101)</f>
        <v>0</v>
      </c>
      <c r="I101" s="25" cm="1">
        <f t="array" aca="1" ref="I101" ca="1">IF($C$5=0,0,INDEX(Faktoren!E87:GQ87,1,VLOOKUP($F$6,$L$2:$O$14,4,FALSE)+$C$9*5+VLOOKUP(D101,Auswahllisten!$E$25:$F$29,2,FALSE)))</f>
        <v>0</v>
      </c>
      <c r="J101" s="162">
        <f t="shared" ca="1" si="157"/>
        <v>0</v>
      </c>
      <c r="K101" s="26">
        <f t="shared" ca="1" si="136"/>
        <v>0</v>
      </c>
      <c r="L101" s="25" t="b">
        <f t="shared" ca="1" si="158"/>
        <v>0</v>
      </c>
      <c r="M101" s="26">
        <f t="shared" ca="1" si="137"/>
        <v>0</v>
      </c>
      <c r="O101" s="16" t="str" cm="1">
        <f t="array" aca="1" ref="O101" ca="1">INDIRECT("Vergleich!"&amp;$Y$2&amp;Z101)</f>
        <v>gering</v>
      </c>
      <c r="P101" s="26" cm="1">
        <f t="array" aca="1" ref="P101" ca="1">INDIRECT("Investition_gewählt!"&amp;$AA$5&amp;AA101)</f>
        <v>0</v>
      </c>
      <c r="Q101" s="16" cm="1">
        <f t="array" aca="1" ref="Q101" ca="1">IF($U$5=0,0,INDEX(Faktoren!E87:GQ87,1,VLOOKUP($X$5,$L$2:$O$14,4,FALSE)+$U$9*5+VLOOKUP(O101,Auswahllisten!$E$25:$F$29,2,FALSE)))</f>
        <v>0</v>
      </c>
      <c r="R101" s="26">
        <f t="shared" ca="1" si="138"/>
        <v>0</v>
      </c>
      <c r="S101" s="26" cm="1">
        <f t="array" aca="1" ref="S101" ca="1">INDIRECT("Investition_gewählt!"&amp;$AA$6&amp;AA101)</f>
        <v>0</v>
      </c>
      <c r="T101" s="16" cm="1">
        <f t="array" aca="1" ref="T101" ca="1">IF($U$5=0,0,INDEX(Faktoren!E87:QG87,1,VLOOKUP($X$6,$L$3:$O$14,4,FALSE)+$U$9*5+VLOOKUP(O101,Auswahllisten!$E$25:$F$29,2,FALSE)))</f>
        <v>0</v>
      </c>
      <c r="U101" s="26">
        <f t="shared" ca="1" si="139"/>
        <v>0</v>
      </c>
      <c r="V101" s="26">
        <f t="shared" ca="1" si="115"/>
        <v>0</v>
      </c>
      <c r="W101" s="16" t="b">
        <f t="shared" ca="1" si="140"/>
        <v>0</v>
      </c>
      <c r="X101" s="26">
        <f t="shared" ca="1" si="141"/>
        <v>0</v>
      </c>
      <c r="Z101" s="1">
        <v>47</v>
      </c>
      <c r="AA101" s="1">
        <v>87</v>
      </c>
      <c r="AB101" s="1">
        <v>-2</v>
      </c>
      <c r="AN101" s="1">
        <v>76</v>
      </c>
      <c r="AO101" s="1">
        <f t="shared" si="142"/>
        <v>0</v>
      </c>
      <c r="AP101" s="69">
        <f t="shared" ca="1" si="143"/>
        <v>0</v>
      </c>
      <c r="AQ101" s="69">
        <f t="shared" ca="1" si="143"/>
        <v>0</v>
      </c>
      <c r="AR101" s="69">
        <f t="shared" si="143"/>
        <v>0</v>
      </c>
      <c r="AS101" s="69">
        <f t="shared" ca="1" si="143"/>
        <v>0</v>
      </c>
      <c r="AT101" s="69">
        <f t="shared" ca="1" si="143"/>
        <v>0</v>
      </c>
      <c r="AU101" s="69">
        <f t="shared" ca="1" si="143"/>
        <v>0</v>
      </c>
      <c r="AV101" s="69">
        <f t="shared" si="143"/>
        <v>0</v>
      </c>
      <c r="AW101" s="69">
        <f t="shared" ca="1" si="144"/>
        <v>0</v>
      </c>
      <c r="AX101" s="69">
        <f t="shared" ca="1" si="145"/>
        <v>0</v>
      </c>
      <c r="AY101" s="69">
        <f t="shared" ca="1" si="146"/>
        <v>0</v>
      </c>
      <c r="AZ101" s="69">
        <f ca="1">$AO101*IF(Auswahllisten!$G$150,AZ$25+AZ$25*AZ$13*$AN101,AZ$25*(1+AZ$13)^$AN101)</f>
        <v>0</v>
      </c>
      <c r="BA101" s="69">
        <f ca="1">$AO101*IF(Auswahllisten!$G$150,BA$25+BA$25*BA$13*$AN101,BA$25*(1+BA$13)^$AN101)</f>
        <v>0</v>
      </c>
      <c r="BB101" s="69">
        <f ca="1">$AO101*IF(Auswahllisten!$G$150,BB$25+BB$25*BB$13*$AN101,BB$25*(1+BB$13)^$AN101)</f>
        <v>0</v>
      </c>
      <c r="BC101" s="69">
        <f ca="1">$AO101*IF(Auswahllisten!$G$150,BC$25+BC$25*BC$13*$AN101,BC$25*(1+BC$13)^$AN101)</f>
        <v>0</v>
      </c>
      <c r="BD101" s="69">
        <f t="shared" ca="1" si="147"/>
        <v>0</v>
      </c>
      <c r="BE101" s="69">
        <f t="shared" ca="1" si="148"/>
        <v>0</v>
      </c>
      <c r="BF101" s="69">
        <f t="shared" ca="1" si="149"/>
        <v>0</v>
      </c>
      <c r="BG101" s="69">
        <f t="shared" ca="1" si="125"/>
        <v>0</v>
      </c>
      <c r="BI101" s="69">
        <f t="shared" ca="1" si="150"/>
        <v>0</v>
      </c>
      <c r="BJ101" s="69">
        <f t="shared" ca="1" si="150"/>
        <v>0</v>
      </c>
      <c r="BK101" s="69">
        <f t="shared" si="150"/>
        <v>0</v>
      </c>
      <c r="BL101" s="69">
        <f t="shared" ca="1" si="150"/>
        <v>0</v>
      </c>
      <c r="BM101" s="69">
        <f t="shared" ca="1" si="150"/>
        <v>0</v>
      </c>
      <c r="BN101" s="69">
        <f t="shared" ca="1" si="150"/>
        <v>0</v>
      </c>
      <c r="BO101" s="69">
        <f t="shared" si="150"/>
        <v>0</v>
      </c>
      <c r="BP101" s="69">
        <f t="shared" ca="1" si="151"/>
        <v>0</v>
      </c>
      <c r="BQ101" s="69">
        <f t="shared" ca="1" si="152"/>
        <v>0</v>
      </c>
      <c r="BR101" s="69">
        <f t="shared" ca="1" si="153"/>
        <v>0</v>
      </c>
      <c r="BS101" s="69">
        <f ca="1">$AO101*IF(Auswahllisten!$G$150,BS$25+BS$25*BS$13*$AN101,BS$25*(1+BS$13)^$AN101)</f>
        <v>0</v>
      </c>
      <c r="BT101" s="69">
        <f ca="1">$AO101*IF(Auswahllisten!$G$150,BT$25+BT$25*BT$13*$AN101,BT$25*(1+BT$13)^$AN101)</f>
        <v>0</v>
      </c>
      <c r="BU101" s="69">
        <f ca="1">$AO101*IF(Auswahllisten!$G$150,BU$25+BU$25*BU$13*$AN101,BU$25*(1+BU$13)^$AN101)</f>
        <v>0</v>
      </c>
      <c r="BV101" s="69">
        <f ca="1">$AO101*IF(Auswahllisten!$G$150,BV$25+BV$25*BV$13*$AN101,BV$25*(1+BV$13)^$AN101)</f>
        <v>0</v>
      </c>
      <c r="BW101" s="69">
        <f t="shared" ca="1" si="127"/>
        <v>0</v>
      </c>
      <c r="BX101" s="69">
        <f t="shared" ca="1" si="154"/>
        <v>0</v>
      </c>
      <c r="BY101" s="69">
        <f t="shared" ca="1" si="155"/>
        <v>0</v>
      </c>
      <c r="BZ101" s="69">
        <f t="shared" ca="1" si="118"/>
        <v>0</v>
      </c>
    </row>
    <row r="102" spans="1:78">
      <c r="A102" s="305" t="s">
        <v>1244</v>
      </c>
      <c r="B102" s="126" t="s">
        <v>1245</v>
      </c>
      <c r="C102" s="134" t="s">
        <v>1341</v>
      </c>
      <c r="D102" s="26" t="str" cm="1">
        <f t="array" aca="1" ref="D102" ca="1">INDIRECT("Vergleich!"&amp;$G$2&amp;Z102)</f>
        <v>mittel</v>
      </c>
      <c r="E102" s="26" cm="1">
        <f t="array" aca="1" ref="E102" ca="1">INDIRECT("Investition_gewählt!"&amp;$I$5&amp;AA102)</f>
        <v>0</v>
      </c>
      <c r="F102" s="25" cm="1">
        <f t="array" aca="1" ref="F102" ca="1">IF($C$5=0,0,INDEX(Faktoren!E88:GQ88,1,VLOOKUP($F$5,$L$2:$O$14,4,FALSE)+$C$9*5+VLOOKUP(D102,Auswahllisten!$E$25:$F$29,2,FALSE)))</f>
        <v>0</v>
      </c>
      <c r="G102" s="162">
        <f t="shared" ca="1" si="156"/>
        <v>0</v>
      </c>
      <c r="H102" s="26" cm="1">
        <f t="array" aca="1" ref="H102" ca="1">INDIRECT("Investition_gewählt!"&amp;$I$6&amp;AA102)</f>
        <v>0</v>
      </c>
      <c r="I102" s="25" cm="1">
        <f t="array" aca="1" ref="I102" ca="1">IF($C$5=0,0,INDEX(Faktoren!E88:GQ88,1,VLOOKUP($F$6,$L$2:$O$14,4,FALSE)+$C$9*5+VLOOKUP(D102,Auswahllisten!$E$25:$F$29,2,FALSE)))</f>
        <v>0</v>
      </c>
      <c r="J102" s="162">
        <f t="shared" ca="1" si="157"/>
        <v>0</v>
      </c>
      <c r="K102" s="26">
        <f t="shared" ca="1" si="136"/>
        <v>0</v>
      </c>
      <c r="L102" s="25" t="b">
        <f t="shared" ca="1" si="158"/>
        <v>0</v>
      </c>
      <c r="M102" s="26">
        <f t="shared" ca="1" si="137"/>
        <v>0</v>
      </c>
      <c r="O102" s="16" t="str" cm="1">
        <f t="array" aca="1" ref="O102" ca="1">INDIRECT("Vergleich!"&amp;$Y$2&amp;Z102)</f>
        <v>gering</v>
      </c>
      <c r="P102" s="26" cm="1">
        <f t="array" aca="1" ref="P102" ca="1">INDIRECT("Investition_gewählt!"&amp;$AA$5&amp;AA102)</f>
        <v>0</v>
      </c>
      <c r="Q102" s="16" cm="1">
        <f t="array" aca="1" ref="Q102" ca="1">IF($U$5=0,0,INDEX(Faktoren!E88:GQ88,1,VLOOKUP($X$5,$L$2:$O$14,4,FALSE)+$U$9*5+VLOOKUP(O102,Auswahllisten!$E$25:$F$29,2,FALSE)))</f>
        <v>0</v>
      </c>
      <c r="R102" s="26">
        <f t="shared" ca="1" si="138"/>
        <v>0</v>
      </c>
      <c r="S102" s="26" cm="1">
        <f t="array" aca="1" ref="S102" ca="1">INDIRECT("Investition_gewählt!"&amp;$AA$6&amp;AA102)</f>
        <v>0</v>
      </c>
      <c r="T102" s="16" cm="1">
        <f t="array" aca="1" ref="T102" ca="1">IF($U$5=0,0,INDEX(Faktoren!E88:QG88,1,VLOOKUP($X$6,$L$3:$O$14,4,FALSE)+$U$9*5+VLOOKUP(O102,Auswahllisten!$E$25:$F$29,2,FALSE)))</f>
        <v>0</v>
      </c>
      <c r="U102" s="26">
        <f t="shared" ca="1" si="139"/>
        <v>0</v>
      </c>
      <c r="V102" s="26">
        <f t="shared" ca="1" si="115"/>
        <v>0</v>
      </c>
      <c r="W102" s="16" t="b">
        <f t="shared" ca="1" si="140"/>
        <v>0</v>
      </c>
      <c r="X102" s="26">
        <f t="shared" ca="1" si="141"/>
        <v>0</v>
      </c>
      <c r="Z102" s="1">
        <v>49</v>
      </c>
      <c r="AA102" s="1">
        <v>88</v>
      </c>
      <c r="AB102" s="1">
        <v>-2</v>
      </c>
      <c r="AN102" s="1">
        <v>77</v>
      </c>
      <c r="AO102" s="1">
        <f t="shared" si="142"/>
        <v>0</v>
      </c>
      <c r="AP102" s="69">
        <f t="shared" ca="1" si="143"/>
        <v>0</v>
      </c>
      <c r="AQ102" s="69">
        <f t="shared" ca="1" si="143"/>
        <v>0</v>
      </c>
      <c r="AR102" s="69">
        <f t="shared" si="143"/>
        <v>0</v>
      </c>
      <c r="AS102" s="69">
        <f t="shared" ca="1" si="143"/>
        <v>0</v>
      </c>
      <c r="AT102" s="69">
        <f t="shared" ca="1" si="143"/>
        <v>0</v>
      </c>
      <c r="AU102" s="69">
        <f t="shared" ca="1" si="143"/>
        <v>0</v>
      </c>
      <c r="AV102" s="69">
        <f t="shared" si="143"/>
        <v>0</v>
      </c>
      <c r="AW102" s="69">
        <f t="shared" ca="1" si="144"/>
        <v>0</v>
      </c>
      <c r="AX102" s="69">
        <f t="shared" ca="1" si="145"/>
        <v>0</v>
      </c>
      <c r="AY102" s="69">
        <f t="shared" ca="1" si="146"/>
        <v>0</v>
      </c>
      <c r="AZ102" s="69">
        <f ca="1">$AO102*IF(Auswahllisten!$G$150,AZ$25+AZ$25*AZ$13*$AN102,AZ$25*(1+AZ$13)^$AN102)</f>
        <v>0</v>
      </c>
      <c r="BA102" s="69">
        <f ca="1">$AO102*IF(Auswahllisten!$G$150,BA$25+BA$25*BA$13*$AN102,BA$25*(1+BA$13)^$AN102)</f>
        <v>0</v>
      </c>
      <c r="BB102" s="69">
        <f ca="1">$AO102*IF(Auswahllisten!$G$150,BB$25+BB$25*BB$13*$AN102,BB$25*(1+BB$13)^$AN102)</f>
        <v>0</v>
      </c>
      <c r="BC102" s="69">
        <f ca="1">$AO102*IF(Auswahllisten!$G$150,BC$25+BC$25*BC$13*$AN102,BC$25*(1+BC$13)^$AN102)</f>
        <v>0</v>
      </c>
      <c r="BD102" s="69">
        <f t="shared" ca="1" si="147"/>
        <v>0</v>
      </c>
      <c r="BE102" s="69">
        <f t="shared" ca="1" si="148"/>
        <v>0</v>
      </c>
      <c r="BF102" s="69">
        <f t="shared" ca="1" si="149"/>
        <v>0</v>
      </c>
      <c r="BG102" s="69">
        <f t="shared" ca="1" si="125"/>
        <v>0</v>
      </c>
      <c r="BI102" s="69">
        <f t="shared" ca="1" si="150"/>
        <v>0</v>
      </c>
      <c r="BJ102" s="69">
        <f t="shared" ca="1" si="150"/>
        <v>0</v>
      </c>
      <c r="BK102" s="69">
        <f t="shared" si="150"/>
        <v>0</v>
      </c>
      <c r="BL102" s="69">
        <f t="shared" ca="1" si="150"/>
        <v>0</v>
      </c>
      <c r="BM102" s="69">
        <f t="shared" ca="1" si="150"/>
        <v>0</v>
      </c>
      <c r="BN102" s="69">
        <f t="shared" ca="1" si="150"/>
        <v>0</v>
      </c>
      <c r="BO102" s="69">
        <f t="shared" si="150"/>
        <v>0</v>
      </c>
      <c r="BP102" s="69">
        <f t="shared" ca="1" si="151"/>
        <v>0</v>
      </c>
      <c r="BQ102" s="69">
        <f t="shared" ca="1" si="152"/>
        <v>0</v>
      </c>
      <c r="BR102" s="69">
        <f t="shared" ca="1" si="153"/>
        <v>0</v>
      </c>
      <c r="BS102" s="69">
        <f ca="1">$AO102*IF(Auswahllisten!$G$150,BS$25+BS$25*BS$13*$AN102,BS$25*(1+BS$13)^$AN102)</f>
        <v>0</v>
      </c>
      <c r="BT102" s="69">
        <f ca="1">$AO102*IF(Auswahllisten!$G$150,BT$25+BT$25*BT$13*$AN102,BT$25*(1+BT$13)^$AN102)</f>
        <v>0</v>
      </c>
      <c r="BU102" s="69">
        <f ca="1">$AO102*IF(Auswahllisten!$G$150,BU$25+BU$25*BU$13*$AN102,BU$25*(1+BU$13)^$AN102)</f>
        <v>0</v>
      </c>
      <c r="BV102" s="69">
        <f ca="1">$AO102*IF(Auswahllisten!$G$150,BV$25+BV$25*BV$13*$AN102,BV$25*(1+BV$13)^$AN102)</f>
        <v>0</v>
      </c>
      <c r="BW102" s="69">
        <f t="shared" ca="1" si="127"/>
        <v>0</v>
      </c>
      <c r="BX102" s="69">
        <f t="shared" ca="1" si="154"/>
        <v>0</v>
      </c>
      <c r="BY102" s="69">
        <f t="shared" ca="1" si="155"/>
        <v>0</v>
      </c>
      <c r="BZ102" s="69">
        <f t="shared" ca="1" si="118"/>
        <v>0</v>
      </c>
    </row>
    <row r="103" spans="1:78">
      <c r="A103" s="305" t="s">
        <v>1215</v>
      </c>
      <c r="B103" s="126" t="s">
        <v>303</v>
      </c>
      <c r="C103" s="126" t="s">
        <v>1340</v>
      </c>
      <c r="D103" s="26" t="str" cm="1">
        <f t="array" aca="1" ref="D103" ca="1">INDIRECT("Vergleich!"&amp;$G$2&amp;Z103)</f>
        <v>mittel</v>
      </c>
      <c r="E103" s="26" cm="1">
        <f t="array" aca="1" ref="E103" ca="1">INDIRECT("Investition_gewählt!"&amp;$I$5&amp;AA103)</f>
        <v>0</v>
      </c>
      <c r="F103" s="25" cm="1">
        <f t="array" aca="1" ref="F103" ca="1">IF($C$5=0,0,INDEX(Faktoren!E89:GQ89,1,VLOOKUP($F$5,$L$2:$O$14,4,FALSE)+$C$9*5+VLOOKUP(D103,Auswahllisten!$E$25:$F$29,2,FALSE)))</f>
        <v>0</v>
      </c>
      <c r="G103" s="162">
        <f t="shared" ca="1" si="156"/>
        <v>0</v>
      </c>
      <c r="H103" s="26" cm="1">
        <f t="array" aca="1" ref="H103" ca="1">INDIRECT("Investition_gewählt!"&amp;$I$6&amp;AA103)</f>
        <v>0</v>
      </c>
      <c r="I103" s="25" cm="1">
        <f t="array" aca="1" ref="I103" ca="1">IF($C$5=0,0,INDEX(Faktoren!E89:GQ89,1,VLOOKUP($F$6,$L$2:$O$14,4,FALSE)+$C$9*5+VLOOKUP(D103,Auswahllisten!$E$25:$F$29,2,FALSE)))</f>
        <v>0</v>
      </c>
      <c r="J103" s="162">
        <f t="shared" ca="1" si="157"/>
        <v>0</v>
      </c>
      <c r="K103" s="26">
        <f t="shared" ca="1" si="136"/>
        <v>0</v>
      </c>
      <c r="L103" s="25" t="b">
        <f t="shared" ca="1" si="158"/>
        <v>0</v>
      </c>
      <c r="M103" s="26">
        <f t="shared" ca="1" si="137"/>
        <v>0</v>
      </c>
      <c r="O103" s="16" t="str" cm="1">
        <f t="array" aca="1" ref="O103" ca="1">INDIRECT("Vergleich!"&amp;$Y$2&amp;Z103)</f>
        <v>gering</v>
      </c>
      <c r="P103" s="26" cm="1">
        <f t="array" aca="1" ref="P103" ca="1">INDIRECT("Investition_gewählt!"&amp;$AA$5&amp;AA103)</f>
        <v>0</v>
      </c>
      <c r="Q103" s="16" cm="1">
        <f t="array" aca="1" ref="Q103" ca="1">IF($U$5=0,0,INDEX(Faktoren!E89:GQ89,1,VLOOKUP($X$5,$L$2:$O$14,4,FALSE)+$U$9*5+VLOOKUP(O103,Auswahllisten!$E$25:$F$29,2,FALSE)))</f>
        <v>0</v>
      </c>
      <c r="R103" s="26">
        <f t="shared" ca="1" si="138"/>
        <v>0</v>
      </c>
      <c r="S103" s="26" cm="1">
        <f t="array" aca="1" ref="S103" ca="1">INDIRECT("Investition_gewählt!"&amp;$AA$6&amp;AA103)</f>
        <v>0</v>
      </c>
      <c r="T103" s="16" cm="1">
        <f t="array" aca="1" ref="T103" ca="1">IF($U$5=0,0,INDEX(Faktoren!E89:QG89,1,VLOOKUP($X$6,$L$3:$O$14,4,FALSE)+$U$9*5+VLOOKUP(O103,Auswahllisten!$E$25:$F$29,2,FALSE)))</f>
        <v>0</v>
      </c>
      <c r="U103" s="26">
        <f t="shared" ca="1" si="139"/>
        <v>0</v>
      </c>
      <c r="V103" s="26">
        <f t="shared" ca="1" si="115"/>
        <v>0</v>
      </c>
      <c r="W103" s="16" t="b">
        <f t="shared" ca="1" si="140"/>
        <v>0</v>
      </c>
      <c r="X103" s="26">
        <f t="shared" ca="1" si="141"/>
        <v>0</v>
      </c>
      <c r="Z103" s="1">
        <v>44</v>
      </c>
      <c r="AA103" s="1">
        <v>89</v>
      </c>
      <c r="AB103" s="1">
        <v>-2</v>
      </c>
      <c r="AN103" s="1">
        <v>78</v>
      </c>
      <c r="AO103" s="1">
        <f t="shared" si="142"/>
        <v>0</v>
      </c>
      <c r="AP103" s="69">
        <f t="shared" ca="1" si="143"/>
        <v>0</v>
      </c>
      <c r="AQ103" s="69">
        <f t="shared" ca="1" si="143"/>
        <v>0</v>
      </c>
      <c r="AR103" s="69">
        <f t="shared" si="143"/>
        <v>0</v>
      </c>
      <c r="AS103" s="69">
        <f t="shared" ca="1" si="143"/>
        <v>0</v>
      </c>
      <c r="AT103" s="69">
        <f t="shared" ca="1" si="143"/>
        <v>0</v>
      </c>
      <c r="AU103" s="69">
        <f t="shared" ca="1" si="143"/>
        <v>0</v>
      </c>
      <c r="AV103" s="69">
        <f t="shared" si="143"/>
        <v>0</v>
      </c>
      <c r="AW103" s="69">
        <f t="shared" ca="1" si="144"/>
        <v>0</v>
      </c>
      <c r="AX103" s="69">
        <f t="shared" ca="1" si="145"/>
        <v>0</v>
      </c>
      <c r="AY103" s="69">
        <f t="shared" ca="1" si="146"/>
        <v>0</v>
      </c>
      <c r="AZ103" s="69">
        <f ca="1">$AO103*IF(Auswahllisten!$G$150,AZ$25+AZ$25*AZ$13*$AN103,AZ$25*(1+AZ$13)^$AN103)</f>
        <v>0</v>
      </c>
      <c r="BA103" s="69">
        <f ca="1">$AO103*IF(Auswahllisten!$G$150,BA$25+BA$25*BA$13*$AN103,BA$25*(1+BA$13)^$AN103)</f>
        <v>0</v>
      </c>
      <c r="BB103" s="69">
        <f ca="1">$AO103*IF(Auswahllisten!$G$150,BB$25+BB$25*BB$13*$AN103,BB$25*(1+BB$13)^$AN103)</f>
        <v>0</v>
      </c>
      <c r="BC103" s="69">
        <f ca="1">$AO103*IF(Auswahllisten!$G$150,BC$25+BC$25*BC$13*$AN103,BC$25*(1+BC$13)^$AN103)</f>
        <v>0</v>
      </c>
      <c r="BD103" s="69">
        <f t="shared" ca="1" si="147"/>
        <v>0</v>
      </c>
      <c r="BE103" s="69">
        <f t="shared" ca="1" si="148"/>
        <v>0</v>
      </c>
      <c r="BF103" s="69">
        <f t="shared" ca="1" si="149"/>
        <v>0</v>
      </c>
      <c r="BG103" s="69">
        <f t="shared" ca="1" si="125"/>
        <v>0</v>
      </c>
      <c r="BI103" s="69">
        <f t="shared" ca="1" si="150"/>
        <v>0</v>
      </c>
      <c r="BJ103" s="69">
        <f t="shared" ca="1" si="150"/>
        <v>0</v>
      </c>
      <c r="BK103" s="69">
        <f t="shared" si="150"/>
        <v>0</v>
      </c>
      <c r="BL103" s="69">
        <f t="shared" ca="1" si="150"/>
        <v>0</v>
      </c>
      <c r="BM103" s="69">
        <f t="shared" ca="1" si="150"/>
        <v>0</v>
      </c>
      <c r="BN103" s="69">
        <f t="shared" ca="1" si="150"/>
        <v>0</v>
      </c>
      <c r="BO103" s="69">
        <f t="shared" si="150"/>
        <v>0</v>
      </c>
      <c r="BP103" s="69">
        <f t="shared" ca="1" si="151"/>
        <v>0</v>
      </c>
      <c r="BQ103" s="69">
        <f t="shared" ca="1" si="152"/>
        <v>0</v>
      </c>
      <c r="BR103" s="69">
        <f t="shared" ca="1" si="153"/>
        <v>0</v>
      </c>
      <c r="BS103" s="69">
        <f ca="1">$AO103*IF(Auswahllisten!$G$150,BS$25+BS$25*BS$13*$AN103,BS$25*(1+BS$13)^$AN103)</f>
        <v>0</v>
      </c>
      <c r="BT103" s="69">
        <f ca="1">$AO103*IF(Auswahllisten!$G$150,BT$25+BT$25*BT$13*$AN103,BT$25*(1+BT$13)^$AN103)</f>
        <v>0</v>
      </c>
      <c r="BU103" s="69">
        <f ca="1">$AO103*IF(Auswahllisten!$G$150,BU$25+BU$25*BU$13*$AN103,BU$25*(1+BU$13)^$AN103)</f>
        <v>0</v>
      </c>
      <c r="BV103" s="69">
        <f ca="1">$AO103*IF(Auswahllisten!$G$150,BV$25+BV$25*BV$13*$AN103,BV$25*(1+BV$13)^$AN103)</f>
        <v>0</v>
      </c>
      <c r="BW103" s="69">
        <f t="shared" ca="1" si="127"/>
        <v>0</v>
      </c>
      <c r="BX103" s="69">
        <f t="shared" ca="1" si="154"/>
        <v>0</v>
      </c>
      <c r="BY103" s="69">
        <f t="shared" ca="1" si="155"/>
        <v>0</v>
      </c>
      <c r="BZ103" s="69">
        <f t="shared" ca="1" si="118"/>
        <v>0</v>
      </c>
    </row>
    <row r="104" spans="1:78">
      <c r="A104" s="305" t="s">
        <v>1215</v>
      </c>
      <c r="B104" s="126" t="s">
        <v>303</v>
      </c>
      <c r="C104" s="126" t="s">
        <v>1339</v>
      </c>
      <c r="D104" s="26" t="str" cm="1">
        <f t="array" aca="1" ref="D104" ca="1">INDIRECT("Vergleich!"&amp;$G$2&amp;Z104)</f>
        <v>mittel</v>
      </c>
      <c r="E104" s="26" cm="1">
        <f t="array" aca="1" ref="E104" ca="1">INDIRECT("Investition_gewählt!"&amp;$I$5&amp;AA104)</f>
        <v>0</v>
      </c>
      <c r="F104" s="25" cm="1">
        <f t="array" aca="1" ref="F104" ca="1">IF($C$5=0,0,INDEX(Faktoren!E90:GQ90,1,VLOOKUP($F$5,$L$2:$O$14,4,FALSE)+$C$9*5+VLOOKUP(D104,Auswahllisten!$E$25:$F$29,2,FALSE)))</f>
        <v>0</v>
      </c>
      <c r="G104" s="162">
        <f t="shared" ca="1" si="156"/>
        <v>0</v>
      </c>
      <c r="H104" s="26" cm="1">
        <f t="array" aca="1" ref="H104" ca="1">INDIRECT("Investition_gewählt!"&amp;$I$6&amp;AA104)</f>
        <v>0</v>
      </c>
      <c r="I104" s="25" cm="1">
        <f t="array" aca="1" ref="I104" ca="1">IF($C$5=0,0,INDEX(Faktoren!E90:GQ90,1,VLOOKUP($F$6,$L$2:$O$14,4,FALSE)+$C$9*5+VLOOKUP(D104,Auswahllisten!$E$25:$F$29,2,FALSE)))</f>
        <v>0</v>
      </c>
      <c r="J104" s="162">
        <f t="shared" ca="1" si="157"/>
        <v>0</v>
      </c>
      <c r="K104" s="26">
        <f t="shared" ca="1" si="136"/>
        <v>0</v>
      </c>
      <c r="L104" s="25" t="b">
        <f t="shared" ca="1" si="158"/>
        <v>0</v>
      </c>
      <c r="M104" s="26">
        <f t="shared" ca="1" si="137"/>
        <v>0</v>
      </c>
      <c r="O104" s="16" t="str" cm="1">
        <f t="array" aca="1" ref="O104" ca="1">INDIRECT("Vergleich!"&amp;$Y$2&amp;Z104)</f>
        <v>gering</v>
      </c>
      <c r="P104" s="26" cm="1">
        <f t="array" aca="1" ref="P104" ca="1">INDIRECT("Investition_gewählt!"&amp;$AA$5&amp;AA104)</f>
        <v>0</v>
      </c>
      <c r="Q104" s="16" cm="1">
        <f t="array" aca="1" ref="Q104" ca="1">IF($U$5=0,0,INDEX(Faktoren!E90:GQ90,1,VLOOKUP($X$5,$L$2:$O$14,4,FALSE)+$U$9*5+VLOOKUP(O104,Auswahllisten!$E$25:$F$29,2,FALSE)))</f>
        <v>0</v>
      </c>
      <c r="R104" s="26">
        <f t="shared" ca="1" si="138"/>
        <v>0</v>
      </c>
      <c r="S104" s="26" cm="1">
        <f t="array" aca="1" ref="S104" ca="1">INDIRECT("Investition_gewählt!"&amp;$AA$6&amp;AA104)</f>
        <v>0</v>
      </c>
      <c r="T104" s="16" cm="1">
        <f t="array" aca="1" ref="T104" ca="1">IF($U$5=0,0,INDEX(Faktoren!E90:QG90,1,VLOOKUP($X$6,$L$3:$O$14,4,FALSE)+$U$9*5+VLOOKUP(O104,Auswahllisten!$E$25:$F$29,2,FALSE)))</f>
        <v>0</v>
      </c>
      <c r="U104" s="26">
        <f t="shared" ca="1" si="139"/>
        <v>0</v>
      </c>
      <c r="V104" s="26">
        <f t="shared" ca="1" si="115"/>
        <v>0</v>
      </c>
      <c r="W104" s="16" t="b">
        <f t="shared" ca="1" si="140"/>
        <v>0</v>
      </c>
      <c r="X104" s="26">
        <f t="shared" ca="1" si="141"/>
        <v>0</v>
      </c>
      <c r="Z104" s="1">
        <v>45</v>
      </c>
      <c r="AA104" s="1">
        <v>90</v>
      </c>
      <c r="AB104" s="1">
        <v>-2</v>
      </c>
      <c r="AN104" s="1">
        <v>79</v>
      </c>
      <c r="AO104" s="1">
        <f t="shared" si="142"/>
        <v>0</v>
      </c>
      <c r="AP104" s="69">
        <f t="shared" ca="1" si="143"/>
        <v>0</v>
      </c>
      <c r="AQ104" s="69">
        <f t="shared" ca="1" si="143"/>
        <v>0</v>
      </c>
      <c r="AR104" s="69">
        <f t="shared" si="143"/>
        <v>0</v>
      </c>
      <c r="AS104" s="69">
        <f t="shared" ca="1" si="143"/>
        <v>0</v>
      </c>
      <c r="AT104" s="69">
        <f t="shared" ca="1" si="143"/>
        <v>0</v>
      </c>
      <c r="AU104" s="69">
        <f t="shared" ca="1" si="143"/>
        <v>0</v>
      </c>
      <c r="AV104" s="69">
        <f t="shared" si="143"/>
        <v>0</v>
      </c>
      <c r="AW104" s="69">
        <f t="shared" ca="1" si="144"/>
        <v>0</v>
      </c>
      <c r="AX104" s="69">
        <f t="shared" ca="1" si="145"/>
        <v>0</v>
      </c>
      <c r="AY104" s="69">
        <f t="shared" ca="1" si="146"/>
        <v>0</v>
      </c>
      <c r="AZ104" s="69">
        <f ca="1">$AO104*IF(Auswahllisten!$G$150,AZ$25+AZ$25*AZ$13*$AN104,AZ$25*(1+AZ$13)^$AN104)</f>
        <v>0</v>
      </c>
      <c r="BA104" s="69">
        <f ca="1">$AO104*IF(Auswahllisten!$G$150,BA$25+BA$25*BA$13*$AN104,BA$25*(1+BA$13)^$AN104)</f>
        <v>0</v>
      </c>
      <c r="BB104" s="69">
        <f ca="1">$AO104*IF(Auswahllisten!$G$150,BB$25+BB$25*BB$13*$AN104,BB$25*(1+BB$13)^$AN104)</f>
        <v>0</v>
      </c>
      <c r="BC104" s="69">
        <f ca="1">$AO104*IF(Auswahllisten!$G$150,BC$25+BC$25*BC$13*$AN104,BC$25*(1+BC$13)^$AN104)</f>
        <v>0</v>
      </c>
      <c r="BD104" s="69">
        <f t="shared" ca="1" si="147"/>
        <v>0</v>
      </c>
      <c r="BE104" s="69">
        <f t="shared" ca="1" si="148"/>
        <v>0</v>
      </c>
      <c r="BF104" s="69">
        <f t="shared" ca="1" si="149"/>
        <v>0</v>
      </c>
      <c r="BG104" s="69">
        <f t="shared" ca="1" si="125"/>
        <v>0</v>
      </c>
      <c r="BI104" s="69">
        <f t="shared" ca="1" si="150"/>
        <v>0</v>
      </c>
      <c r="BJ104" s="69">
        <f t="shared" ca="1" si="150"/>
        <v>0</v>
      </c>
      <c r="BK104" s="69">
        <f t="shared" si="150"/>
        <v>0</v>
      </c>
      <c r="BL104" s="69">
        <f t="shared" ca="1" si="150"/>
        <v>0</v>
      </c>
      <c r="BM104" s="69">
        <f t="shared" ca="1" si="150"/>
        <v>0</v>
      </c>
      <c r="BN104" s="69">
        <f t="shared" ca="1" si="150"/>
        <v>0</v>
      </c>
      <c r="BO104" s="69">
        <f t="shared" si="150"/>
        <v>0</v>
      </c>
      <c r="BP104" s="69">
        <f t="shared" ca="1" si="151"/>
        <v>0</v>
      </c>
      <c r="BQ104" s="69">
        <f t="shared" ca="1" si="152"/>
        <v>0</v>
      </c>
      <c r="BR104" s="69">
        <f t="shared" ca="1" si="153"/>
        <v>0</v>
      </c>
      <c r="BS104" s="69">
        <f ca="1">$AO104*IF(Auswahllisten!$G$150,BS$25+BS$25*BS$13*$AN104,BS$25*(1+BS$13)^$AN104)</f>
        <v>0</v>
      </c>
      <c r="BT104" s="69">
        <f ca="1">$AO104*IF(Auswahllisten!$G$150,BT$25+BT$25*BT$13*$AN104,BT$25*(1+BT$13)^$AN104)</f>
        <v>0</v>
      </c>
      <c r="BU104" s="69">
        <f ca="1">$AO104*IF(Auswahllisten!$G$150,BU$25+BU$25*BU$13*$AN104,BU$25*(1+BU$13)^$AN104)</f>
        <v>0</v>
      </c>
      <c r="BV104" s="69">
        <f ca="1">$AO104*IF(Auswahllisten!$G$150,BV$25+BV$25*BV$13*$AN104,BV$25*(1+BV$13)^$AN104)</f>
        <v>0</v>
      </c>
      <c r="BW104" s="69">
        <f t="shared" ca="1" si="127"/>
        <v>0</v>
      </c>
      <c r="BX104" s="69">
        <f t="shared" ca="1" si="154"/>
        <v>0</v>
      </c>
      <c r="BY104" s="69">
        <f t="shared" ca="1" si="155"/>
        <v>0</v>
      </c>
      <c r="BZ104" s="69">
        <f t="shared" ca="1" si="118"/>
        <v>0</v>
      </c>
    </row>
    <row r="105" spans="1:78">
      <c r="A105" s="307" t="s">
        <v>1215</v>
      </c>
      <c r="B105" s="297" t="s">
        <v>303</v>
      </c>
      <c r="C105" s="134" t="s">
        <v>1338</v>
      </c>
      <c r="D105" s="26" t="str" cm="1">
        <f t="array" aca="1" ref="D105" ca="1">INDIRECT("Vergleich!"&amp;$G$2&amp;Z105)</f>
        <v>mittel</v>
      </c>
      <c r="E105" s="26" cm="1">
        <f t="array" aca="1" ref="E105" ca="1">INDIRECT("Investition_gewählt!"&amp;$I$5&amp;AA105)</f>
        <v>0</v>
      </c>
      <c r="F105" s="16" cm="1">
        <f t="array" aca="1" ref="F105" ca="1">IF($C$5=0,0,INDEX(Faktoren!E91:GQ91,1,VLOOKUP($F$5,$L$2:$O$14,4,FALSE)+$C$9*5+VLOOKUP(D105,Auswahllisten!$E$25:$F$29,2,FALSE)))</f>
        <v>0</v>
      </c>
      <c r="G105" s="26">
        <f t="shared" ca="1" si="156"/>
        <v>0</v>
      </c>
      <c r="H105" s="26" cm="1">
        <f t="array" aca="1" ref="H105" ca="1">INDIRECT("Investition_gewählt!"&amp;$I$6&amp;AA105)</f>
        <v>0</v>
      </c>
      <c r="I105" s="16" cm="1">
        <f t="array" aca="1" ref="I105" ca="1">IF($C$5=0,0,INDEX(Faktoren!E91:GQ91,1,VLOOKUP($F$6,$L$2:$O$14,4,FALSE)+$C$9*5+VLOOKUP(D105,Auswahllisten!$E$25:$F$29,2,FALSE)))</f>
        <v>0</v>
      </c>
      <c r="J105" s="26">
        <f t="shared" ca="1" si="157"/>
        <v>0</v>
      </c>
      <c r="K105" s="26">
        <f t="shared" ca="1" si="136"/>
        <v>0</v>
      </c>
      <c r="L105" s="16" t="b">
        <f t="shared" ca="1" si="158"/>
        <v>0</v>
      </c>
      <c r="M105" s="26">
        <f t="shared" ca="1" si="137"/>
        <v>0</v>
      </c>
      <c r="O105" s="93" t="str" cm="1">
        <f t="array" aca="1" ref="O105" ca="1">INDIRECT("Vergleich!"&amp;$Y$2&amp;Z105)</f>
        <v>gering</v>
      </c>
      <c r="P105" s="163" cm="1">
        <f t="array" aca="1" ref="P105" ca="1">INDIRECT("Investition_gewählt!"&amp;$AA$5&amp;AA105)</f>
        <v>0</v>
      </c>
      <c r="Q105" s="93" cm="1">
        <f t="array" aca="1" ref="Q105" ca="1">IF($U$5=0,0,INDEX(Faktoren!E91:GQ91,1,VLOOKUP($X$5,$L$2:$O$14,4,FALSE)+$U$9*5+VLOOKUP(O105,Auswahllisten!$E$25:$F$29,2,FALSE)))</f>
        <v>0</v>
      </c>
      <c r="R105" s="163">
        <f t="shared" ca="1" si="138"/>
        <v>0</v>
      </c>
      <c r="S105" s="163" cm="1">
        <f t="array" aca="1" ref="S105" ca="1">INDIRECT("Investition_gewählt!"&amp;$AA$6&amp;AA105)</f>
        <v>0</v>
      </c>
      <c r="T105" s="93" cm="1">
        <f t="array" aca="1" ref="T105" ca="1">IF($U$5=0,0,INDEX(Faktoren!E91:QG91,1,VLOOKUP($X$6,$L$3:$O$14,4,FALSE)+$U$9*5+VLOOKUP(O105,Auswahllisten!$E$25:$F$29,2,FALSE)))</f>
        <v>0</v>
      </c>
      <c r="U105" s="163">
        <f t="shared" ca="1" si="139"/>
        <v>0</v>
      </c>
      <c r="V105" s="163">
        <f t="shared" ca="1" si="115"/>
        <v>0</v>
      </c>
      <c r="W105" s="93" t="b">
        <f t="shared" ca="1" si="140"/>
        <v>0</v>
      </c>
      <c r="X105" s="163">
        <f t="shared" ca="1" si="141"/>
        <v>0</v>
      </c>
      <c r="Z105" s="1">
        <v>46</v>
      </c>
      <c r="AA105" s="1">
        <v>91</v>
      </c>
      <c r="AB105" s="1">
        <v>-2</v>
      </c>
      <c r="AN105" s="1">
        <v>80</v>
      </c>
      <c r="AO105" s="1">
        <f t="shared" si="142"/>
        <v>0</v>
      </c>
      <c r="AP105" s="69">
        <f t="shared" ca="1" si="143"/>
        <v>0</v>
      </c>
      <c r="AQ105" s="69">
        <f t="shared" ca="1" si="143"/>
        <v>0</v>
      </c>
      <c r="AR105" s="69">
        <f t="shared" ca="1" si="143"/>
        <v>0</v>
      </c>
      <c r="AS105" s="69">
        <f t="shared" ca="1" si="143"/>
        <v>0</v>
      </c>
      <c r="AT105" s="69">
        <f t="shared" ca="1" si="143"/>
        <v>0</v>
      </c>
      <c r="AU105" s="69">
        <f t="shared" ca="1" si="143"/>
        <v>0</v>
      </c>
      <c r="AV105" s="69">
        <f t="shared" ca="1" si="143"/>
        <v>0</v>
      </c>
      <c r="AW105" s="69">
        <f t="shared" ca="1" si="144"/>
        <v>0</v>
      </c>
      <c r="AX105" s="69">
        <f t="shared" ca="1" si="145"/>
        <v>0</v>
      </c>
      <c r="AY105" s="69">
        <f t="shared" ca="1" si="146"/>
        <v>0</v>
      </c>
      <c r="AZ105" s="69">
        <f ca="1">$AO105*IF(Auswahllisten!$G$150,AZ$25+AZ$25*AZ$13*$AN105,AZ$25*(1+AZ$13)^$AN105)</f>
        <v>0</v>
      </c>
      <c r="BA105" s="69">
        <f ca="1">$AO105*IF(Auswahllisten!$G$150,BA$25+BA$25*BA$13*$AN105,BA$25*(1+BA$13)^$AN105)</f>
        <v>0</v>
      </c>
      <c r="BB105" s="69">
        <f ca="1">$AO105*IF(Auswahllisten!$G$150,BB$25+BB$25*BB$13*$AN105,BB$25*(1+BB$13)^$AN105)</f>
        <v>0</v>
      </c>
      <c r="BC105" s="69">
        <f ca="1">$AO105*IF(Auswahllisten!$G$150,BC$25+BC$25*BC$13*$AN105,BC$25*(1+BC$13)^$AN105)</f>
        <v>0</v>
      </c>
      <c r="BD105" s="69">
        <f t="shared" ca="1" si="147"/>
        <v>0</v>
      </c>
      <c r="BE105" s="69">
        <f t="shared" ca="1" si="148"/>
        <v>0</v>
      </c>
      <c r="BF105" s="69">
        <f t="shared" ca="1" si="149"/>
        <v>0</v>
      </c>
      <c r="BG105" s="69">
        <f t="shared" ca="1" si="125"/>
        <v>0</v>
      </c>
      <c r="BI105" s="69">
        <f t="shared" ca="1" si="150"/>
        <v>0</v>
      </c>
      <c r="BJ105" s="69">
        <f t="shared" ca="1" si="150"/>
        <v>0</v>
      </c>
      <c r="BK105" s="69">
        <f t="shared" si="150"/>
        <v>0</v>
      </c>
      <c r="BL105" s="69">
        <f t="shared" ca="1" si="150"/>
        <v>0</v>
      </c>
      <c r="BM105" s="69">
        <f t="shared" ca="1" si="150"/>
        <v>0</v>
      </c>
      <c r="BN105" s="69">
        <f t="shared" ca="1" si="150"/>
        <v>0</v>
      </c>
      <c r="BO105" s="69">
        <f t="shared" si="150"/>
        <v>0</v>
      </c>
      <c r="BP105" s="69">
        <f t="shared" ca="1" si="151"/>
        <v>0</v>
      </c>
      <c r="BQ105" s="69">
        <f t="shared" ca="1" si="152"/>
        <v>0</v>
      </c>
      <c r="BR105" s="69">
        <f t="shared" ca="1" si="153"/>
        <v>0</v>
      </c>
      <c r="BS105" s="69">
        <f ca="1">$AO105*IF(Auswahllisten!$G$150,BS$25+BS$25*BS$13*$AN105,BS$25*(1+BS$13)^$AN105)</f>
        <v>0</v>
      </c>
      <c r="BT105" s="69">
        <f ca="1">$AO105*IF(Auswahllisten!$G$150,BT$25+BT$25*BT$13*$AN105,BT$25*(1+BT$13)^$AN105)</f>
        <v>0</v>
      </c>
      <c r="BU105" s="69">
        <f ca="1">$AO105*IF(Auswahllisten!$G$150,BU$25+BU$25*BU$13*$AN105,BU$25*(1+BU$13)^$AN105)</f>
        <v>0</v>
      </c>
      <c r="BV105" s="69">
        <f ca="1">$AO105*IF(Auswahllisten!$G$150,BV$25+BV$25*BV$13*$AN105,BV$25*(1+BV$13)^$AN105)</f>
        <v>0</v>
      </c>
      <c r="BW105" s="69">
        <f t="shared" ca="1" si="127"/>
        <v>0</v>
      </c>
      <c r="BX105" s="69">
        <f t="shared" ca="1" si="154"/>
        <v>0</v>
      </c>
      <c r="BY105" s="69">
        <f t="shared" ca="1" si="155"/>
        <v>0</v>
      </c>
      <c r="BZ105" s="69">
        <f t="shared" ca="1" si="118"/>
        <v>0</v>
      </c>
    </row>
    <row r="106" spans="1:78">
      <c r="A106" s="306" t="s">
        <v>1230</v>
      </c>
      <c r="B106" s="134" t="s">
        <v>1033</v>
      </c>
      <c r="C106" s="134" t="s">
        <v>1337</v>
      </c>
      <c r="D106" s="296" t="str" cm="1">
        <f t="array" aca="1" ref="D106" ca="1">INDIRECT("Vergleich!"&amp;$G$2&amp;Z106)</f>
        <v>mittel</v>
      </c>
      <c r="E106" s="296" cm="1">
        <f t="array" aca="1" ref="E106" ca="1">INDIRECT("Investition_gewählt!"&amp;$I$5&amp;AA106)</f>
        <v>0</v>
      </c>
      <c r="F106" s="60" cm="1">
        <f t="array" aca="1" ref="F106" ca="1">IF($C$5=0,0,INDEX(Faktoren!E92:GQ92,1,VLOOKUP($F$5,$L$2:$O$14,4,FALSE)+$C$9*5+VLOOKUP(D106,Auswahllisten!$E$25:$F$29,2,FALSE)))</f>
        <v>0</v>
      </c>
      <c r="G106" s="296">
        <f t="shared" ca="1" si="156"/>
        <v>0</v>
      </c>
      <c r="H106" s="296" cm="1">
        <f t="array" aca="1" ref="H106" ca="1">INDIRECT("Investition_gewählt!"&amp;$I$6&amp;AA106)</f>
        <v>0</v>
      </c>
      <c r="I106" s="60" cm="1">
        <f t="array" aca="1" ref="I106" ca="1">IF($C$5=0,0,INDEX(Faktoren!E92:GQ92,1,VLOOKUP($F$6,$L$2:$O$14,4,FALSE)+$C$9*5+VLOOKUP(D106,Auswahllisten!$E$25:$F$29,2,FALSE)))</f>
        <v>0</v>
      </c>
      <c r="J106" s="296">
        <f t="shared" ca="1" si="157"/>
        <v>0</v>
      </c>
      <c r="K106" s="296">
        <f t="shared" ca="1" si="136"/>
        <v>0</v>
      </c>
      <c r="L106" s="60" t="b">
        <f t="shared" ca="1" si="158"/>
        <v>0</v>
      </c>
      <c r="M106" s="296">
        <f t="shared" ca="1" si="137"/>
        <v>0</v>
      </c>
      <c r="O106" s="93" t="str" cm="1">
        <f t="array" aca="1" ref="O106" ca="1">INDIRECT("Vergleich!"&amp;$Y$2&amp;Z106)</f>
        <v>gering</v>
      </c>
      <c r="P106" s="163" cm="1">
        <f t="array" aca="1" ref="P106" ca="1">INDIRECT("Investition_gewählt!"&amp;$AA$5&amp;AA106)</f>
        <v>0</v>
      </c>
      <c r="Q106" s="93" cm="1">
        <f t="array" aca="1" ref="Q106" ca="1">IF($U$5=0,0,INDEX(Faktoren!E92:GQ92,1,VLOOKUP($X$5,$L$2:$O$14,4,FALSE)+$U$9*5+VLOOKUP(O106,Auswahllisten!$E$25:$F$29,2,FALSE)))</f>
        <v>0</v>
      </c>
      <c r="R106" s="163">
        <f t="shared" ca="1" si="138"/>
        <v>0</v>
      </c>
      <c r="S106" s="163" cm="1">
        <f t="array" aca="1" ref="S106" ca="1">INDIRECT("Investition_gewählt!"&amp;$AA$6&amp;AA106)</f>
        <v>0</v>
      </c>
      <c r="T106" s="93" cm="1">
        <f t="array" aca="1" ref="T106" ca="1">IF($U$5=0,0,INDEX(Faktoren!E92:QG92,1,VLOOKUP($X$6,$L$3:$O$14,4,FALSE)+$U$9*5+VLOOKUP(O106,Auswahllisten!$E$25:$F$29,2,FALSE)))</f>
        <v>0</v>
      </c>
      <c r="U106" s="163">
        <f t="shared" ca="1" si="139"/>
        <v>0</v>
      </c>
      <c r="V106" s="163">
        <f t="shared" ca="1" si="115"/>
        <v>0</v>
      </c>
      <c r="W106" s="93" t="b">
        <f t="shared" ca="1" si="140"/>
        <v>0</v>
      </c>
      <c r="X106" s="163">
        <f t="shared" ca="1" si="141"/>
        <v>0</v>
      </c>
      <c r="Z106" s="1">
        <v>52</v>
      </c>
      <c r="AA106" s="1">
        <v>92</v>
      </c>
      <c r="AB106" s="1">
        <v>-2</v>
      </c>
      <c r="AN106" s="1">
        <v>81</v>
      </c>
      <c r="AO106" s="1">
        <f t="shared" si="142"/>
        <v>0</v>
      </c>
      <c r="AP106" s="69">
        <f t="shared" ca="1" si="143"/>
        <v>0</v>
      </c>
      <c r="AQ106" s="69">
        <f t="shared" ca="1" si="143"/>
        <v>0</v>
      </c>
      <c r="AR106" s="69">
        <f t="shared" si="143"/>
        <v>0</v>
      </c>
      <c r="AS106" s="69">
        <f t="shared" ca="1" si="143"/>
        <v>0</v>
      </c>
      <c r="AT106" s="69">
        <f t="shared" ca="1" si="143"/>
        <v>0</v>
      </c>
      <c r="AU106" s="69">
        <f t="shared" ca="1" si="143"/>
        <v>0</v>
      </c>
      <c r="AV106" s="69">
        <f t="shared" si="143"/>
        <v>0</v>
      </c>
      <c r="AW106" s="69">
        <f t="shared" ca="1" si="144"/>
        <v>0</v>
      </c>
      <c r="AX106" s="69">
        <f t="shared" ca="1" si="145"/>
        <v>0</v>
      </c>
      <c r="AY106" s="69">
        <f t="shared" ca="1" si="146"/>
        <v>0</v>
      </c>
      <c r="AZ106" s="69">
        <f ca="1">$AO106*IF(Auswahllisten!$G$150,AZ$25+AZ$25*AZ$13*$AN106,AZ$25*(1+AZ$13)^$AN106)</f>
        <v>0</v>
      </c>
      <c r="BA106" s="69">
        <f ca="1">$AO106*IF(Auswahllisten!$G$150,BA$25+BA$25*BA$13*$AN106,BA$25*(1+BA$13)^$AN106)</f>
        <v>0</v>
      </c>
      <c r="BB106" s="69">
        <f ca="1">$AO106*IF(Auswahllisten!$G$150,BB$25+BB$25*BB$13*$AN106,BB$25*(1+BB$13)^$AN106)</f>
        <v>0</v>
      </c>
      <c r="BC106" s="69">
        <f ca="1">$AO106*IF(Auswahllisten!$G$150,BC$25+BC$25*BC$13*$AN106,BC$25*(1+BC$13)^$AN106)</f>
        <v>0</v>
      </c>
      <c r="BD106" s="69">
        <f t="shared" ca="1" si="147"/>
        <v>0</v>
      </c>
      <c r="BE106" s="69">
        <f t="shared" ca="1" si="148"/>
        <v>0</v>
      </c>
      <c r="BF106" s="69">
        <f t="shared" ca="1" si="149"/>
        <v>0</v>
      </c>
      <c r="BG106" s="69">
        <f t="shared" ca="1" si="125"/>
        <v>0</v>
      </c>
      <c r="BI106" s="69">
        <f t="shared" ca="1" si="150"/>
        <v>0</v>
      </c>
      <c r="BJ106" s="69">
        <f t="shared" ca="1" si="150"/>
        <v>0</v>
      </c>
      <c r="BK106" s="69">
        <f t="shared" si="150"/>
        <v>0</v>
      </c>
      <c r="BL106" s="69">
        <f t="shared" ca="1" si="150"/>
        <v>0</v>
      </c>
      <c r="BM106" s="69">
        <f t="shared" ca="1" si="150"/>
        <v>0</v>
      </c>
      <c r="BN106" s="69">
        <f t="shared" ca="1" si="150"/>
        <v>0</v>
      </c>
      <c r="BO106" s="69">
        <f t="shared" si="150"/>
        <v>0</v>
      </c>
      <c r="BP106" s="69">
        <f t="shared" ca="1" si="151"/>
        <v>0</v>
      </c>
      <c r="BQ106" s="69">
        <f t="shared" ca="1" si="152"/>
        <v>0</v>
      </c>
      <c r="BR106" s="69">
        <f t="shared" ca="1" si="153"/>
        <v>0</v>
      </c>
      <c r="BS106" s="69">
        <f ca="1">$AO106*IF(Auswahllisten!$G$150,BS$25+BS$25*BS$13*$AN106,BS$25*(1+BS$13)^$AN106)</f>
        <v>0</v>
      </c>
      <c r="BT106" s="69">
        <f ca="1">$AO106*IF(Auswahllisten!$G$150,BT$25+BT$25*BT$13*$AN106,BT$25*(1+BT$13)^$AN106)</f>
        <v>0</v>
      </c>
      <c r="BU106" s="69">
        <f ca="1">$AO106*IF(Auswahllisten!$G$150,BU$25+BU$25*BU$13*$AN106,BU$25*(1+BU$13)^$AN106)</f>
        <v>0</v>
      </c>
      <c r="BV106" s="69">
        <f ca="1">$AO106*IF(Auswahllisten!$G$150,BV$25+BV$25*BV$13*$AN106,BV$25*(1+BV$13)^$AN106)</f>
        <v>0</v>
      </c>
      <c r="BW106" s="69">
        <f t="shared" ca="1" si="127"/>
        <v>0</v>
      </c>
      <c r="BX106" s="69">
        <f t="shared" ca="1" si="154"/>
        <v>0</v>
      </c>
      <c r="BY106" s="69">
        <f t="shared" ca="1" si="155"/>
        <v>0</v>
      </c>
      <c r="BZ106" s="69">
        <f t="shared" ca="1" si="118"/>
        <v>0</v>
      </c>
    </row>
    <row r="107" spans="1:78">
      <c r="A107" s="82"/>
      <c r="B107" s="64"/>
      <c r="C107" s="64"/>
      <c r="D107" s="69"/>
      <c r="E107" s="69"/>
      <c r="G107" s="69"/>
      <c r="H107" s="69"/>
      <c r="J107" s="69"/>
      <c r="K107" s="69"/>
      <c r="M107" s="69"/>
      <c r="P107" s="69"/>
      <c r="R107" s="69"/>
      <c r="S107" s="69"/>
      <c r="U107" s="69"/>
      <c r="V107" s="69"/>
      <c r="X107" s="69"/>
      <c r="AB107" s="1">
        <v>-2</v>
      </c>
      <c r="AN107" s="1">
        <v>82</v>
      </c>
      <c r="AO107" s="1">
        <f t="shared" si="142"/>
        <v>0</v>
      </c>
      <c r="AP107" s="69">
        <f t="shared" ca="1" si="143"/>
        <v>0</v>
      </c>
      <c r="AQ107" s="69">
        <f t="shared" ca="1" si="143"/>
        <v>0</v>
      </c>
      <c r="AR107" s="69">
        <f t="shared" si="143"/>
        <v>0</v>
      </c>
      <c r="AS107" s="69">
        <f t="shared" ca="1" si="143"/>
        <v>0</v>
      </c>
      <c r="AT107" s="69">
        <f t="shared" ca="1" si="143"/>
        <v>0</v>
      </c>
      <c r="AU107" s="69">
        <f t="shared" ca="1" si="143"/>
        <v>0</v>
      </c>
      <c r="AV107" s="69">
        <f t="shared" si="143"/>
        <v>0</v>
      </c>
      <c r="AW107" s="69">
        <f t="shared" ca="1" si="144"/>
        <v>0</v>
      </c>
      <c r="AX107" s="69">
        <f t="shared" ca="1" si="145"/>
        <v>0</v>
      </c>
      <c r="AY107" s="69">
        <f t="shared" ca="1" si="146"/>
        <v>0</v>
      </c>
      <c r="AZ107" s="69">
        <f ca="1">$AO107*IF(Auswahllisten!$G$150,AZ$25+AZ$25*AZ$13*$AN107,AZ$25*(1+AZ$13)^$AN107)</f>
        <v>0</v>
      </c>
      <c r="BA107" s="69">
        <f ca="1">$AO107*IF(Auswahllisten!$G$150,BA$25+BA$25*BA$13*$AN107,BA$25*(1+BA$13)^$AN107)</f>
        <v>0</v>
      </c>
      <c r="BB107" s="69">
        <f ca="1">$AO107*IF(Auswahllisten!$G$150,BB$25+BB$25*BB$13*$AN107,BB$25*(1+BB$13)^$AN107)</f>
        <v>0</v>
      </c>
      <c r="BC107" s="69">
        <f ca="1">$AO107*IF(Auswahllisten!$G$150,BC$25+BC$25*BC$13*$AN107,BC$25*(1+BC$13)^$AN107)</f>
        <v>0</v>
      </c>
      <c r="BD107" s="69">
        <f t="shared" ca="1" si="147"/>
        <v>0</v>
      </c>
      <c r="BE107" s="69">
        <f t="shared" ca="1" si="148"/>
        <v>0</v>
      </c>
      <c r="BF107" s="69">
        <f t="shared" ca="1" si="149"/>
        <v>0</v>
      </c>
      <c r="BG107" s="69">
        <f t="shared" ca="1" si="125"/>
        <v>0</v>
      </c>
      <c r="BI107" s="69">
        <f t="shared" ca="1" si="150"/>
        <v>0</v>
      </c>
      <c r="BJ107" s="69">
        <f t="shared" ca="1" si="150"/>
        <v>0</v>
      </c>
      <c r="BK107" s="69">
        <f t="shared" si="150"/>
        <v>0</v>
      </c>
      <c r="BL107" s="69">
        <f t="shared" ca="1" si="150"/>
        <v>0</v>
      </c>
      <c r="BM107" s="69">
        <f t="shared" ca="1" si="150"/>
        <v>0</v>
      </c>
      <c r="BN107" s="69">
        <f t="shared" ca="1" si="150"/>
        <v>0</v>
      </c>
      <c r="BO107" s="69">
        <f t="shared" si="150"/>
        <v>0</v>
      </c>
      <c r="BP107" s="69">
        <f t="shared" ca="1" si="151"/>
        <v>0</v>
      </c>
      <c r="BQ107" s="69">
        <f t="shared" ca="1" si="152"/>
        <v>0</v>
      </c>
      <c r="BR107" s="69">
        <f t="shared" ca="1" si="153"/>
        <v>0</v>
      </c>
      <c r="BS107" s="69">
        <f ca="1">$AO107*IF(Auswahllisten!$G$150,BS$25+BS$25*BS$13*$AN107,BS$25*(1+BS$13)^$AN107)</f>
        <v>0</v>
      </c>
      <c r="BT107" s="69">
        <f ca="1">$AO107*IF(Auswahllisten!$G$150,BT$25+BT$25*BT$13*$AN107,BT$25*(1+BT$13)^$AN107)</f>
        <v>0</v>
      </c>
      <c r="BU107" s="69">
        <f ca="1">$AO107*IF(Auswahllisten!$G$150,BU$25+BU$25*BU$13*$AN107,BU$25*(1+BU$13)^$AN107)</f>
        <v>0</v>
      </c>
      <c r="BV107" s="69">
        <f ca="1">$AO107*IF(Auswahllisten!$G$150,BV$25+BV$25*BV$13*$AN107,BV$25*(1+BV$13)^$AN107)</f>
        <v>0</v>
      </c>
      <c r="BW107" s="69">
        <f t="shared" ca="1" si="127"/>
        <v>0</v>
      </c>
      <c r="BX107" s="69">
        <f t="shared" ca="1" si="154"/>
        <v>0</v>
      </c>
      <c r="BY107" s="69">
        <f t="shared" ca="1" si="155"/>
        <v>0</v>
      </c>
      <c r="BZ107" s="69">
        <f t="shared" ca="1" si="118"/>
        <v>0</v>
      </c>
    </row>
    <row r="108" spans="1:78">
      <c r="A108" s="82"/>
      <c r="B108" s="125" t="s">
        <v>1258</v>
      </c>
      <c r="C108" s="64"/>
      <c r="D108" s="69"/>
      <c r="E108" s="69"/>
      <c r="G108" s="69"/>
      <c r="H108" s="69"/>
      <c r="J108" s="69"/>
      <c r="K108" s="69"/>
      <c r="M108" s="69"/>
      <c r="P108" s="69"/>
      <c r="R108" s="69"/>
      <c r="S108" s="69"/>
      <c r="U108" s="69"/>
      <c r="V108" s="69"/>
      <c r="X108" s="69"/>
      <c r="AB108" s="1">
        <v>-2</v>
      </c>
      <c r="AN108" s="1">
        <v>83</v>
      </c>
      <c r="AO108" s="1">
        <f t="shared" si="142"/>
        <v>0</v>
      </c>
      <c r="AP108" s="69">
        <f t="shared" ca="1" si="143"/>
        <v>0</v>
      </c>
      <c r="AQ108" s="69">
        <f t="shared" ca="1" si="143"/>
        <v>0</v>
      </c>
      <c r="AR108" s="69">
        <f t="shared" si="143"/>
        <v>0</v>
      </c>
      <c r="AS108" s="69">
        <f t="shared" ca="1" si="143"/>
        <v>0</v>
      </c>
      <c r="AT108" s="69">
        <f t="shared" ca="1" si="143"/>
        <v>0</v>
      </c>
      <c r="AU108" s="69">
        <f t="shared" ca="1" si="143"/>
        <v>0</v>
      </c>
      <c r="AV108" s="69">
        <f t="shared" si="143"/>
        <v>0</v>
      </c>
      <c r="AW108" s="69">
        <f t="shared" ca="1" si="144"/>
        <v>0</v>
      </c>
      <c r="AX108" s="69">
        <f t="shared" ca="1" si="145"/>
        <v>0</v>
      </c>
      <c r="AY108" s="69">
        <f t="shared" ca="1" si="146"/>
        <v>0</v>
      </c>
      <c r="AZ108" s="69">
        <f ca="1">$AO108*IF(Auswahllisten!$G$150,AZ$25+AZ$25*AZ$13*$AN108,AZ$25*(1+AZ$13)^$AN108)</f>
        <v>0</v>
      </c>
      <c r="BA108" s="69">
        <f ca="1">$AO108*IF(Auswahllisten!$G$150,BA$25+BA$25*BA$13*$AN108,BA$25*(1+BA$13)^$AN108)</f>
        <v>0</v>
      </c>
      <c r="BB108" s="69">
        <f ca="1">$AO108*IF(Auswahllisten!$G$150,BB$25+BB$25*BB$13*$AN108,BB$25*(1+BB$13)^$AN108)</f>
        <v>0</v>
      </c>
      <c r="BC108" s="69">
        <f ca="1">$AO108*IF(Auswahllisten!$G$150,BC$25+BC$25*BC$13*$AN108,BC$25*(1+BC$13)^$AN108)</f>
        <v>0</v>
      </c>
      <c r="BD108" s="69">
        <f t="shared" ca="1" si="147"/>
        <v>0</v>
      </c>
      <c r="BE108" s="69">
        <f t="shared" ca="1" si="148"/>
        <v>0</v>
      </c>
      <c r="BF108" s="69">
        <f t="shared" ca="1" si="149"/>
        <v>0</v>
      </c>
      <c r="BG108" s="69">
        <f t="shared" ca="1" si="125"/>
        <v>0</v>
      </c>
      <c r="BI108" s="69">
        <f t="shared" ca="1" si="150"/>
        <v>0</v>
      </c>
      <c r="BJ108" s="69">
        <f t="shared" ca="1" si="150"/>
        <v>0</v>
      </c>
      <c r="BK108" s="69">
        <f t="shared" si="150"/>
        <v>0</v>
      </c>
      <c r="BL108" s="69">
        <f t="shared" ca="1" si="150"/>
        <v>0</v>
      </c>
      <c r="BM108" s="69">
        <f t="shared" ca="1" si="150"/>
        <v>0</v>
      </c>
      <c r="BN108" s="69">
        <f t="shared" ca="1" si="150"/>
        <v>0</v>
      </c>
      <c r="BO108" s="69">
        <f t="shared" si="150"/>
        <v>0</v>
      </c>
      <c r="BP108" s="69">
        <f t="shared" ca="1" si="151"/>
        <v>0</v>
      </c>
      <c r="BQ108" s="69">
        <f t="shared" ca="1" si="152"/>
        <v>0</v>
      </c>
      <c r="BR108" s="69">
        <f t="shared" ca="1" si="153"/>
        <v>0</v>
      </c>
      <c r="BS108" s="69">
        <f ca="1">$AO108*IF(Auswahllisten!$G$150,BS$25+BS$25*BS$13*$AN108,BS$25*(1+BS$13)^$AN108)</f>
        <v>0</v>
      </c>
      <c r="BT108" s="69">
        <f ca="1">$AO108*IF(Auswahllisten!$G$150,BT$25+BT$25*BT$13*$AN108,BT$25*(1+BT$13)^$AN108)</f>
        <v>0</v>
      </c>
      <c r="BU108" s="69">
        <f ca="1">$AO108*IF(Auswahllisten!$G$150,BU$25+BU$25*BU$13*$AN108,BU$25*(1+BU$13)^$AN108)</f>
        <v>0</v>
      </c>
      <c r="BV108" s="69">
        <f ca="1">$AO108*IF(Auswahllisten!$G$150,BV$25+BV$25*BV$13*$AN108,BV$25*(1+BV$13)^$AN108)</f>
        <v>0</v>
      </c>
      <c r="BW108" s="69">
        <f t="shared" ca="1" si="127"/>
        <v>0</v>
      </c>
      <c r="BX108" s="69">
        <f t="shared" ca="1" si="154"/>
        <v>0</v>
      </c>
      <c r="BY108" s="69">
        <f t="shared" ca="1" si="155"/>
        <v>0</v>
      </c>
      <c r="BZ108" s="69">
        <f t="shared" ca="1" si="118"/>
        <v>0</v>
      </c>
    </row>
    <row r="109" spans="1:78">
      <c r="A109" s="304"/>
      <c r="B109" s="131" t="s">
        <v>672</v>
      </c>
      <c r="C109" s="131"/>
      <c r="D109" s="25" t="s">
        <v>175</v>
      </c>
      <c r="E109" s="162" cm="1">
        <f t="array" aca="1" ref="E109" ca="1">INDIRECT("Vergleich!"&amp;$G$2&amp;Z109)</f>
        <v>0</v>
      </c>
      <c r="G109" s="69"/>
      <c r="H109" s="69"/>
      <c r="J109" s="69"/>
      <c r="K109" s="69"/>
      <c r="M109" s="69"/>
      <c r="O109" s="25" t="s">
        <v>175</v>
      </c>
      <c r="P109" s="162" cm="1">
        <f t="array" aca="1" ref="P109" ca="1">INDIRECT("Vergleich!"&amp;$Y$2&amp;Z109)</f>
        <v>0</v>
      </c>
      <c r="R109" s="69"/>
      <c r="S109" s="69"/>
      <c r="U109" s="69"/>
      <c r="V109" s="69"/>
      <c r="X109" s="69"/>
      <c r="Z109" s="1">
        <v>65</v>
      </c>
      <c r="AB109" s="1">
        <v>-2</v>
      </c>
      <c r="AN109" s="1">
        <v>84</v>
      </c>
      <c r="AO109" s="1">
        <f t="shared" si="142"/>
        <v>0</v>
      </c>
      <c r="AP109" s="69">
        <f t="shared" ca="1" si="143"/>
        <v>0</v>
      </c>
      <c r="AQ109" s="69">
        <f t="shared" ca="1" si="143"/>
        <v>0</v>
      </c>
      <c r="AR109" s="69">
        <f t="shared" si="143"/>
        <v>0</v>
      </c>
      <c r="AS109" s="69">
        <f t="shared" ca="1" si="143"/>
        <v>0</v>
      </c>
      <c r="AT109" s="69">
        <f t="shared" ca="1" si="143"/>
        <v>0</v>
      </c>
      <c r="AU109" s="69">
        <f t="shared" ca="1" si="143"/>
        <v>0</v>
      </c>
      <c r="AV109" s="69">
        <f t="shared" si="143"/>
        <v>0</v>
      </c>
      <c r="AW109" s="69">
        <f t="shared" ca="1" si="144"/>
        <v>0</v>
      </c>
      <c r="AX109" s="69">
        <f t="shared" ca="1" si="145"/>
        <v>0</v>
      </c>
      <c r="AY109" s="69">
        <f t="shared" ca="1" si="146"/>
        <v>0</v>
      </c>
      <c r="AZ109" s="69">
        <f ca="1">$AO109*IF(Auswahllisten!$G$150,AZ$25+AZ$25*AZ$13*$AN109,AZ$25*(1+AZ$13)^$AN109)</f>
        <v>0</v>
      </c>
      <c r="BA109" s="69">
        <f ca="1">$AO109*IF(Auswahllisten!$G$150,BA$25+BA$25*BA$13*$AN109,BA$25*(1+BA$13)^$AN109)</f>
        <v>0</v>
      </c>
      <c r="BB109" s="69">
        <f ca="1">$AO109*IF(Auswahllisten!$G$150,BB$25+BB$25*BB$13*$AN109,BB$25*(1+BB$13)^$AN109)</f>
        <v>0</v>
      </c>
      <c r="BC109" s="69">
        <f ca="1">$AO109*IF(Auswahllisten!$G$150,BC$25+BC$25*BC$13*$AN109,BC$25*(1+BC$13)^$AN109)</f>
        <v>0</v>
      </c>
      <c r="BD109" s="69">
        <f t="shared" ca="1" si="147"/>
        <v>0</v>
      </c>
      <c r="BE109" s="69">
        <f t="shared" ca="1" si="148"/>
        <v>0</v>
      </c>
      <c r="BF109" s="69">
        <f t="shared" ca="1" si="149"/>
        <v>0</v>
      </c>
      <c r="BG109" s="69">
        <f t="shared" ca="1" si="125"/>
        <v>0</v>
      </c>
      <c r="BI109" s="69">
        <f t="shared" ca="1" si="150"/>
        <v>0</v>
      </c>
      <c r="BJ109" s="69">
        <f t="shared" ca="1" si="150"/>
        <v>0</v>
      </c>
      <c r="BK109" s="69">
        <f t="shared" si="150"/>
        <v>0</v>
      </c>
      <c r="BL109" s="69">
        <f t="shared" ca="1" si="150"/>
        <v>0</v>
      </c>
      <c r="BM109" s="69">
        <f t="shared" ca="1" si="150"/>
        <v>0</v>
      </c>
      <c r="BN109" s="69">
        <f t="shared" ca="1" si="150"/>
        <v>0</v>
      </c>
      <c r="BO109" s="69">
        <f t="shared" si="150"/>
        <v>0</v>
      </c>
      <c r="BP109" s="69">
        <f t="shared" ca="1" si="151"/>
        <v>0</v>
      </c>
      <c r="BQ109" s="69">
        <f t="shared" ca="1" si="152"/>
        <v>0</v>
      </c>
      <c r="BR109" s="69">
        <f t="shared" ca="1" si="153"/>
        <v>0</v>
      </c>
      <c r="BS109" s="69">
        <f ca="1">$AO109*IF(Auswahllisten!$G$150,BS$25+BS$25*BS$13*$AN109,BS$25*(1+BS$13)^$AN109)</f>
        <v>0</v>
      </c>
      <c r="BT109" s="69">
        <f ca="1">$AO109*IF(Auswahllisten!$G$150,BT$25+BT$25*BT$13*$AN109,BT$25*(1+BT$13)^$AN109)</f>
        <v>0</v>
      </c>
      <c r="BU109" s="69">
        <f ca="1">$AO109*IF(Auswahllisten!$G$150,BU$25+BU$25*BU$13*$AN109,BU$25*(1+BU$13)^$AN109)</f>
        <v>0</v>
      </c>
      <c r="BV109" s="69">
        <f ca="1">$AO109*IF(Auswahllisten!$G$150,BV$25+BV$25*BV$13*$AN109,BV$25*(1+BV$13)^$AN109)</f>
        <v>0</v>
      </c>
      <c r="BW109" s="69">
        <f t="shared" ca="1" si="127"/>
        <v>0</v>
      </c>
      <c r="BX109" s="69">
        <f t="shared" ca="1" si="154"/>
        <v>0</v>
      </c>
      <c r="BY109" s="69">
        <f t="shared" ca="1" si="155"/>
        <v>0</v>
      </c>
      <c r="BZ109" s="69">
        <f t="shared" ca="1" si="118"/>
        <v>0</v>
      </c>
    </row>
    <row r="110" spans="1:78">
      <c r="D110" s="69"/>
      <c r="M110" s="69"/>
      <c r="AB110" s="1">
        <v>-2</v>
      </c>
      <c r="AN110" s="1">
        <v>85</v>
      </c>
      <c r="AO110" s="1">
        <f t="shared" si="142"/>
        <v>0</v>
      </c>
      <c r="AP110" s="69">
        <f t="shared" ca="1" si="143"/>
        <v>0</v>
      </c>
      <c r="AQ110" s="69">
        <f t="shared" ca="1" si="143"/>
        <v>0</v>
      </c>
      <c r="AR110" s="69">
        <f t="shared" si="143"/>
        <v>0</v>
      </c>
      <c r="AS110" s="69">
        <f t="shared" ca="1" si="143"/>
        <v>0</v>
      </c>
      <c r="AT110" s="69">
        <f t="shared" ca="1" si="143"/>
        <v>0</v>
      </c>
      <c r="AU110" s="69">
        <f t="shared" ca="1" si="143"/>
        <v>0</v>
      </c>
      <c r="AV110" s="69">
        <f t="shared" si="143"/>
        <v>0</v>
      </c>
      <c r="AW110" s="69">
        <f t="shared" ca="1" si="144"/>
        <v>0</v>
      </c>
      <c r="AX110" s="69">
        <f t="shared" ca="1" si="145"/>
        <v>0</v>
      </c>
      <c r="AY110" s="69">
        <f t="shared" ca="1" si="146"/>
        <v>0</v>
      </c>
      <c r="AZ110" s="69">
        <f ca="1">$AO110*IF(Auswahllisten!$G$150,AZ$25+AZ$25*AZ$13*$AN110,AZ$25*(1+AZ$13)^$AN110)</f>
        <v>0</v>
      </c>
      <c r="BA110" s="69">
        <f ca="1">$AO110*IF(Auswahllisten!$G$150,BA$25+BA$25*BA$13*$AN110,BA$25*(1+BA$13)^$AN110)</f>
        <v>0</v>
      </c>
      <c r="BB110" s="69">
        <f ca="1">$AO110*IF(Auswahllisten!$G$150,BB$25+BB$25*BB$13*$AN110,BB$25*(1+BB$13)^$AN110)</f>
        <v>0</v>
      </c>
      <c r="BC110" s="69">
        <f ca="1">$AO110*IF(Auswahllisten!$G$150,BC$25+BC$25*BC$13*$AN110,BC$25*(1+BC$13)^$AN110)</f>
        <v>0</v>
      </c>
      <c r="BD110" s="69">
        <f t="shared" ca="1" si="147"/>
        <v>0</v>
      </c>
      <c r="BE110" s="69">
        <f t="shared" ca="1" si="148"/>
        <v>0</v>
      </c>
      <c r="BF110" s="69">
        <f t="shared" ca="1" si="149"/>
        <v>0</v>
      </c>
      <c r="BG110" s="69">
        <f t="shared" ca="1" si="125"/>
        <v>0</v>
      </c>
      <c r="BI110" s="69">
        <f t="shared" ca="1" si="150"/>
        <v>0</v>
      </c>
      <c r="BJ110" s="69">
        <f t="shared" ca="1" si="150"/>
        <v>0</v>
      </c>
      <c r="BK110" s="69">
        <f t="shared" si="150"/>
        <v>0</v>
      </c>
      <c r="BL110" s="69">
        <f t="shared" ca="1" si="150"/>
        <v>0</v>
      </c>
      <c r="BM110" s="69">
        <f t="shared" ca="1" si="150"/>
        <v>0</v>
      </c>
      <c r="BN110" s="69">
        <f t="shared" ca="1" si="150"/>
        <v>0</v>
      </c>
      <c r="BO110" s="69">
        <f t="shared" si="150"/>
        <v>0</v>
      </c>
      <c r="BP110" s="69">
        <f t="shared" ca="1" si="151"/>
        <v>0</v>
      </c>
      <c r="BQ110" s="69">
        <f t="shared" ca="1" si="152"/>
        <v>0</v>
      </c>
      <c r="BR110" s="69">
        <f t="shared" ca="1" si="153"/>
        <v>0</v>
      </c>
      <c r="BS110" s="69">
        <f ca="1">$AO110*IF(Auswahllisten!$G$150,BS$25+BS$25*BS$13*$AN110,BS$25*(1+BS$13)^$AN110)</f>
        <v>0</v>
      </c>
      <c r="BT110" s="69">
        <f ca="1">$AO110*IF(Auswahllisten!$G$150,BT$25+BT$25*BT$13*$AN110,BT$25*(1+BT$13)^$AN110)</f>
        <v>0</v>
      </c>
      <c r="BU110" s="69">
        <f ca="1">$AO110*IF(Auswahllisten!$G$150,BU$25+BU$25*BU$13*$AN110,BU$25*(1+BU$13)^$AN110)</f>
        <v>0</v>
      </c>
      <c r="BV110" s="69">
        <f ca="1">$AO110*IF(Auswahllisten!$G$150,BV$25+BV$25*BV$13*$AN110,BV$25*(1+BV$13)^$AN110)</f>
        <v>0</v>
      </c>
      <c r="BW110" s="69">
        <f t="shared" ca="1" si="127"/>
        <v>0</v>
      </c>
      <c r="BX110" s="69">
        <f t="shared" ca="1" si="154"/>
        <v>0</v>
      </c>
      <c r="BY110" s="69">
        <f t="shared" ca="1" si="155"/>
        <v>0</v>
      </c>
      <c r="BZ110" s="69">
        <f t="shared" ca="1" si="118"/>
        <v>0</v>
      </c>
    </row>
    <row r="111" spans="1:78">
      <c r="A111" s="125"/>
      <c r="B111" s="125" t="s">
        <v>1004</v>
      </c>
      <c r="C111" s="64"/>
      <c r="D111" s="393"/>
      <c r="E111" s="394"/>
      <c r="F111" s="394"/>
      <c r="G111" s="394"/>
      <c r="H111" s="394"/>
      <c r="I111" s="394"/>
      <c r="J111" s="394"/>
      <c r="K111" s="394"/>
      <c r="L111" s="394"/>
      <c r="M111" s="393"/>
      <c r="AB111" s="1">
        <v>-2</v>
      </c>
      <c r="AN111" s="1">
        <v>86</v>
      </c>
      <c r="AO111" s="1">
        <f t="shared" si="142"/>
        <v>0</v>
      </c>
      <c r="AP111" s="69">
        <f t="shared" ca="1" si="143"/>
        <v>0</v>
      </c>
      <c r="AQ111" s="69">
        <f t="shared" ca="1" si="143"/>
        <v>0</v>
      </c>
      <c r="AR111" s="69">
        <f t="shared" si="143"/>
        <v>0</v>
      </c>
      <c r="AS111" s="69">
        <f t="shared" ca="1" si="143"/>
        <v>0</v>
      </c>
      <c r="AT111" s="69">
        <f t="shared" ca="1" si="143"/>
        <v>0</v>
      </c>
      <c r="AU111" s="69">
        <f t="shared" ca="1" si="143"/>
        <v>0</v>
      </c>
      <c r="AV111" s="69">
        <f t="shared" si="143"/>
        <v>0</v>
      </c>
      <c r="AW111" s="69">
        <f t="shared" ca="1" si="144"/>
        <v>0</v>
      </c>
      <c r="AX111" s="69">
        <f t="shared" ca="1" si="145"/>
        <v>0</v>
      </c>
      <c r="AY111" s="69">
        <f t="shared" ca="1" si="146"/>
        <v>0</v>
      </c>
      <c r="AZ111" s="69">
        <f ca="1">$AO111*IF(Auswahllisten!$G$150,AZ$25+AZ$25*AZ$13*$AN111,AZ$25*(1+AZ$13)^$AN111)</f>
        <v>0</v>
      </c>
      <c r="BA111" s="69">
        <f ca="1">$AO111*IF(Auswahllisten!$G$150,BA$25+BA$25*BA$13*$AN111,BA$25*(1+BA$13)^$AN111)</f>
        <v>0</v>
      </c>
      <c r="BB111" s="69">
        <f ca="1">$AO111*IF(Auswahllisten!$G$150,BB$25+BB$25*BB$13*$AN111,BB$25*(1+BB$13)^$AN111)</f>
        <v>0</v>
      </c>
      <c r="BC111" s="69">
        <f ca="1">$AO111*IF(Auswahllisten!$G$150,BC$25+BC$25*BC$13*$AN111,BC$25*(1+BC$13)^$AN111)</f>
        <v>0</v>
      </c>
      <c r="BD111" s="69">
        <f t="shared" ca="1" si="147"/>
        <v>0</v>
      </c>
      <c r="BE111" s="69">
        <f t="shared" ca="1" si="148"/>
        <v>0</v>
      </c>
      <c r="BF111" s="69">
        <f t="shared" ca="1" si="149"/>
        <v>0</v>
      </c>
      <c r="BG111" s="69">
        <f t="shared" ca="1" si="125"/>
        <v>0</v>
      </c>
      <c r="BI111" s="69">
        <f t="shared" ca="1" si="150"/>
        <v>0</v>
      </c>
      <c r="BJ111" s="69">
        <f t="shared" ca="1" si="150"/>
        <v>0</v>
      </c>
      <c r="BK111" s="69">
        <f t="shared" si="150"/>
        <v>0</v>
      </c>
      <c r="BL111" s="69">
        <f t="shared" ca="1" si="150"/>
        <v>0</v>
      </c>
      <c r="BM111" s="69">
        <f t="shared" ca="1" si="150"/>
        <v>0</v>
      </c>
      <c r="BN111" s="69">
        <f t="shared" ca="1" si="150"/>
        <v>0</v>
      </c>
      <c r="BO111" s="69">
        <f t="shared" si="150"/>
        <v>0</v>
      </c>
      <c r="BP111" s="69">
        <f t="shared" ca="1" si="151"/>
        <v>0</v>
      </c>
      <c r="BQ111" s="69">
        <f t="shared" ca="1" si="152"/>
        <v>0</v>
      </c>
      <c r="BR111" s="69">
        <f t="shared" ca="1" si="153"/>
        <v>0</v>
      </c>
      <c r="BS111" s="69">
        <f ca="1">$AO111*IF(Auswahllisten!$G$150,BS$25+BS$25*BS$13*$AN111,BS$25*(1+BS$13)^$AN111)</f>
        <v>0</v>
      </c>
      <c r="BT111" s="69">
        <f ca="1">$AO111*IF(Auswahllisten!$G$150,BT$25+BT$25*BT$13*$AN111,BT$25*(1+BT$13)^$AN111)</f>
        <v>0</v>
      </c>
      <c r="BU111" s="69">
        <f ca="1">$AO111*IF(Auswahllisten!$G$150,BU$25+BU$25*BU$13*$AN111,BU$25*(1+BU$13)^$AN111)</f>
        <v>0</v>
      </c>
      <c r="BV111" s="69">
        <f ca="1">$AO111*IF(Auswahllisten!$G$150,BV$25+BV$25*BV$13*$AN111,BV$25*(1+BV$13)^$AN111)</f>
        <v>0</v>
      </c>
      <c r="BW111" s="69">
        <f t="shared" ca="1" si="127"/>
        <v>0</v>
      </c>
      <c r="BX111" s="69">
        <f t="shared" ca="1" si="154"/>
        <v>0</v>
      </c>
      <c r="BY111" s="69">
        <f t="shared" ca="1" si="155"/>
        <v>0</v>
      </c>
      <c r="BZ111" s="69">
        <f t="shared" ca="1" si="118"/>
        <v>0</v>
      </c>
    </row>
    <row r="112" spans="1:78">
      <c r="A112" s="304" t="s">
        <v>1248</v>
      </c>
      <c r="B112" s="131" t="s">
        <v>1249</v>
      </c>
      <c r="C112" s="131" t="s">
        <v>942</v>
      </c>
      <c r="D112" s="162" t="str" cm="1">
        <f t="array" aca="1" ref="D112" ca="1">INDIRECT("Vergleich!"&amp;$G$2&amp;Z112)</f>
        <v>mittel</v>
      </c>
      <c r="E112" s="162" cm="1">
        <f t="array" aca="1" ref="E112" ca="1">INDIRECT("Investition_gewählt!"&amp;$I$5&amp;AA112)</f>
        <v>1050</v>
      </c>
      <c r="F112" s="25" cm="1">
        <f t="array" aca="1" ref="F112" ca="1">IF($C$5=0,0,INDEX(Faktoren!E95:GQ95,1,VLOOKUP($F$5,$L$2:$O$14,4,FALSE)+$C$9*5+VLOOKUP(D112,Auswahllisten!$E$25:$F$29,2,FALSE)))</f>
        <v>0</v>
      </c>
      <c r="G112" s="25">
        <f ca="1">E112*F112</f>
        <v>0</v>
      </c>
      <c r="H112" s="25" cm="1">
        <f t="array" aca="1" ref="H112" ca="1">INDIRECT("Investition_gewählt!"&amp;$I$6&amp;AA112)</f>
        <v>1050</v>
      </c>
      <c r="I112" s="25" cm="1">
        <f t="array" aca="1" ref="I112" ca="1">IF($C$5=0,0,INDEX(Faktoren!E95:GQ95,1,VLOOKUP($F$6,$L$2:$O$14,4,FALSE)+$C$9*5+VLOOKUP(D112,Auswahllisten!$E$25:$F$29,2,FALSE)))</f>
        <v>0</v>
      </c>
      <c r="J112" s="25">
        <f ca="1">H112*I112</f>
        <v>0</v>
      </c>
      <c r="K112" s="25">
        <f t="shared" ref="K112:K113" ca="1" si="159">IF($C$5=0,0,G112+(J112-G112)*($C$6-$F$5)/($F$6-$F$5))</f>
        <v>0</v>
      </c>
      <c r="L112" s="25">
        <v>1</v>
      </c>
      <c r="M112" s="162">
        <f ca="1">IFERROR(ROUND(K112*L112,AB112),0)</f>
        <v>0</v>
      </c>
      <c r="Z112" s="1">
        <v>71</v>
      </c>
      <c r="AA112" s="1">
        <v>95</v>
      </c>
      <c r="AB112" s="1">
        <v>-2</v>
      </c>
      <c r="AN112" s="1">
        <v>87</v>
      </c>
      <c r="AO112" s="1">
        <f t="shared" si="142"/>
        <v>0</v>
      </c>
      <c r="AP112" s="69">
        <f t="shared" ca="1" si="143"/>
        <v>0</v>
      </c>
      <c r="AQ112" s="69">
        <f t="shared" ca="1" si="143"/>
        <v>0</v>
      </c>
      <c r="AR112" s="69">
        <f t="shared" si="143"/>
        <v>0</v>
      </c>
      <c r="AS112" s="69">
        <f t="shared" ca="1" si="143"/>
        <v>0</v>
      </c>
      <c r="AT112" s="69">
        <f t="shared" ca="1" si="143"/>
        <v>0</v>
      </c>
      <c r="AU112" s="69">
        <f t="shared" ca="1" si="143"/>
        <v>0</v>
      </c>
      <c r="AV112" s="69">
        <f t="shared" si="143"/>
        <v>0</v>
      </c>
      <c r="AW112" s="69">
        <f t="shared" ca="1" si="144"/>
        <v>0</v>
      </c>
      <c r="AX112" s="69">
        <f t="shared" ca="1" si="145"/>
        <v>0</v>
      </c>
      <c r="AY112" s="69">
        <f t="shared" ca="1" si="146"/>
        <v>0</v>
      </c>
      <c r="AZ112" s="69">
        <f ca="1">$AO112*IF(Auswahllisten!$G$150,AZ$25+AZ$25*AZ$13*$AN112,AZ$25*(1+AZ$13)^$AN112)</f>
        <v>0</v>
      </c>
      <c r="BA112" s="69">
        <f ca="1">$AO112*IF(Auswahllisten!$G$150,BA$25+BA$25*BA$13*$AN112,BA$25*(1+BA$13)^$AN112)</f>
        <v>0</v>
      </c>
      <c r="BB112" s="69">
        <f ca="1">$AO112*IF(Auswahllisten!$G$150,BB$25+BB$25*BB$13*$AN112,BB$25*(1+BB$13)^$AN112)</f>
        <v>0</v>
      </c>
      <c r="BC112" s="69">
        <f ca="1">$AO112*IF(Auswahllisten!$G$150,BC$25+BC$25*BC$13*$AN112,BC$25*(1+BC$13)^$AN112)</f>
        <v>0</v>
      </c>
      <c r="BD112" s="69">
        <f t="shared" ca="1" si="147"/>
        <v>0</v>
      </c>
      <c r="BE112" s="69">
        <f t="shared" ca="1" si="148"/>
        <v>0</v>
      </c>
      <c r="BF112" s="69">
        <f t="shared" ca="1" si="149"/>
        <v>0</v>
      </c>
      <c r="BG112" s="69">
        <f t="shared" ca="1" si="125"/>
        <v>0</v>
      </c>
      <c r="BI112" s="69">
        <f t="shared" ca="1" si="150"/>
        <v>0</v>
      </c>
      <c r="BJ112" s="69">
        <f t="shared" ca="1" si="150"/>
        <v>0</v>
      </c>
      <c r="BK112" s="69">
        <f t="shared" si="150"/>
        <v>0</v>
      </c>
      <c r="BL112" s="69">
        <f t="shared" ca="1" si="150"/>
        <v>0</v>
      </c>
      <c r="BM112" s="69">
        <f t="shared" ca="1" si="150"/>
        <v>0</v>
      </c>
      <c r="BN112" s="69">
        <f t="shared" ca="1" si="150"/>
        <v>0</v>
      </c>
      <c r="BO112" s="69">
        <f t="shared" si="150"/>
        <v>0</v>
      </c>
      <c r="BP112" s="69">
        <f t="shared" ca="1" si="151"/>
        <v>0</v>
      </c>
      <c r="BQ112" s="69">
        <f t="shared" ca="1" si="152"/>
        <v>0</v>
      </c>
      <c r="BR112" s="69">
        <f t="shared" ca="1" si="153"/>
        <v>0</v>
      </c>
      <c r="BS112" s="69">
        <f ca="1">$AO112*IF(Auswahllisten!$G$150,BS$25+BS$25*BS$13*$AN112,BS$25*(1+BS$13)^$AN112)</f>
        <v>0</v>
      </c>
      <c r="BT112" s="69">
        <f ca="1">$AO112*IF(Auswahllisten!$G$150,BT$25+BT$25*BT$13*$AN112,BT$25*(1+BT$13)^$AN112)</f>
        <v>0</v>
      </c>
      <c r="BU112" s="69">
        <f ca="1">$AO112*IF(Auswahllisten!$G$150,BU$25+BU$25*BU$13*$AN112,BU$25*(1+BU$13)^$AN112)</f>
        <v>0</v>
      </c>
      <c r="BV112" s="69">
        <f ca="1">$AO112*IF(Auswahllisten!$G$150,BV$25+BV$25*BV$13*$AN112,BV$25*(1+BV$13)^$AN112)</f>
        <v>0</v>
      </c>
      <c r="BW112" s="69">
        <f t="shared" ca="1" si="127"/>
        <v>0</v>
      </c>
      <c r="BX112" s="69">
        <f t="shared" ca="1" si="154"/>
        <v>0</v>
      </c>
      <c r="BY112" s="69">
        <f t="shared" ca="1" si="155"/>
        <v>0</v>
      </c>
      <c r="BZ112" s="69">
        <f t="shared" ca="1" si="118"/>
        <v>0</v>
      </c>
    </row>
    <row r="113" spans="1:78">
      <c r="A113" s="82" t="s">
        <v>1248</v>
      </c>
      <c r="B113" s="64" t="s">
        <v>1249</v>
      </c>
      <c r="C113" s="134" t="s">
        <v>943</v>
      </c>
      <c r="D113" s="163" t="str" cm="1">
        <f t="array" aca="1" ref="D113" ca="1">INDIRECT("Vergleich!"&amp;$G$2&amp;Z113)</f>
        <v>mittel</v>
      </c>
      <c r="E113" s="163" cm="1">
        <f t="array" aca="1" ref="E113" ca="1">INDIRECT("Investition_gewählt!"&amp;$I$5&amp;AA113)</f>
        <v>1400</v>
      </c>
      <c r="F113" s="61" cm="1">
        <f t="array" aca="1" ref="F113" ca="1">IF($C$5=0,0,INDEX(Faktoren!E96:GQ96,1,VLOOKUP($F$5,$L$2:$O$14,4,FALSE)+$C$9*5+VLOOKUP(D113,Auswahllisten!$E$25:$F$29,2,FALSE)))</f>
        <v>0</v>
      </c>
      <c r="G113" s="61">
        <f ca="1">E113*F113</f>
        <v>0</v>
      </c>
      <c r="H113" s="60" cm="1">
        <f t="array" aca="1" ref="H113" ca="1">INDIRECT("Investition_gewählt!"&amp;$I$6&amp;AA113)</f>
        <v>1400</v>
      </c>
      <c r="I113" s="61" cm="1">
        <f t="array" aca="1" ref="I113" ca="1">IF($C$5=0,0,INDEX(Faktoren!E96:GQ96,1,VLOOKUP($F$6,$L$2:$O$14,4,FALSE)+$C$9*5+VLOOKUP(D113,Auswahllisten!$E$25:$F$29,2,FALSE)))</f>
        <v>0</v>
      </c>
      <c r="J113" s="61">
        <f ca="1">H113*I113</f>
        <v>0</v>
      </c>
      <c r="K113" s="93">
        <f t="shared" ca="1" si="159"/>
        <v>0</v>
      </c>
      <c r="L113" s="93">
        <f ca="1">($C$5=1)+(C5=3)+(C5=4)</f>
        <v>0</v>
      </c>
      <c r="M113" s="163">
        <f t="shared" ref="M113" ca="1" si="160">IFERROR(ROUND(K113*L113,AB113),0)</f>
        <v>0</v>
      </c>
      <c r="Z113" s="1">
        <v>72</v>
      </c>
      <c r="AA113" s="1">
        <v>96</v>
      </c>
      <c r="AB113" s="1">
        <v>-2</v>
      </c>
      <c r="AN113" s="1">
        <v>88</v>
      </c>
      <c r="AO113" s="1">
        <f t="shared" si="142"/>
        <v>0</v>
      </c>
      <c r="AP113" s="69">
        <f t="shared" ca="1" si="143"/>
        <v>0</v>
      </c>
      <c r="AQ113" s="69">
        <f t="shared" ca="1" si="143"/>
        <v>0</v>
      </c>
      <c r="AR113" s="69">
        <f t="shared" si="143"/>
        <v>0</v>
      </c>
      <c r="AS113" s="69">
        <f t="shared" ca="1" si="143"/>
        <v>0</v>
      </c>
      <c r="AT113" s="69">
        <f t="shared" ca="1" si="143"/>
        <v>0</v>
      </c>
      <c r="AU113" s="69">
        <f t="shared" ca="1" si="143"/>
        <v>0</v>
      </c>
      <c r="AV113" s="69">
        <f t="shared" si="143"/>
        <v>0</v>
      </c>
      <c r="AW113" s="69">
        <f t="shared" ca="1" si="144"/>
        <v>0</v>
      </c>
      <c r="AX113" s="69">
        <f t="shared" ca="1" si="145"/>
        <v>0</v>
      </c>
      <c r="AY113" s="69">
        <f t="shared" ca="1" si="146"/>
        <v>0</v>
      </c>
      <c r="AZ113" s="69">
        <f ca="1">$AO113*IF(Auswahllisten!$G$150,AZ$25+AZ$25*AZ$13*$AN113,AZ$25*(1+AZ$13)^$AN113)</f>
        <v>0</v>
      </c>
      <c r="BA113" s="69">
        <f ca="1">$AO113*IF(Auswahllisten!$G$150,BA$25+BA$25*BA$13*$AN113,BA$25*(1+BA$13)^$AN113)</f>
        <v>0</v>
      </c>
      <c r="BB113" s="69">
        <f ca="1">$AO113*IF(Auswahllisten!$G$150,BB$25+BB$25*BB$13*$AN113,BB$25*(1+BB$13)^$AN113)</f>
        <v>0</v>
      </c>
      <c r="BC113" s="69">
        <f ca="1">$AO113*IF(Auswahllisten!$G$150,BC$25+BC$25*BC$13*$AN113,BC$25*(1+BC$13)^$AN113)</f>
        <v>0</v>
      </c>
      <c r="BD113" s="69">
        <f t="shared" ca="1" si="147"/>
        <v>0</v>
      </c>
      <c r="BE113" s="69">
        <f t="shared" ca="1" si="148"/>
        <v>0</v>
      </c>
      <c r="BF113" s="69">
        <f t="shared" ca="1" si="149"/>
        <v>0</v>
      </c>
      <c r="BG113" s="69">
        <f t="shared" ca="1" si="125"/>
        <v>0</v>
      </c>
      <c r="BI113" s="69">
        <f t="shared" ca="1" si="150"/>
        <v>0</v>
      </c>
      <c r="BJ113" s="69">
        <f t="shared" ca="1" si="150"/>
        <v>0</v>
      </c>
      <c r="BK113" s="69">
        <f t="shared" si="150"/>
        <v>0</v>
      </c>
      <c r="BL113" s="69">
        <f t="shared" ca="1" si="150"/>
        <v>0</v>
      </c>
      <c r="BM113" s="69">
        <f t="shared" ca="1" si="150"/>
        <v>0</v>
      </c>
      <c r="BN113" s="69">
        <f t="shared" ca="1" si="150"/>
        <v>0</v>
      </c>
      <c r="BO113" s="69">
        <f t="shared" si="150"/>
        <v>0</v>
      </c>
      <c r="BP113" s="69">
        <f t="shared" ca="1" si="151"/>
        <v>0</v>
      </c>
      <c r="BQ113" s="69">
        <f t="shared" ca="1" si="152"/>
        <v>0</v>
      </c>
      <c r="BR113" s="69">
        <f t="shared" ca="1" si="153"/>
        <v>0</v>
      </c>
      <c r="BS113" s="69">
        <f ca="1">$AO113*IF(Auswahllisten!$G$150,BS$25+BS$25*BS$13*$AN113,BS$25*(1+BS$13)^$AN113)</f>
        <v>0</v>
      </c>
      <c r="BT113" s="69">
        <f ca="1">$AO113*IF(Auswahllisten!$G$150,BT$25+BT$25*BT$13*$AN113,BT$25*(1+BT$13)^$AN113)</f>
        <v>0</v>
      </c>
      <c r="BU113" s="69">
        <f ca="1">$AO113*IF(Auswahllisten!$G$150,BU$25+BU$25*BU$13*$AN113,BU$25*(1+BU$13)^$AN113)</f>
        <v>0</v>
      </c>
      <c r="BV113" s="69">
        <f ca="1">$AO113*IF(Auswahllisten!$G$150,BV$25+BV$25*BV$13*$AN113,BV$25*(1+BV$13)^$AN113)</f>
        <v>0</v>
      </c>
      <c r="BW113" s="69">
        <f t="shared" ca="1" si="127"/>
        <v>0</v>
      </c>
      <c r="BX113" s="69">
        <f t="shared" ca="1" si="154"/>
        <v>0</v>
      </c>
      <c r="BY113" s="69">
        <f t="shared" ca="1" si="155"/>
        <v>0</v>
      </c>
      <c r="BZ113" s="69">
        <f t="shared" ca="1" si="118"/>
        <v>0</v>
      </c>
    </row>
    <row r="114" spans="1:78">
      <c r="A114" s="125"/>
      <c r="B114" s="64"/>
      <c r="C114" s="64"/>
      <c r="D114" s="69"/>
      <c r="M114" s="69"/>
      <c r="AA114" s="1">
        <v>97</v>
      </c>
      <c r="AB114" s="1">
        <v>-2</v>
      </c>
      <c r="AN114" s="1">
        <v>89</v>
      </c>
      <c r="AO114" s="1">
        <f t="shared" si="142"/>
        <v>0</v>
      </c>
      <c r="AP114" s="69">
        <f t="shared" ref="AP114:AV125" ca="1" si="161">IFERROR($AO114*IF(MOD($AN114,AP$20)=0,AP$25,0)*(1+$AS$10)^$AN114*IF($AS$3=$AN114,0,1),0)</f>
        <v>0</v>
      </c>
      <c r="AQ114" s="69">
        <f t="shared" ca="1" si="161"/>
        <v>0</v>
      </c>
      <c r="AR114" s="69">
        <f t="shared" si="161"/>
        <v>0</v>
      </c>
      <c r="AS114" s="69">
        <f t="shared" ca="1" si="161"/>
        <v>0</v>
      </c>
      <c r="AT114" s="69">
        <f t="shared" ca="1" si="161"/>
        <v>0</v>
      </c>
      <c r="AU114" s="69">
        <f t="shared" ca="1" si="161"/>
        <v>0</v>
      </c>
      <c r="AV114" s="69">
        <f t="shared" si="161"/>
        <v>0</v>
      </c>
      <c r="AW114" s="69">
        <f t="shared" ca="1" si="144"/>
        <v>0</v>
      </c>
      <c r="AX114" s="69">
        <f t="shared" ca="1" si="145"/>
        <v>0</v>
      </c>
      <c r="AY114" s="69">
        <f t="shared" ca="1" si="146"/>
        <v>0</v>
      </c>
      <c r="AZ114" s="69">
        <f ca="1">$AO114*IF(Auswahllisten!$G$150,AZ$25+AZ$25*AZ$13*$AN114,AZ$25*(1+AZ$13)^$AN114)</f>
        <v>0</v>
      </c>
      <c r="BA114" s="69">
        <f ca="1">$AO114*IF(Auswahllisten!$G$150,BA$25+BA$25*BA$13*$AN114,BA$25*(1+BA$13)^$AN114)</f>
        <v>0</v>
      </c>
      <c r="BB114" s="69">
        <f ca="1">$AO114*IF(Auswahllisten!$G$150,BB$25+BB$25*BB$13*$AN114,BB$25*(1+BB$13)^$AN114)</f>
        <v>0</v>
      </c>
      <c r="BC114" s="69">
        <f ca="1">$AO114*IF(Auswahllisten!$G$150,BC$25+BC$25*BC$13*$AN114,BC$25*(1+BC$13)^$AN114)</f>
        <v>0</v>
      </c>
      <c r="BD114" s="69">
        <f t="shared" ca="1" si="147"/>
        <v>0</v>
      </c>
      <c r="BE114" s="69">
        <f t="shared" ca="1" si="148"/>
        <v>0</v>
      </c>
      <c r="BF114" s="69">
        <f t="shared" ca="1" si="149"/>
        <v>0</v>
      </c>
      <c r="BG114" s="69">
        <f t="shared" ca="1" si="125"/>
        <v>0</v>
      </c>
      <c r="BI114" s="69">
        <f t="shared" ca="1" si="150"/>
        <v>0</v>
      </c>
      <c r="BJ114" s="69">
        <f t="shared" ca="1" si="150"/>
        <v>0</v>
      </c>
      <c r="BK114" s="69">
        <f t="shared" si="150"/>
        <v>0</v>
      </c>
      <c r="BL114" s="69">
        <f t="shared" ca="1" si="150"/>
        <v>0</v>
      </c>
      <c r="BM114" s="69">
        <f t="shared" ca="1" si="150"/>
        <v>0</v>
      </c>
      <c r="BN114" s="69">
        <f t="shared" ca="1" si="150"/>
        <v>0</v>
      </c>
      <c r="BO114" s="69">
        <f t="shared" si="150"/>
        <v>0</v>
      </c>
      <c r="BP114" s="69">
        <f t="shared" ca="1" si="151"/>
        <v>0</v>
      </c>
      <c r="BQ114" s="69">
        <f t="shared" ca="1" si="152"/>
        <v>0</v>
      </c>
      <c r="BR114" s="69">
        <f t="shared" ca="1" si="153"/>
        <v>0</v>
      </c>
      <c r="BS114" s="69">
        <f ca="1">$AO114*IF(Auswahllisten!$G$150,BS$25+BS$25*BS$13*$AN114,BS$25*(1+BS$13)^$AN114)</f>
        <v>0</v>
      </c>
      <c r="BT114" s="69">
        <f ca="1">$AO114*IF(Auswahllisten!$G$150,BT$25+BT$25*BT$13*$AN114,BT$25*(1+BT$13)^$AN114)</f>
        <v>0</v>
      </c>
      <c r="BU114" s="69">
        <f ca="1">$AO114*IF(Auswahllisten!$G$150,BU$25+BU$25*BU$13*$AN114,BU$25*(1+BU$13)^$AN114)</f>
        <v>0</v>
      </c>
      <c r="BV114" s="69">
        <f ca="1">$AO114*IF(Auswahllisten!$G$150,BV$25+BV$25*BV$13*$AN114,BV$25*(1+BV$13)^$AN114)</f>
        <v>0</v>
      </c>
      <c r="BW114" s="69">
        <f t="shared" ca="1" si="127"/>
        <v>0</v>
      </c>
      <c r="BX114" s="69">
        <f t="shared" ca="1" si="154"/>
        <v>0</v>
      </c>
      <c r="BY114" s="69">
        <f t="shared" ca="1" si="155"/>
        <v>0</v>
      </c>
      <c r="BZ114" s="69">
        <f t="shared" ca="1" si="118"/>
        <v>0</v>
      </c>
    </row>
    <row r="115" spans="1:78">
      <c r="A115" s="125"/>
      <c r="B115" s="125" t="s">
        <v>1009</v>
      </c>
      <c r="C115" s="64"/>
      <c r="D115" s="69"/>
      <c r="M115" s="69"/>
      <c r="AA115" s="1">
        <v>98</v>
      </c>
      <c r="AB115" s="1">
        <v>-2</v>
      </c>
      <c r="AN115" s="1">
        <v>90</v>
      </c>
      <c r="AO115" s="1">
        <f t="shared" si="142"/>
        <v>0</v>
      </c>
      <c r="AP115" s="69">
        <f t="shared" ca="1" si="161"/>
        <v>0</v>
      </c>
      <c r="AQ115" s="69">
        <f t="shared" ca="1" si="161"/>
        <v>0</v>
      </c>
      <c r="AR115" s="69">
        <f t="shared" si="161"/>
        <v>0</v>
      </c>
      <c r="AS115" s="69">
        <f t="shared" ca="1" si="161"/>
        <v>0</v>
      </c>
      <c r="AT115" s="69">
        <f t="shared" ca="1" si="161"/>
        <v>0</v>
      </c>
      <c r="AU115" s="69">
        <f t="shared" ca="1" si="161"/>
        <v>0</v>
      </c>
      <c r="AV115" s="69">
        <f t="shared" si="161"/>
        <v>0</v>
      </c>
      <c r="AW115" s="69">
        <f t="shared" ca="1" si="144"/>
        <v>0</v>
      </c>
      <c r="AX115" s="69">
        <f t="shared" ca="1" si="145"/>
        <v>0</v>
      </c>
      <c r="AY115" s="69">
        <f t="shared" ca="1" si="146"/>
        <v>0</v>
      </c>
      <c r="AZ115" s="69">
        <f ca="1">$AO115*IF(Auswahllisten!$G$150,AZ$25+AZ$25*AZ$13*$AN115,AZ$25*(1+AZ$13)^$AN115)</f>
        <v>0</v>
      </c>
      <c r="BA115" s="69">
        <f ca="1">$AO115*IF(Auswahllisten!$G$150,BA$25+BA$25*BA$13*$AN115,BA$25*(1+BA$13)^$AN115)</f>
        <v>0</v>
      </c>
      <c r="BB115" s="69">
        <f ca="1">$AO115*IF(Auswahllisten!$G$150,BB$25+BB$25*BB$13*$AN115,BB$25*(1+BB$13)^$AN115)</f>
        <v>0</v>
      </c>
      <c r="BC115" s="69">
        <f ca="1">$AO115*IF(Auswahllisten!$G$150,BC$25+BC$25*BC$13*$AN115,BC$25*(1+BC$13)^$AN115)</f>
        <v>0</v>
      </c>
      <c r="BD115" s="69">
        <f t="shared" ca="1" si="147"/>
        <v>0</v>
      </c>
      <c r="BE115" s="69">
        <f t="shared" ca="1" si="148"/>
        <v>0</v>
      </c>
      <c r="BF115" s="69">
        <f t="shared" ca="1" si="149"/>
        <v>0</v>
      </c>
      <c r="BG115" s="69">
        <f t="shared" ca="1" si="125"/>
        <v>0</v>
      </c>
      <c r="BI115" s="69">
        <f t="shared" ca="1" si="150"/>
        <v>0</v>
      </c>
      <c r="BJ115" s="69">
        <f t="shared" ca="1" si="150"/>
        <v>0</v>
      </c>
      <c r="BK115" s="69">
        <f t="shared" si="150"/>
        <v>0</v>
      </c>
      <c r="BL115" s="69">
        <f t="shared" ca="1" si="150"/>
        <v>0</v>
      </c>
      <c r="BM115" s="69">
        <f t="shared" ca="1" si="150"/>
        <v>0</v>
      </c>
      <c r="BN115" s="69">
        <f t="shared" ca="1" si="150"/>
        <v>0</v>
      </c>
      <c r="BO115" s="69">
        <f t="shared" si="150"/>
        <v>0</v>
      </c>
      <c r="BP115" s="69">
        <f t="shared" ca="1" si="151"/>
        <v>0</v>
      </c>
      <c r="BQ115" s="69">
        <f t="shared" ca="1" si="152"/>
        <v>0</v>
      </c>
      <c r="BR115" s="69">
        <f t="shared" ca="1" si="153"/>
        <v>0</v>
      </c>
      <c r="BS115" s="69">
        <f ca="1">$AO115*IF(Auswahllisten!$G$150,BS$25+BS$25*BS$13*$AN115,BS$25*(1+BS$13)^$AN115)</f>
        <v>0</v>
      </c>
      <c r="BT115" s="69">
        <f ca="1">$AO115*IF(Auswahllisten!$G$150,BT$25+BT$25*BT$13*$AN115,BT$25*(1+BT$13)^$AN115)</f>
        <v>0</v>
      </c>
      <c r="BU115" s="69">
        <f ca="1">$AO115*IF(Auswahllisten!$G$150,BU$25+BU$25*BU$13*$AN115,BU$25*(1+BU$13)^$AN115)</f>
        <v>0</v>
      </c>
      <c r="BV115" s="69">
        <f ca="1">$AO115*IF(Auswahllisten!$G$150,BV$25+BV$25*BV$13*$AN115,BV$25*(1+BV$13)^$AN115)</f>
        <v>0</v>
      </c>
      <c r="BW115" s="69">
        <f t="shared" ca="1" si="127"/>
        <v>0</v>
      </c>
      <c r="BX115" s="69">
        <f t="shared" ca="1" si="154"/>
        <v>0</v>
      </c>
      <c r="BY115" s="69">
        <f t="shared" ca="1" si="155"/>
        <v>0</v>
      </c>
      <c r="BZ115" s="69">
        <f t="shared" ca="1" si="118"/>
        <v>0</v>
      </c>
    </row>
    <row r="116" spans="1:78">
      <c r="A116" s="304" t="s">
        <v>1225</v>
      </c>
      <c r="B116" s="131" t="s">
        <v>1250</v>
      </c>
      <c r="C116" s="131" t="s">
        <v>944</v>
      </c>
      <c r="D116" s="162" t="str" cm="1">
        <f t="array" aca="1" ref="D116" ca="1">INDIRECT("Vergleich!"&amp;$G$2&amp;Z116)</f>
        <v>mittel</v>
      </c>
      <c r="E116" s="162" cm="1">
        <f t="array" aca="1" ref="E116" ca="1">INDIRECT("Investition_gewählt!"&amp;$I$5&amp;AA116)</f>
        <v>3500</v>
      </c>
      <c r="F116" s="25" cm="1">
        <f t="array" aca="1" ref="F116" ca="1">IF($C$5=0,0,INDEX(Faktoren!E99:GQ99,1,VLOOKUP($F$5,$L$2:$O$14,4,FALSE)+$C$9*5+VLOOKUP(D116,Auswahllisten!$E$25:$F$29,2,FALSE)))</f>
        <v>0</v>
      </c>
      <c r="G116" s="162">
        <f t="shared" ref="G116:G125" ca="1" si="162">E116*F116</f>
        <v>0</v>
      </c>
      <c r="H116" s="162" cm="1">
        <f t="array" aca="1" ref="H116" ca="1">INDIRECT("Investition_gewählt!"&amp;$I$6&amp;AA116)</f>
        <v>3500</v>
      </c>
      <c r="I116" s="25" cm="1">
        <f t="array" aca="1" ref="I116" ca="1">IF($C$5=0,0,INDEX(Faktoren!E99:GQ99,1,VLOOKUP($F$6,$L$2:$O$14,4,FALSE)+$C$9*5+VLOOKUP(D116,Auswahllisten!$E$25:$F$29,2,FALSE)))</f>
        <v>0</v>
      </c>
      <c r="J116" s="162">
        <f t="shared" ref="J116:J125" ca="1" si="163">H116*I116</f>
        <v>0</v>
      </c>
      <c r="K116" s="162">
        <f t="shared" ref="K116:K125" ca="1" si="164">IF($C$5=0,0,G116+(J116-G116)*($C$6-$F$5)/($F$6-$F$5))</f>
        <v>0</v>
      </c>
      <c r="L116" s="162">
        <v>1</v>
      </c>
      <c r="M116" s="162">
        <f t="shared" ref="M116:M125" ca="1" si="165">IFERROR(ROUND(K116*L116,AB116),0)</f>
        <v>0</v>
      </c>
      <c r="Z116" s="1">
        <v>73</v>
      </c>
      <c r="AA116" s="1">
        <v>99</v>
      </c>
      <c r="AB116" s="1">
        <v>-2</v>
      </c>
      <c r="AN116" s="1">
        <v>91</v>
      </c>
      <c r="AO116" s="1">
        <f t="shared" si="142"/>
        <v>0</v>
      </c>
      <c r="AP116" s="69">
        <f t="shared" ca="1" si="161"/>
        <v>0</v>
      </c>
      <c r="AQ116" s="69">
        <f t="shared" ca="1" si="161"/>
        <v>0</v>
      </c>
      <c r="AR116" s="69">
        <f t="shared" si="161"/>
        <v>0</v>
      </c>
      <c r="AS116" s="69">
        <f t="shared" ca="1" si="161"/>
        <v>0</v>
      </c>
      <c r="AT116" s="69">
        <f t="shared" ca="1" si="161"/>
        <v>0</v>
      </c>
      <c r="AU116" s="69">
        <f t="shared" ca="1" si="161"/>
        <v>0</v>
      </c>
      <c r="AV116" s="69">
        <f t="shared" si="161"/>
        <v>0</v>
      </c>
      <c r="AW116" s="69">
        <f t="shared" ca="1" si="144"/>
        <v>0</v>
      </c>
      <c r="AX116" s="69">
        <f t="shared" ca="1" si="145"/>
        <v>0</v>
      </c>
      <c r="AY116" s="69">
        <f t="shared" ca="1" si="146"/>
        <v>0</v>
      </c>
      <c r="AZ116" s="69">
        <f ca="1">$AO116*IF(Auswahllisten!$G$150,AZ$25+AZ$25*AZ$13*$AN116,AZ$25*(1+AZ$13)^$AN116)</f>
        <v>0</v>
      </c>
      <c r="BA116" s="69">
        <f ca="1">$AO116*IF(Auswahllisten!$G$150,BA$25+BA$25*BA$13*$AN116,BA$25*(1+BA$13)^$AN116)</f>
        <v>0</v>
      </c>
      <c r="BB116" s="69">
        <f ca="1">$AO116*IF(Auswahllisten!$G$150,BB$25+BB$25*BB$13*$AN116,BB$25*(1+BB$13)^$AN116)</f>
        <v>0</v>
      </c>
      <c r="BC116" s="69">
        <f ca="1">$AO116*IF(Auswahllisten!$G$150,BC$25+BC$25*BC$13*$AN116,BC$25*(1+BC$13)^$AN116)</f>
        <v>0</v>
      </c>
      <c r="BD116" s="69">
        <f t="shared" ca="1" si="147"/>
        <v>0</v>
      </c>
      <c r="BE116" s="69">
        <f t="shared" ca="1" si="148"/>
        <v>0</v>
      </c>
      <c r="BF116" s="69">
        <f t="shared" ca="1" si="149"/>
        <v>0</v>
      </c>
      <c r="BG116" s="69">
        <f t="shared" ca="1" si="125"/>
        <v>0</v>
      </c>
      <c r="BI116" s="69">
        <f t="shared" ca="1" si="150"/>
        <v>0</v>
      </c>
      <c r="BJ116" s="69">
        <f t="shared" ca="1" si="150"/>
        <v>0</v>
      </c>
      <c r="BK116" s="69">
        <f t="shared" si="150"/>
        <v>0</v>
      </c>
      <c r="BL116" s="69">
        <f t="shared" ca="1" si="150"/>
        <v>0</v>
      </c>
      <c r="BM116" s="69">
        <f t="shared" ca="1" si="150"/>
        <v>0</v>
      </c>
      <c r="BN116" s="69">
        <f t="shared" ca="1" si="150"/>
        <v>0</v>
      </c>
      <c r="BO116" s="69">
        <f t="shared" si="150"/>
        <v>0</v>
      </c>
      <c r="BP116" s="69">
        <f t="shared" ca="1" si="151"/>
        <v>0</v>
      </c>
      <c r="BQ116" s="69">
        <f t="shared" ca="1" si="152"/>
        <v>0</v>
      </c>
      <c r="BR116" s="69">
        <f t="shared" ca="1" si="153"/>
        <v>0</v>
      </c>
      <c r="BS116" s="69">
        <f ca="1">$AO116*IF(Auswahllisten!$G$150,BS$25+BS$25*BS$13*$AN116,BS$25*(1+BS$13)^$AN116)</f>
        <v>0</v>
      </c>
      <c r="BT116" s="69">
        <f ca="1">$AO116*IF(Auswahllisten!$G$150,BT$25+BT$25*BT$13*$AN116,BT$25*(1+BT$13)^$AN116)</f>
        <v>0</v>
      </c>
      <c r="BU116" s="69">
        <f ca="1">$AO116*IF(Auswahllisten!$G$150,BU$25+BU$25*BU$13*$AN116,BU$25*(1+BU$13)^$AN116)</f>
        <v>0</v>
      </c>
      <c r="BV116" s="69">
        <f ca="1">$AO116*IF(Auswahllisten!$G$150,BV$25+BV$25*BV$13*$AN116,BV$25*(1+BV$13)^$AN116)</f>
        <v>0</v>
      </c>
      <c r="BW116" s="69">
        <f t="shared" ca="1" si="127"/>
        <v>0</v>
      </c>
      <c r="BX116" s="69">
        <f t="shared" ca="1" si="154"/>
        <v>0</v>
      </c>
      <c r="BY116" s="69">
        <f t="shared" ca="1" si="155"/>
        <v>0</v>
      </c>
      <c r="BZ116" s="69">
        <f t="shared" ca="1" si="118"/>
        <v>0</v>
      </c>
    </row>
    <row r="117" spans="1:78">
      <c r="A117" s="304" t="s">
        <v>1225</v>
      </c>
      <c r="B117" s="131" t="s">
        <v>1250</v>
      </c>
      <c r="C117" s="126" t="s">
        <v>1011</v>
      </c>
      <c r="D117" s="26" t="str" cm="1">
        <f t="array" aca="1" ref="D117" ca="1">INDIRECT("Vergleich!"&amp;$G$2&amp;Z117)</f>
        <v>keine</v>
      </c>
      <c r="E117" s="26" cm="1">
        <f t="array" aca="1" ref="E117" ca="1">INDIRECT("Investition_gewählt!"&amp;$I$5&amp;AA117)</f>
        <v>6000</v>
      </c>
      <c r="F117" s="25" cm="1">
        <f t="array" aca="1" ref="F117" ca="1">IF($C$5=0,0,INDEX(Faktoren!E100:GQ100,1,VLOOKUP($F$5,$L$2:$O$14,4,FALSE)+$C$9*5+VLOOKUP(D117,Auswahllisten!$E$25:$F$29,2,FALSE)))</f>
        <v>0</v>
      </c>
      <c r="G117" s="162">
        <f t="shared" ca="1" si="162"/>
        <v>0</v>
      </c>
      <c r="H117" s="26" cm="1">
        <f t="array" aca="1" ref="H117" ca="1">INDIRECT("Investition_gewählt!"&amp;$I$6&amp;AA117)</f>
        <v>6000</v>
      </c>
      <c r="I117" s="25" cm="1">
        <f t="array" aca="1" ref="I117" ca="1">IF($C$5=0,0,INDEX(Faktoren!E100:GQ100,1,VLOOKUP($F$6,$L$2:$O$14,4,FALSE)+$C$9*5+VLOOKUP(D117,Auswahllisten!$E$25:$F$29,2,FALSE)))</f>
        <v>0</v>
      </c>
      <c r="J117" s="162">
        <f t="shared" ca="1" si="163"/>
        <v>0</v>
      </c>
      <c r="K117" s="26">
        <f t="shared" ca="1" si="164"/>
        <v>0</v>
      </c>
      <c r="L117" s="26">
        <v>1</v>
      </c>
      <c r="M117" s="26">
        <f t="shared" ca="1" si="165"/>
        <v>0</v>
      </c>
      <c r="Z117" s="1">
        <v>74</v>
      </c>
      <c r="AA117" s="1">
        <v>100</v>
      </c>
      <c r="AB117" s="1">
        <v>-2</v>
      </c>
      <c r="AN117" s="1">
        <v>92</v>
      </c>
      <c r="AO117" s="1">
        <f t="shared" si="142"/>
        <v>0</v>
      </c>
      <c r="AP117" s="69">
        <f t="shared" ca="1" si="161"/>
        <v>0</v>
      </c>
      <c r="AQ117" s="69">
        <f t="shared" ca="1" si="161"/>
        <v>0</v>
      </c>
      <c r="AR117" s="69">
        <f t="shared" si="161"/>
        <v>0</v>
      </c>
      <c r="AS117" s="69">
        <f t="shared" ca="1" si="161"/>
        <v>0</v>
      </c>
      <c r="AT117" s="69">
        <f t="shared" ca="1" si="161"/>
        <v>0</v>
      </c>
      <c r="AU117" s="69">
        <f t="shared" ca="1" si="161"/>
        <v>0</v>
      </c>
      <c r="AV117" s="69">
        <f t="shared" si="161"/>
        <v>0</v>
      </c>
      <c r="AW117" s="69">
        <f t="shared" ca="1" si="144"/>
        <v>0</v>
      </c>
      <c r="AX117" s="69">
        <f t="shared" ca="1" si="145"/>
        <v>0</v>
      </c>
      <c r="AY117" s="69">
        <f t="shared" ca="1" si="146"/>
        <v>0</v>
      </c>
      <c r="AZ117" s="69">
        <f ca="1">$AO117*IF(Auswahllisten!$G$150,AZ$25+AZ$25*AZ$13*$AN117,AZ$25*(1+AZ$13)^$AN117)</f>
        <v>0</v>
      </c>
      <c r="BA117" s="69">
        <f ca="1">$AO117*IF(Auswahllisten!$G$150,BA$25+BA$25*BA$13*$AN117,BA$25*(1+BA$13)^$AN117)</f>
        <v>0</v>
      </c>
      <c r="BB117" s="69">
        <f ca="1">$AO117*IF(Auswahllisten!$G$150,BB$25+BB$25*BB$13*$AN117,BB$25*(1+BB$13)^$AN117)</f>
        <v>0</v>
      </c>
      <c r="BC117" s="69">
        <f ca="1">$AO117*IF(Auswahllisten!$G$150,BC$25+BC$25*BC$13*$AN117,BC$25*(1+BC$13)^$AN117)</f>
        <v>0</v>
      </c>
      <c r="BD117" s="69">
        <f t="shared" ca="1" si="147"/>
        <v>0</v>
      </c>
      <c r="BE117" s="69">
        <f t="shared" ca="1" si="148"/>
        <v>0</v>
      </c>
      <c r="BF117" s="69">
        <f t="shared" ca="1" si="149"/>
        <v>0</v>
      </c>
      <c r="BG117" s="69">
        <f t="shared" ca="1" si="125"/>
        <v>0</v>
      </c>
      <c r="BI117" s="69">
        <f t="shared" ca="1" si="150"/>
        <v>0</v>
      </c>
      <c r="BJ117" s="69">
        <f t="shared" ca="1" si="150"/>
        <v>0</v>
      </c>
      <c r="BK117" s="69">
        <f t="shared" si="150"/>
        <v>0</v>
      </c>
      <c r="BL117" s="69">
        <f t="shared" ca="1" si="150"/>
        <v>0</v>
      </c>
      <c r="BM117" s="69">
        <f t="shared" ca="1" si="150"/>
        <v>0</v>
      </c>
      <c r="BN117" s="69">
        <f t="shared" ca="1" si="150"/>
        <v>0</v>
      </c>
      <c r="BO117" s="69">
        <f t="shared" si="150"/>
        <v>0</v>
      </c>
      <c r="BP117" s="69">
        <f t="shared" ca="1" si="151"/>
        <v>0</v>
      </c>
      <c r="BQ117" s="69">
        <f t="shared" ca="1" si="152"/>
        <v>0</v>
      </c>
      <c r="BR117" s="69">
        <f t="shared" ca="1" si="153"/>
        <v>0</v>
      </c>
      <c r="BS117" s="69">
        <f ca="1">$AO117*IF(Auswahllisten!$G$150,BS$25+BS$25*BS$13*$AN117,BS$25*(1+BS$13)^$AN117)</f>
        <v>0</v>
      </c>
      <c r="BT117" s="69">
        <f ca="1">$AO117*IF(Auswahllisten!$G$150,BT$25+BT$25*BT$13*$AN117,BT$25*(1+BT$13)^$AN117)</f>
        <v>0</v>
      </c>
      <c r="BU117" s="69">
        <f ca="1">$AO117*IF(Auswahllisten!$G$150,BU$25+BU$25*BU$13*$AN117,BU$25*(1+BU$13)^$AN117)</f>
        <v>0</v>
      </c>
      <c r="BV117" s="69">
        <f ca="1">$AO117*IF(Auswahllisten!$G$150,BV$25+BV$25*BV$13*$AN117,BV$25*(1+BV$13)^$AN117)</f>
        <v>0</v>
      </c>
      <c r="BW117" s="69">
        <f t="shared" ca="1" si="127"/>
        <v>0</v>
      </c>
      <c r="BX117" s="69">
        <f t="shared" ca="1" si="154"/>
        <v>0</v>
      </c>
      <c r="BY117" s="69">
        <f t="shared" ca="1" si="155"/>
        <v>0</v>
      </c>
      <c r="BZ117" s="69">
        <f t="shared" ca="1" si="118"/>
        <v>0</v>
      </c>
    </row>
    <row r="118" spans="1:78">
      <c r="A118" s="305" t="s">
        <v>1219</v>
      </c>
      <c r="B118" s="126" t="s">
        <v>1012</v>
      </c>
      <c r="C118" s="126" t="s">
        <v>946</v>
      </c>
      <c r="D118" s="26" t="str" cm="1">
        <f t="array" aca="1" ref="D118" ca="1">INDIRECT("Vergleich!"&amp;$G$2&amp;Z118)</f>
        <v>keine</v>
      </c>
      <c r="E118" s="26" cm="1">
        <f t="array" aca="1" ref="E118" ca="1">INDIRECT("Investition_gewählt!"&amp;$I$5&amp;AA118)</f>
        <v>0</v>
      </c>
      <c r="F118" s="25" cm="1">
        <f t="array" aca="1" ref="F118" ca="1">IF($C$5=0,0,INDEX(Faktoren!E101:GQ101,1,VLOOKUP($F$5,$L$2:$O$14,4,FALSE)+$C$9*5+VLOOKUP(D118,Auswahllisten!$E$25:$F$29,2,FALSE)))</f>
        <v>0</v>
      </c>
      <c r="G118" s="162">
        <f t="shared" ca="1" si="162"/>
        <v>0</v>
      </c>
      <c r="H118" s="26" cm="1">
        <f t="array" aca="1" ref="H118" ca="1">INDIRECT("Investition_gewählt!"&amp;$I$6&amp;AA118)</f>
        <v>0</v>
      </c>
      <c r="I118" s="25" cm="1">
        <f t="array" aca="1" ref="I118" ca="1">IF($C$5=0,0,INDEX(Faktoren!E101:GQ101,1,VLOOKUP($F$6,$L$2:$O$14,4,FALSE)+$C$9*5+VLOOKUP(D118,Auswahllisten!$E$25:$F$29,2,FALSE)))</f>
        <v>0</v>
      </c>
      <c r="J118" s="162">
        <f t="shared" ca="1" si="163"/>
        <v>0</v>
      </c>
      <c r="K118" s="26">
        <f t="shared" ca="1" si="164"/>
        <v>0</v>
      </c>
      <c r="L118" s="26">
        <v>1</v>
      </c>
      <c r="M118" s="26">
        <f t="shared" ca="1" si="165"/>
        <v>0</v>
      </c>
      <c r="Z118" s="1">
        <v>75</v>
      </c>
      <c r="AA118" s="1">
        <v>101</v>
      </c>
      <c r="AB118" s="1">
        <v>-2</v>
      </c>
      <c r="AN118" s="1">
        <v>93</v>
      </c>
      <c r="AO118" s="1">
        <f t="shared" si="142"/>
        <v>0</v>
      </c>
      <c r="AP118" s="69">
        <f t="shared" ca="1" si="161"/>
        <v>0</v>
      </c>
      <c r="AQ118" s="69">
        <f t="shared" ca="1" si="161"/>
        <v>0</v>
      </c>
      <c r="AR118" s="69">
        <f t="shared" si="161"/>
        <v>0</v>
      </c>
      <c r="AS118" s="69">
        <f t="shared" ca="1" si="161"/>
        <v>0</v>
      </c>
      <c r="AT118" s="69">
        <f t="shared" ca="1" si="161"/>
        <v>0</v>
      </c>
      <c r="AU118" s="69">
        <f t="shared" ca="1" si="161"/>
        <v>0</v>
      </c>
      <c r="AV118" s="69">
        <f t="shared" si="161"/>
        <v>0</v>
      </c>
      <c r="AW118" s="69">
        <f t="shared" ca="1" si="144"/>
        <v>0</v>
      </c>
      <c r="AX118" s="69">
        <f t="shared" ca="1" si="145"/>
        <v>0</v>
      </c>
      <c r="AY118" s="69">
        <f t="shared" ca="1" si="146"/>
        <v>0</v>
      </c>
      <c r="AZ118" s="69">
        <f ca="1">$AO118*IF(Auswahllisten!$G$150,AZ$25+AZ$25*AZ$13*$AN118,AZ$25*(1+AZ$13)^$AN118)</f>
        <v>0</v>
      </c>
      <c r="BA118" s="69">
        <f ca="1">$AO118*IF(Auswahllisten!$G$150,BA$25+BA$25*BA$13*$AN118,BA$25*(1+BA$13)^$AN118)</f>
        <v>0</v>
      </c>
      <c r="BB118" s="69">
        <f ca="1">$AO118*IF(Auswahllisten!$G$150,BB$25+BB$25*BB$13*$AN118,BB$25*(1+BB$13)^$AN118)</f>
        <v>0</v>
      </c>
      <c r="BC118" s="69">
        <f ca="1">$AO118*IF(Auswahllisten!$G$150,BC$25+BC$25*BC$13*$AN118,BC$25*(1+BC$13)^$AN118)</f>
        <v>0</v>
      </c>
      <c r="BD118" s="69">
        <f t="shared" ca="1" si="147"/>
        <v>0</v>
      </c>
      <c r="BE118" s="69">
        <f t="shared" ca="1" si="148"/>
        <v>0</v>
      </c>
      <c r="BF118" s="69">
        <f t="shared" ca="1" si="149"/>
        <v>0</v>
      </c>
      <c r="BG118" s="69">
        <f t="shared" ca="1" si="125"/>
        <v>0</v>
      </c>
      <c r="BI118" s="69">
        <f t="shared" ca="1" si="150"/>
        <v>0</v>
      </c>
      <c r="BJ118" s="69">
        <f t="shared" ca="1" si="150"/>
        <v>0</v>
      </c>
      <c r="BK118" s="69">
        <f t="shared" si="150"/>
        <v>0</v>
      </c>
      <c r="BL118" s="69">
        <f t="shared" ca="1" si="150"/>
        <v>0</v>
      </c>
      <c r="BM118" s="69">
        <f t="shared" ca="1" si="150"/>
        <v>0</v>
      </c>
      <c r="BN118" s="69">
        <f t="shared" ca="1" si="150"/>
        <v>0</v>
      </c>
      <c r="BO118" s="69">
        <f t="shared" si="150"/>
        <v>0</v>
      </c>
      <c r="BP118" s="69">
        <f t="shared" ca="1" si="151"/>
        <v>0</v>
      </c>
      <c r="BQ118" s="69">
        <f t="shared" ca="1" si="152"/>
        <v>0</v>
      </c>
      <c r="BR118" s="69">
        <f t="shared" ca="1" si="153"/>
        <v>0</v>
      </c>
      <c r="BS118" s="69">
        <f ca="1">$AO118*IF(Auswahllisten!$G$150,BS$25+BS$25*BS$13*$AN118,BS$25*(1+BS$13)^$AN118)</f>
        <v>0</v>
      </c>
      <c r="BT118" s="69">
        <f ca="1">$AO118*IF(Auswahllisten!$G$150,BT$25+BT$25*BT$13*$AN118,BT$25*(1+BT$13)^$AN118)</f>
        <v>0</v>
      </c>
      <c r="BU118" s="69">
        <f ca="1">$AO118*IF(Auswahllisten!$G$150,BU$25+BU$25*BU$13*$AN118,BU$25*(1+BU$13)^$AN118)</f>
        <v>0</v>
      </c>
      <c r="BV118" s="69">
        <f ca="1">$AO118*IF(Auswahllisten!$G$150,BV$25+BV$25*BV$13*$AN118,BV$25*(1+BV$13)^$AN118)</f>
        <v>0</v>
      </c>
      <c r="BW118" s="69">
        <f t="shared" ca="1" si="127"/>
        <v>0</v>
      </c>
      <c r="BX118" s="69">
        <f t="shared" ca="1" si="154"/>
        <v>0</v>
      </c>
      <c r="BY118" s="69">
        <f t="shared" ca="1" si="155"/>
        <v>0</v>
      </c>
      <c r="BZ118" s="69">
        <f t="shared" ca="1" si="118"/>
        <v>0</v>
      </c>
    </row>
    <row r="119" spans="1:78">
      <c r="A119" s="305" t="s">
        <v>1219</v>
      </c>
      <c r="B119" s="126" t="s">
        <v>1012</v>
      </c>
      <c r="C119" s="126" t="s">
        <v>947</v>
      </c>
      <c r="D119" s="26" t="str" cm="1">
        <f t="array" aca="1" ref="D119" ca="1">INDIRECT("Vergleich!"&amp;$G$2&amp;Z119)</f>
        <v>keine</v>
      </c>
      <c r="E119" s="26" cm="1">
        <f t="array" aca="1" ref="E119" ca="1">INDIRECT("Investition_gewählt!"&amp;$I$5&amp;AA119)</f>
        <v>5000</v>
      </c>
      <c r="F119" s="25" cm="1">
        <f t="array" aca="1" ref="F119" ca="1">IF($C$5=0,0,INDEX(Faktoren!E102:GQ102,1,VLOOKUP($F$5,$L$2:$O$14,4,FALSE)+$C$9*5+VLOOKUP(D119,Auswahllisten!$E$25:$F$29,2,FALSE)))</f>
        <v>0</v>
      </c>
      <c r="G119" s="162">
        <f t="shared" ca="1" si="162"/>
        <v>0</v>
      </c>
      <c r="H119" s="26" cm="1">
        <f t="array" aca="1" ref="H119" ca="1">INDIRECT("Investition_gewählt!"&amp;$I$6&amp;AA119)</f>
        <v>5000</v>
      </c>
      <c r="I119" s="25" cm="1">
        <f t="array" aca="1" ref="I119" ca="1">IF($C$5=0,0,INDEX(Faktoren!E102:GQ102,1,VLOOKUP($F$6,$L$2:$O$14,4,FALSE)+$C$9*5+VLOOKUP(D119,Auswahllisten!$E$25:$F$29,2,FALSE)))</f>
        <v>0</v>
      </c>
      <c r="J119" s="162">
        <f t="shared" ca="1" si="163"/>
        <v>0</v>
      </c>
      <c r="K119" s="26">
        <f t="shared" ca="1" si="164"/>
        <v>0</v>
      </c>
      <c r="L119" s="26">
        <v>1</v>
      </c>
      <c r="M119" s="26">
        <f t="shared" ca="1" si="165"/>
        <v>0</v>
      </c>
      <c r="Z119" s="1">
        <v>76</v>
      </c>
      <c r="AA119" s="1">
        <v>102</v>
      </c>
      <c r="AB119" s="1">
        <v>-2</v>
      </c>
      <c r="AN119" s="1">
        <v>94</v>
      </c>
      <c r="AO119" s="1">
        <f t="shared" si="142"/>
        <v>0</v>
      </c>
      <c r="AP119" s="69">
        <f t="shared" ca="1" si="161"/>
        <v>0</v>
      </c>
      <c r="AQ119" s="69">
        <f t="shared" ca="1" si="161"/>
        <v>0</v>
      </c>
      <c r="AR119" s="69">
        <f t="shared" si="161"/>
        <v>0</v>
      </c>
      <c r="AS119" s="69">
        <f t="shared" ca="1" si="161"/>
        <v>0</v>
      </c>
      <c r="AT119" s="69">
        <f t="shared" ca="1" si="161"/>
        <v>0</v>
      </c>
      <c r="AU119" s="69">
        <f t="shared" ca="1" si="161"/>
        <v>0</v>
      </c>
      <c r="AV119" s="69">
        <f t="shared" si="161"/>
        <v>0</v>
      </c>
      <c r="AW119" s="69">
        <f t="shared" ca="1" si="144"/>
        <v>0</v>
      </c>
      <c r="AX119" s="69">
        <f t="shared" ca="1" si="145"/>
        <v>0</v>
      </c>
      <c r="AY119" s="69">
        <f t="shared" ca="1" si="146"/>
        <v>0</v>
      </c>
      <c r="AZ119" s="69">
        <f ca="1">$AO119*IF(Auswahllisten!$G$150,AZ$25+AZ$25*AZ$13*$AN119,AZ$25*(1+AZ$13)^$AN119)</f>
        <v>0</v>
      </c>
      <c r="BA119" s="69">
        <f ca="1">$AO119*IF(Auswahllisten!$G$150,BA$25+BA$25*BA$13*$AN119,BA$25*(1+BA$13)^$AN119)</f>
        <v>0</v>
      </c>
      <c r="BB119" s="69">
        <f ca="1">$AO119*IF(Auswahllisten!$G$150,BB$25+BB$25*BB$13*$AN119,BB$25*(1+BB$13)^$AN119)</f>
        <v>0</v>
      </c>
      <c r="BC119" s="69">
        <f ca="1">$AO119*IF(Auswahllisten!$G$150,BC$25+BC$25*BC$13*$AN119,BC$25*(1+BC$13)^$AN119)</f>
        <v>0</v>
      </c>
      <c r="BD119" s="69">
        <f t="shared" ca="1" si="147"/>
        <v>0</v>
      </c>
      <c r="BE119" s="69">
        <f t="shared" ca="1" si="148"/>
        <v>0</v>
      </c>
      <c r="BF119" s="69">
        <f t="shared" ca="1" si="149"/>
        <v>0</v>
      </c>
      <c r="BG119" s="69">
        <f t="shared" ca="1" si="125"/>
        <v>0</v>
      </c>
      <c r="BI119" s="69">
        <f t="shared" ca="1" si="150"/>
        <v>0</v>
      </c>
      <c r="BJ119" s="69">
        <f t="shared" ca="1" si="150"/>
        <v>0</v>
      </c>
      <c r="BK119" s="69">
        <f t="shared" si="150"/>
        <v>0</v>
      </c>
      <c r="BL119" s="69">
        <f t="shared" ca="1" si="150"/>
        <v>0</v>
      </c>
      <c r="BM119" s="69">
        <f t="shared" ca="1" si="150"/>
        <v>0</v>
      </c>
      <c r="BN119" s="69">
        <f t="shared" ca="1" si="150"/>
        <v>0</v>
      </c>
      <c r="BO119" s="69">
        <f t="shared" si="150"/>
        <v>0</v>
      </c>
      <c r="BP119" s="69">
        <f t="shared" ca="1" si="151"/>
        <v>0</v>
      </c>
      <c r="BQ119" s="69">
        <f t="shared" ca="1" si="152"/>
        <v>0</v>
      </c>
      <c r="BR119" s="69">
        <f t="shared" ca="1" si="153"/>
        <v>0</v>
      </c>
      <c r="BS119" s="69">
        <f ca="1">$AO119*IF(Auswahllisten!$G$150,BS$25+BS$25*BS$13*$AN119,BS$25*(1+BS$13)^$AN119)</f>
        <v>0</v>
      </c>
      <c r="BT119" s="69">
        <f ca="1">$AO119*IF(Auswahllisten!$G$150,BT$25+BT$25*BT$13*$AN119,BT$25*(1+BT$13)^$AN119)</f>
        <v>0</v>
      </c>
      <c r="BU119" s="69">
        <f ca="1">$AO119*IF(Auswahllisten!$G$150,BU$25+BU$25*BU$13*$AN119,BU$25*(1+BU$13)^$AN119)</f>
        <v>0</v>
      </c>
      <c r="BV119" s="69">
        <f ca="1">$AO119*IF(Auswahllisten!$G$150,BV$25+BV$25*BV$13*$AN119,BV$25*(1+BV$13)^$AN119)</f>
        <v>0</v>
      </c>
      <c r="BW119" s="69">
        <f t="shared" ca="1" si="127"/>
        <v>0</v>
      </c>
      <c r="BX119" s="69">
        <f t="shared" ca="1" si="154"/>
        <v>0</v>
      </c>
      <c r="BY119" s="69">
        <f t="shared" ca="1" si="155"/>
        <v>0</v>
      </c>
      <c r="BZ119" s="69">
        <f t="shared" ca="1" si="118"/>
        <v>0</v>
      </c>
    </row>
    <row r="120" spans="1:78">
      <c r="A120" s="305" t="s">
        <v>1226</v>
      </c>
      <c r="B120" s="126" t="s">
        <v>948</v>
      </c>
      <c r="C120" s="126" t="s">
        <v>948</v>
      </c>
      <c r="D120" s="26" t="str" cm="1">
        <f t="array" aca="1" ref="D120" ca="1">INDIRECT("Vergleich!"&amp;$G$2&amp;Z120)</f>
        <v>keine</v>
      </c>
      <c r="E120" s="26" cm="1">
        <f t="array" aca="1" ref="E120" ca="1">INDIRECT("Investition_gewählt!"&amp;$I$5&amp;AA120)</f>
        <v>10000</v>
      </c>
      <c r="F120" s="25" cm="1">
        <f t="array" aca="1" ref="F120" ca="1">IF($C$5=0,0,INDEX(Faktoren!E103:GQ103,1,VLOOKUP($F$5,$L$2:$O$14,4,FALSE)+$C$9*5+VLOOKUP(D120,Auswahllisten!$E$25:$F$29,2,FALSE)))</f>
        <v>0</v>
      </c>
      <c r="G120" s="162">
        <f t="shared" ca="1" si="162"/>
        <v>0</v>
      </c>
      <c r="H120" s="26" cm="1">
        <f t="array" aca="1" ref="H120" ca="1">INDIRECT("Investition_gewählt!"&amp;$I$6&amp;AA120)</f>
        <v>10000</v>
      </c>
      <c r="I120" s="25" cm="1">
        <f t="array" aca="1" ref="I120" ca="1">IF($C$5=0,0,INDEX(Faktoren!E103:GQ103,1,VLOOKUP($F$6,$L$2:$O$14,4,FALSE)+$C$9*5+VLOOKUP(D120,Auswahllisten!$E$25:$F$29,2,FALSE)))</f>
        <v>0</v>
      </c>
      <c r="J120" s="162">
        <f t="shared" ca="1" si="163"/>
        <v>0</v>
      </c>
      <c r="K120" s="26">
        <f t="shared" ca="1" si="164"/>
        <v>0</v>
      </c>
      <c r="L120" s="26">
        <v>1</v>
      </c>
      <c r="M120" s="26">
        <f t="shared" ca="1" si="165"/>
        <v>0</v>
      </c>
      <c r="Z120" s="1">
        <v>77</v>
      </c>
      <c r="AA120" s="1">
        <v>103</v>
      </c>
      <c r="AB120" s="1">
        <v>-2</v>
      </c>
      <c r="AN120" s="1">
        <v>95</v>
      </c>
      <c r="AO120" s="1">
        <f t="shared" si="142"/>
        <v>0</v>
      </c>
      <c r="AP120" s="69">
        <f t="shared" ca="1" si="161"/>
        <v>0</v>
      </c>
      <c r="AQ120" s="69">
        <f t="shared" ca="1" si="161"/>
        <v>0</v>
      </c>
      <c r="AR120" s="69">
        <f t="shared" si="161"/>
        <v>0</v>
      </c>
      <c r="AS120" s="69">
        <f t="shared" ca="1" si="161"/>
        <v>0</v>
      </c>
      <c r="AT120" s="69">
        <f t="shared" ca="1" si="161"/>
        <v>0</v>
      </c>
      <c r="AU120" s="69">
        <f t="shared" ca="1" si="161"/>
        <v>0</v>
      </c>
      <c r="AV120" s="69">
        <f t="shared" si="161"/>
        <v>0</v>
      </c>
      <c r="AW120" s="69">
        <f t="shared" ca="1" si="144"/>
        <v>0</v>
      </c>
      <c r="AX120" s="69">
        <f t="shared" ca="1" si="145"/>
        <v>0</v>
      </c>
      <c r="AY120" s="69">
        <f t="shared" ca="1" si="146"/>
        <v>0</v>
      </c>
      <c r="AZ120" s="69">
        <f ca="1">$AO120*IF(Auswahllisten!$G$150,AZ$25+AZ$25*AZ$13*$AN120,AZ$25*(1+AZ$13)^$AN120)</f>
        <v>0</v>
      </c>
      <c r="BA120" s="69">
        <f ca="1">$AO120*IF(Auswahllisten!$G$150,BA$25+BA$25*BA$13*$AN120,BA$25*(1+BA$13)^$AN120)</f>
        <v>0</v>
      </c>
      <c r="BB120" s="69">
        <f ca="1">$AO120*IF(Auswahllisten!$G$150,BB$25+BB$25*BB$13*$AN120,BB$25*(1+BB$13)^$AN120)</f>
        <v>0</v>
      </c>
      <c r="BC120" s="69">
        <f ca="1">$AO120*IF(Auswahllisten!$G$150,BC$25+BC$25*BC$13*$AN120,BC$25*(1+BC$13)^$AN120)</f>
        <v>0</v>
      </c>
      <c r="BD120" s="69">
        <f t="shared" ca="1" si="147"/>
        <v>0</v>
      </c>
      <c r="BE120" s="69">
        <f t="shared" ca="1" si="148"/>
        <v>0</v>
      </c>
      <c r="BF120" s="69">
        <f t="shared" ca="1" si="149"/>
        <v>0</v>
      </c>
      <c r="BG120" s="69">
        <f t="shared" ca="1" si="125"/>
        <v>0</v>
      </c>
      <c r="BI120" s="69">
        <f t="shared" ca="1" si="150"/>
        <v>0</v>
      </c>
      <c r="BJ120" s="69">
        <f t="shared" ca="1" si="150"/>
        <v>0</v>
      </c>
      <c r="BK120" s="69">
        <f t="shared" si="150"/>
        <v>0</v>
      </c>
      <c r="BL120" s="69">
        <f t="shared" ca="1" si="150"/>
        <v>0</v>
      </c>
      <c r="BM120" s="69">
        <f t="shared" ca="1" si="150"/>
        <v>0</v>
      </c>
      <c r="BN120" s="69">
        <f t="shared" ca="1" si="150"/>
        <v>0</v>
      </c>
      <c r="BO120" s="69">
        <f t="shared" si="150"/>
        <v>0</v>
      </c>
      <c r="BP120" s="69">
        <f t="shared" ca="1" si="151"/>
        <v>0</v>
      </c>
      <c r="BQ120" s="69">
        <f t="shared" ca="1" si="152"/>
        <v>0</v>
      </c>
      <c r="BR120" s="69">
        <f t="shared" ca="1" si="153"/>
        <v>0</v>
      </c>
      <c r="BS120" s="69">
        <f ca="1">$AO120*IF(Auswahllisten!$G$150,BS$25+BS$25*BS$13*$AN120,BS$25*(1+BS$13)^$AN120)</f>
        <v>0</v>
      </c>
      <c r="BT120" s="69">
        <f ca="1">$AO120*IF(Auswahllisten!$G$150,BT$25+BT$25*BT$13*$AN120,BT$25*(1+BT$13)^$AN120)</f>
        <v>0</v>
      </c>
      <c r="BU120" s="69">
        <f ca="1">$AO120*IF(Auswahllisten!$G$150,BU$25+BU$25*BU$13*$AN120,BU$25*(1+BU$13)^$AN120)</f>
        <v>0</v>
      </c>
      <c r="BV120" s="69">
        <f ca="1">$AO120*IF(Auswahllisten!$G$150,BV$25+BV$25*BV$13*$AN120,BV$25*(1+BV$13)^$AN120)</f>
        <v>0</v>
      </c>
      <c r="BW120" s="69">
        <f t="shared" ca="1" si="127"/>
        <v>0</v>
      </c>
      <c r="BX120" s="69">
        <f t="shared" ca="1" si="154"/>
        <v>0</v>
      </c>
      <c r="BY120" s="69">
        <f t="shared" ca="1" si="155"/>
        <v>0</v>
      </c>
      <c r="BZ120" s="69">
        <f t="shared" ca="1" si="118"/>
        <v>0</v>
      </c>
    </row>
    <row r="121" spans="1:78">
      <c r="A121" s="305" t="s">
        <v>1228</v>
      </c>
      <c r="B121" s="126" t="s">
        <v>1013</v>
      </c>
      <c r="C121" s="126" t="s">
        <v>1014</v>
      </c>
      <c r="D121" s="26" t="str" cm="1">
        <f t="array" aca="1" ref="D121" ca="1">INDIRECT("Vergleich!"&amp;$G$2&amp;Z121)</f>
        <v>keine</v>
      </c>
      <c r="E121" s="26" cm="1">
        <f t="array" aca="1" ref="E121" ca="1">INDIRECT("Investition_gewählt!"&amp;$I$5&amp;AA121)</f>
        <v>0</v>
      </c>
      <c r="F121" s="25" cm="1">
        <f t="array" aca="1" ref="F121" ca="1">IF($C$5=0,0,INDEX(Faktoren!E104:GQ104,1,VLOOKUP($F$5,$L$2:$O$14,4,FALSE)+$C$9*5+VLOOKUP(D121,Auswahllisten!$E$25:$F$29,2,FALSE)))</f>
        <v>0</v>
      </c>
      <c r="G121" s="162">
        <f t="shared" ca="1" si="162"/>
        <v>0</v>
      </c>
      <c r="H121" s="26" cm="1">
        <f t="array" aca="1" ref="H121" ca="1">INDIRECT("Investition_gewählt!"&amp;$I$6&amp;AA121)</f>
        <v>0</v>
      </c>
      <c r="I121" s="25" cm="1">
        <f t="array" aca="1" ref="I121" ca="1">IF($C$5=0,0,INDEX(Faktoren!E104:GQ104,1,VLOOKUP($F$6,$L$2:$O$14,4,FALSE)+$C$9*5+VLOOKUP(D121,Auswahllisten!$E$25:$F$29,2,FALSE)))</f>
        <v>0</v>
      </c>
      <c r="J121" s="162">
        <f t="shared" ca="1" si="163"/>
        <v>0</v>
      </c>
      <c r="K121" s="26">
        <f t="shared" ca="1" si="164"/>
        <v>0</v>
      </c>
      <c r="L121" s="26">
        <v>1</v>
      </c>
      <c r="M121" s="26">
        <f t="shared" ca="1" si="165"/>
        <v>0</v>
      </c>
      <c r="Z121" s="1">
        <v>78</v>
      </c>
      <c r="AA121" s="1">
        <v>104</v>
      </c>
      <c r="AB121" s="1">
        <v>-2</v>
      </c>
      <c r="AN121" s="1">
        <v>96</v>
      </c>
      <c r="AO121" s="1">
        <f t="shared" si="142"/>
        <v>0</v>
      </c>
      <c r="AP121" s="69">
        <f t="shared" ca="1" si="161"/>
        <v>0</v>
      </c>
      <c r="AQ121" s="69">
        <f t="shared" ca="1" si="161"/>
        <v>0</v>
      </c>
      <c r="AR121" s="69">
        <f t="shared" si="161"/>
        <v>0</v>
      </c>
      <c r="AS121" s="69">
        <f t="shared" ca="1" si="161"/>
        <v>0</v>
      </c>
      <c r="AT121" s="69">
        <f t="shared" ca="1" si="161"/>
        <v>0</v>
      </c>
      <c r="AU121" s="69">
        <f t="shared" ca="1" si="161"/>
        <v>0</v>
      </c>
      <c r="AV121" s="69">
        <f t="shared" si="161"/>
        <v>0</v>
      </c>
      <c r="AW121" s="69">
        <f t="shared" ca="1" si="144"/>
        <v>0</v>
      </c>
      <c r="AX121" s="69">
        <f t="shared" ca="1" si="145"/>
        <v>0</v>
      </c>
      <c r="AY121" s="69">
        <f t="shared" ca="1" si="146"/>
        <v>0</v>
      </c>
      <c r="AZ121" s="69">
        <f ca="1">$AO121*IF(Auswahllisten!$G$150,AZ$25+AZ$25*AZ$13*$AN121,AZ$25*(1+AZ$13)^$AN121)</f>
        <v>0</v>
      </c>
      <c r="BA121" s="69">
        <f ca="1">$AO121*IF(Auswahllisten!$G$150,BA$25+BA$25*BA$13*$AN121,BA$25*(1+BA$13)^$AN121)</f>
        <v>0</v>
      </c>
      <c r="BB121" s="69">
        <f ca="1">$AO121*IF(Auswahllisten!$G$150,BB$25+BB$25*BB$13*$AN121,BB$25*(1+BB$13)^$AN121)</f>
        <v>0</v>
      </c>
      <c r="BC121" s="69">
        <f ca="1">$AO121*IF(Auswahllisten!$G$150,BC$25+BC$25*BC$13*$AN121,BC$25*(1+BC$13)^$AN121)</f>
        <v>0</v>
      </c>
      <c r="BD121" s="69">
        <f t="shared" ca="1" si="147"/>
        <v>0</v>
      </c>
      <c r="BE121" s="69">
        <f t="shared" ca="1" si="148"/>
        <v>0</v>
      </c>
      <c r="BF121" s="69">
        <f t="shared" ca="1" si="149"/>
        <v>0</v>
      </c>
      <c r="BG121" s="69">
        <f t="shared" ca="1" si="125"/>
        <v>0</v>
      </c>
      <c r="BI121" s="69">
        <f t="shared" ca="1" si="150"/>
        <v>0</v>
      </c>
      <c r="BJ121" s="69">
        <f t="shared" ca="1" si="150"/>
        <v>0</v>
      </c>
      <c r="BK121" s="69">
        <f t="shared" si="150"/>
        <v>0</v>
      </c>
      <c r="BL121" s="69">
        <f t="shared" ca="1" si="150"/>
        <v>0</v>
      </c>
      <c r="BM121" s="69">
        <f t="shared" ca="1" si="150"/>
        <v>0</v>
      </c>
      <c r="BN121" s="69">
        <f t="shared" ca="1" si="150"/>
        <v>0</v>
      </c>
      <c r="BO121" s="69">
        <f t="shared" si="150"/>
        <v>0</v>
      </c>
      <c r="BP121" s="69">
        <f t="shared" ca="1" si="151"/>
        <v>0</v>
      </c>
      <c r="BQ121" s="69">
        <f t="shared" ca="1" si="152"/>
        <v>0</v>
      </c>
      <c r="BR121" s="69">
        <f t="shared" ca="1" si="153"/>
        <v>0</v>
      </c>
      <c r="BS121" s="69">
        <f ca="1">$AO121*IF(Auswahllisten!$G$150,BS$25+BS$25*BS$13*$AN121,BS$25*(1+BS$13)^$AN121)</f>
        <v>0</v>
      </c>
      <c r="BT121" s="69">
        <f ca="1">$AO121*IF(Auswahllisten!$G$150,BT$25+BT$25*BT$13*$AN121,BT$25*(1+BT$13)^$AN121)</f>
        <v>0</v>
      </c>
      <c r="BU121" s="69">
        <f ca="1">$AO121*IF(Auswahllisten!$G$150,BU$25+BU$25*BU$13*$AN121,BU$25*(1+BU$13)^$AN121)</f>
        <v>0</v>
      </c>
      <c r="BV121" s="69">
        <f ca="1">$AO121*IF(Auswahllisten!$G$150,BV$25+BV$25*BV$13*$AN121,BV$25*(1+BV$13)^$AN121)</f>
        <v>0</v>
      </c>
      <c r="BW121" s="69">
        <f t="shared" ca="1" si="127"/>
        <v>0</v>
      </c>
      <c r="BX121" s="69">
        <f t="shared" ca="1" si="154"/>
        <v>0</v>
      </c>
      <c r="BY121" s="69">
        <f t="shared" ca="1" si="155"/>
        <v>0</v>
      </c>
      <c r="BZ121" s="69">
        <f t="shared" ca="1" si="118"/>
        <v>0</v>
      </c>
    </row>
    <row r="122" spans="1:78">
      <c r="A122" s="305" t="s">
        <v>1228</v>
      </c>
      <c r="B122" s="126" t="s">
        <v>1013</v>
      </c>
      <c r="C122" s="126" t="s">
        <v>1016</v>
      </c>
      <c r="D122" s="26" t="str" cm="1">
        <f t="array" aca="1" ref="D122" ca="1">INDIRECT("Vergleich!"&amp;$G$2&amp;Z122)</f>
        <v>keine</v>
      </c>
      <c r="E122" s="26" cm="1">
        <f t="array" aca="1" ref="E122" ca="1">INDIRECT("Investition_gewählt!"&amp;$I$5&amp;AA122)</f>
        <v>500</v>
      </c>
      <c r="F122" s="25" cm="1">
        <f t="array" aca="1" ref="F122" ca="1">IF($C$5=0,0,INDEX(Faktoren!E105:GQ105,1,VLOOKUP($F$5,$L$2:$O$14,4,FALSE)+$C$9*5+VLOOKUP(D122,Auswahllisten!$E$25:$F$29,2,FALSE)))</f>
        <v>0</v>
      </c>
      <c r="G122" s="162">
        <f t="shared" ca="1" si="162"/>
        <v>0</v>
      </c>
      <c r="H122" s="26" cm="1">
        <f t="array" aca="1" ref="H122" ca="1">INDIRECT("Investition_gewählt!"&amp;$I$6&amp;AA122)</f>
        <v>500</v>
      </c>
      <c r="I122" s="25" cm="1">
        <f t="array" aca="1" ref="I122" ca="1">IF($C$5=0,0,INDEX(Faktoren!E105:GQ105,1,VLOOKUP($F$6,$L$2:$O$14,4,FALSE)+$C$9*5+VLOOKUP(D122,Auswahllisten!$E$25:$F$29,2,FALSE)))</f>
        <v>0</v>
      </c>
      <c r="J122" s="162">
        <f t="shared" ca="1" si="163"/>
        <v>0</v>
      </c>
      <c r="K122" s="26">
        <f t="shared" ca="1" si="164"/>
        <v>0</v>
      </c>
      <c r="L122" s="26">
        <v>1</v>
      </c>
      <c r="M122" s="26">
        <f t="shared" ca="1" si="165"/>
        <v>0</v>
      </c>
      <c r="Z122" s="1">
        <v>79</v>
      </c>
      <c r="AA122" s="1">
        <v>105</v>
      </c>
      <c r="AB122" s="1">
        <v>-2</v>
      </c>
      <c r="AN122" s="1">
        <v>97</v>
      </c>
      <c r="AO122" s="1">
        <f t="shared" si="142"/>
        <v>0</v>
      </c>
      <c r="AP122" s="69">
        <f t="shared" ca="1" si="161"/>
        <v>0</v>
      </c>
      <c r="AQ122" s="69">
        <f t="shared" ca="1" si="161"/>
        <v>0</v>
      </c>
      <c r="AR122" s="69">
        <f t="shared" si="161"/>
        <v>0</v>
      </c>
      <c r="AS122" s="69">
        <f t="shared" ca="1" si="161"/>
        <v>0</v>
      </c>
      <c r="AT122" s="69">
        <f t="shared" ca="1" si="161"/>
        <v>0</v>
      </c>
      <c r="AU122" s="69">
        <f t="shared" ca="1" si="161"/>
        <v>0</v>
      </c>
      <c r="AV122" s="69">
        <f t="shared" si="161"/>
        <v>0</v>
      </c>
      <c r="AW122" s="69">
        <f t="shared" ca="1" si="144"/>
        <v>0</v>
      </c>
      <c r="AX122" s="69">
        <f t="shared" ca="1" si="145"/>
        <v>0</v>
      </c>
      <c r="AY122" s="69">
        <f t="shared" ca="1" si="146"/>
        <v>0</v>
      </c>
      <c r="AZ122" s="69">
        <f ca="1">$AO122*IF(Auswahllisten!$G$150,AZ$25+AZ$25*AZ$13*$AN122,AZ$25*(1+AZ$13)^$AN122)</f>
        <v>0</v>
      </c>
      <c r="BA122" s="69">
        <f ca="1">$AO122*IF(Auswahllisten!$G$150,BA$25+BA$25*BA$13*$AN122,BA$25*(1+BA$13)^$AN122)</f>
        <v>0</v>
      </c>
      <c r="BB122" s="69">
        <f ca="1">$AO122*IF(Auswahllisten!$G$150,BB$25+BB$25*BB$13*$AN122,BB$25*(1+BB$13)^$AN122)</f>
        <v>0</v>
      </c>
      <c r="BC122" s="69">
        <f ca="1">$AO122*IF(Auswahllisten!$G$150,BC$25+BC$25*BC$13*$AN122,BC$25*(1+BC$13)^$AN122)</f>
        <v>0</v>
      </c>
      <c r="BD122" s="69">
        <f t="shared" ca="1" si="147"/>
        <v>0</v>
      </c>
      <c r="BE122" s="69">
        <f t="shared" ca="1" si="148"/>
        <v>0</v>
      </c>
      <c r="BF122" s="69">
        <f t="shared" ca="1" si="149"/>
        <v>0</v>
      </c>
      <c r="BG122" s="69">
        <f t="shared" ca="1" si="125"/>
        <v>0</v>
      </c>
      <c r="BI122" s="69">
        <f t="shared" ca="1" si="150"/>
        <v>0</v>
      </c>
      <c r="BJ122" s="69">
        <f t="shared" ca="1" si="150"/>
        <v>0</v>
      </c>
      <c r="BK122" s="69">
        <f t="shared" si="150"/>
        <v>0</v>
      </c>
      <c r="BL122" s="69">
        <f t="shared" ca="1" si="150"/>
        <v>0</v>
      </c>
      <c r="BM122" s="69">
        <f t="shared" ca="1" si="150"/>
        <v>0</v>
      </c>
      <c r="BN122" s="69">
        <f t="shared" ca="1" si="150"/>
        <v>0</v>
      </c>
      <c r="BO122" s="69">
        <f t="shared" si="150"/>
        <v>0</v>
      </c>
      <c r="BP122" s="69">
        <f t="shared" ca="1" si="151"/>
        <v>0</v>
      </c>
      <c r="BQ122" s="69">
        <f t="shared" ca="1" si="152"/>
        <v>0</v>
      </c>
      <c r="BR122" s="69">
        <f t="shared" ca="1" si="153"/>
        <v>0</v>
      </c>
      <c r="BS122" s="69">
        <f ca="1">$AO122*IF(Auswahllisten!$G$150,BS$25+BS$25*BS$13*$AN122,BS$25*(1+BS$13)^$AN122)</f>
        <v>0</v>
      </c>
      <c r="BT122" s="69">
        <f ca="1">$AO122*IF(Auswahllisten!$G$150,BT$25+BT$25*BT$13*$AN122,BT$25*(1+BT$13)^$AN122)</f>
        <v>0</v>
      </c>
      <c r="BU122" s="69">
        <f ca="1">$AO122*IF(Auswahllisten!$G$150,BU$25+BU$25*BU$13*$AN122,BU$25*(1+BU$13)^$AN122)</f>
        <v>0</v>
      </c>
      <c r="BV122" s="69">
        <f ca="1">$AO122*IF(Auswahllisten!$G$150,BV$25+BV$25*BV$13*$AN122,BV$25*(1+BV$13)^$AN122)</f>
        <v>0</v>
      </c>
      <c r="BW122" s="69">
        <f t="shared" ca="1" si="127"/>
        <v>0</v>
      </c>
      <c r="BX122" s="69">
        <f t="shared" ca="1" si="154"/>
        <v>0</v>
      </c>
      <c r="BY122" s="69">
        <f t="shared" ca="1" si="155"/>
        <v>0</v>
      </c>
      <c r="BZ122" s="69">
        <f t="shared" ca="1" si="118"/>
        <v>0</v>
      </c>
    </row>
    <row r="123" spans="1:78">
      <c r="A123" s="305" t="s">
        <v>1228</v>
      </c>
      <c r="B123" s="126" t="s">
        <v>1013</v>
      </c>
      <c r="C123" s="126" t="s">
        <v>1018</v>
      </c>
      <c r="D123" s="26" t="str" cm="1">
        <f t="array" aca="1" ref="D123" ca="1">INDIRECT("Vergleich!"&amp;$G$2&amp;Z123)</f>
        <v>keine</v>
      </c>
      <c r="E123" s="26" cm="1">
        <f t="array" aca="1" ref="E123" ca="1">INDIRECT("Investition_gewählt!"&amp;$I$5&amp;AA123)</f>
        <v>750</v>
      </c>
      <c r="F123" s="25" cm="1">
        <f t="array" aca="1" ref="F123" ca="1">IF($C$5=0,0,INDEX(Faktoren!E106:GQ106,1,VLOOKUP($F$5,$L$2:$O$14,4,FALSE)+$C$9*5+VLOOKUP(D123,Auswahllisten!$E$25:$F$29,2,FALSE)))</f>
        <v>0</v>
      </c>
      <c r="G123" s="162">
        <f t="shared" ca="1" si="162"/>
        <v>0</v>
      </c>
      <c r="H123" s="26" cm="1">
        <f t="array" aca="1" ref="H123" ca="1">INDIRECT("Investition_gewählt!"&amp;$I$6&amp;AA123)</f>
        <v>750</v>
      </c>
      <c r="I123" s="25" cm="1">
        <f t="array" aca="1" ref="I123" ca="1">IF($C$5=0,0,INDEX(Faktoren!E106:GQ106,1,VLOOKUP($F$6,$L$2:$O$14,4,FALSE)+$C$9*5+VLOOKUP(D123,Auswahllisten!$E$25:$F$29,2,FALSE)))</f>
        <v>0</v>
      </c>
      <c r="J123" s="162">
        <f t="shared" ca="1" si="163"/>
        <v>0</v>
      </c>
      <c r="K123" s="26">
        <f t="shared" ca="1" si="164"/>
        <v>0</v>
      </c>
      <c r="L123" s="26">
        <v>1</v>
      </c>
      <c r="M123" s="26">
        <f t="shared" ca="1" si="165"/>
        <v>0</v>
      </c>
      <c r="Z123" s="1">
        <v>80</v>
      </c>
      <c r="AA123" s="1">
        <v>106</v>
      </c>
      <c r="AB123" s="1">
        <v>-2</v>
      </c>
      <c r="AN123" s="1">
        <v>98</v>
      </c>
      <c r="AO123" s="1">
        <f t="shared" si="142"/>
        <v>0</v>
      </c>
      <c r="AP123" s="69">
        <f t="shared" ca="1" si="161"/>
        <v>0</v>
      </c>
      <c r="AQ123" s="69">
        <f t="shared" ca="1" si="161"/>
        <v>0</v>
      </c>
      <c r="AR123" s="69">
        <f t="shared" si="161"/>
        <v>0</v>
      </c>
      <c r="AS123" s="69">
        <f t="shared" ca="1" si="161"/>
        <v>0</v>
      </c>
      <c r="AT123" s="69">
        <f t="shared" ca="1" si="161"/>
        <v>0</v>
      </c>
      <c r="AU123" s="69">
        <f t="shared" ca="1" si="161"/>
        <v>0</v>
      </c>
      <c r="AV123" s="69">
        <f t="shared" si="161"/>
        <v>0</v>
      </c>
      <c r="AW123" s="69">
        <f t="shared" ca="1" si="144"/>
        <v>0</v>
      </c>
      <c r="AX123" s="69">
        <f t="shared" ca="1" si="145"/>
        <v>0</v>
      </c>
      <c r="AY123" s="69">
        <f t="shared" ca="1" si="146"/>
        <v>0</v>
      </c>
      <c r="AZ123" s="69">
        <f ca="1">$AO123*IF(Auswahllisten!$G$150,AZ$25+AZ$25*AZ$13*$AN123,AZ$25*(1+AZ$13)^$AN123)</f>
        <v>0</v>
      </c>
      <c r="BA123" s="69">
        <f ca="1">$AO123*IF(Auswahllisten!$G$150,BA$25+BA$25*BA$13*$AN123,BA$25*(1+BA$13)^$AN123)</f>
        <v>0</v>
      </c>
      <c r="BB123" s="69">
        <f ca="1">$AO123*IF(Auswahllisten!$G$150,BB$25+BB$25*BB$13*$AN123,BB$25*(1+BB$13)^$AN123)</f>
        <v>0</v>
      </c>
      <c r="BC123" s="69">
        <f ca="1">$AO123*IF(Auswahllisten!$G$150,BC$25+BC$25*BC$13*$AN123,BC$25*(1+BC$13)^$AN123)</f>
        <v>0</v>
      </c>
      <c r="BD123" s="69">
        <f t="shared" ca="1" si="147"/>
        <v>0</v>
      </c>
      <c r="BE123" s="69">
        <f t="shared" ca="1" si="148"/>
        <v>0</v>
      </c>
      <c r="BF123" s="69">
        <f t="shared" ca="1" si="149"/>
        <v>0</v>
      </c>
      <c r="BG123" s="69">
        <f t="shared" ca="1" si="125"/>
        <v>0</v>
      </c>
      <c r="BI123" s="69">
        <f t="shared" ca="1" si="150"/>
        <v>0</v>
      </c>
      <c r="BJ123" s="69">
        <f t="shared" ca="1" si="150"/>
        <v>0</v>
      </c>
      <c r="BK123" s="69">
        <f t="shared" si="150"/>
        <v>0</v>
      </c>
      <c r="BL123" s="69">
        <f t="shared" ca="1" si="150"/>
        <v>0</v>
      </c>
      <c r="BM123" s="69">
        <f t="shared" ca="1" si="150"/>
        <v>0</v>
      </c>
      <c r="BN123" s="69">
        <f t="shared" ca="1" si="150"/>
        <v>0</v>
      </c>
      <c r="BO123" s="69">
        <f t="shared" si="150"/>
        <v>0</v>
      </c>
      <c r="BP123" s="69">
        <f t="shared" ref="BP123:BP125" ca="1" si="166">SUM(BI123:BO123)/(1+$AS$11)^AN123</f>
        <v>0</v>
      </c>
      <c r="BQ123" s="69">
        <f t="shared" ca="1" si="152"/>
        <v>0</v>
      </c>
      <c r="BR123" s="69">
        <f t="shared" ca="1" si="153"/>
        <v>0</v>
      </c>
      <c r="BS123" s="69">
        <f ca="1">$AO123*IF(Auswahllisten!$G$150,BS$25+BS$25*BS$13*$AN123,BS$25*(1+BS$13)^$AN123)</f>
        <v>0</v>
      </c>
      <c r="BT123" s="69">
        <f ca="1">$AO123*IF(Auswahllisten!$G$150,BT$25+BT$25*BT$13*$AN123,BT$25*(1+BT$13)^$AN123)</f>
        <v>0</v>
      </c>
      <c r="BU123" s="69">
        <f ca="1">$AO123*IF(Auswahllisten!$G$150,BU$25+BU$25*BU$13*$AN123,BU$25*(1+BU$13)^$AN123)</f>
        <v>0</v>
      </c>
      <c r="BV123" s="69">
        <f ca="1">$AO123*IF(Auswahllisten!$G$150,BV$25+BV$25*BV$13*$AN123,BV$25*(1+BV$13)^$AN123)</f>
        <v>0</v>
      </c>
      <c r="BW123" s="69">
        <f t="shared" ca="1" si="127"/>
        <v>0</v>
      </c>
      <c r="BX123" s="69">
        <f t="shared" ca="1" si="154"/>
        <v>0</v>
      </c>
      <c r="BY123" s="69">
        <f t="shared" ca="1" si="155"/>
        <v>0</v>
      </c>
      <c r="BZ123" s="69">
        <f t="shared" ca="1" si="118"/>
        <v>0</v>
      </c>
    </row>
    <row r="124" spans="1:78">
      <c r="A124" s="305" t="s">
        <v>1228</v>
      </c>
      <c r="B124" s="126" t="s">
        <v>1013</v>
      </c>
      <c r="C124" s="126" t="s">
        <v>1019</v>
      </c>
      <c r="D124" s="26" t="str" cm="1">
        <f t="array" aca="1" ref="D124" ca="1">INDIRECT("Vergleich!"&amp;$G$2&amp;Z124)</f>
        <v>keine</v>
      </c>
      <c r="E124" s="26" cm="1">
        <f t="array" aca="1" ref="E124" ca="1">INDIRECT("Investition_gewählt!"&amp;$I$5&amp;AA124)</f>
        <v>1000</v>
      </c>
      <c r="F124" s="25" cm="1">
        <f t="array" aca="1" ref="F124" ca="1">IF($C$5=0,0,INDEX(Faktoren!E107:GQ107,1,VLOOKUP($F$5,$L$2:$O$14,4,FALSE)+$C$9*5+VLOOKUP(D124,Auswahllisten!$E$25:$F$29,2,FALSE)))</f>
        <v>0</v>
      </c>
      <c r="G124" s="162">
        <f t="shared" ca="1" si="162"/>
        <v>0</v>
      </c>
      <c r="H124" s="26" cm="1">
        <f t="array" aca="1" ref="H124" ca="1">INDIRECT("Investition_gewählt!"&amp;$I$6&amp;AA124)</f>
        <v>1000</v>
      </c>
      <c r="I124" s="25" cm="1">
        <f t="array" aca="1" ref="I124" ca="1">IF($C$5=0,0,INDEX(Faktoren!E107:GQ107,1,VLOOKUP($F$6,$L$2:$O$14,4,FALSE)+$C$9*5+VLOOKUP(D124,Auswahllisten!$E$25:$F$29,2,FALSE)))</f>
        <v>0</v>
      </c>
      <c r="J124" s="162">
        <f t="shared" ca="1" si="163"/>
        <v>0</v>
      </c>
      <c r="K124" s="26">
        <f t="shared" ca="1" si="164"/>
        <v>0</v>
      </c>
      <c r="L124" s="26">
        <v>1</v>
      </c>
      <c r="M124" s="26">
        <f t="shared" ca="1" si="165"/>
        <v>0</v>
      </c>
      <c r="Z124" s="1">
        <v>81</v>
      </c>
      <c r="AA124" s="1">
        <v>107</v>
      </c>
      <c r="AB124" s="1">
        <v>-2</v>
      </c>
      <c r="AN124" s="1">
        <v>99</v>
      </c>
      <c r="AO124" s="1">
        <f t="shared" si="142"/>
        <v>0</v>
      </c>
      <c r="AP124" s="69">
        <f t="shared" ca="1" si="161"/>
        <v>0</v>
      </c>
      <c r="AQ124" s="69">
        <f t="shared" ca="1" si="161"/>
        <v>0</v>
      </c>
      <c r="AR124" s="69">
        <f t="shared" si="161"/>
        <v>0</v>
      </c>
      <c r="AS124" s="69">
        <f t="shared" ca="1" si="161"/>
        <v>0</v>
      </c>
      <c r="AT124" s="69">
        <f t="shared" ca="1" si="161"/>
        <v>0</v>
      </c>
      <c r="AU124" s="69">
        <f t="shared" ca="1" si="161"/>
        <v>0</v>
      </c>
      <c r="AV124" s="69">
        <f t="shared" si="161"/>
        <v>0</v>
      </c>
      <c r="AW124" s="69">
        <f t="shared" ca="1" si="144"/>
        <v>0</v>
      </c>
      <c r="AX124" s="69">
        <f t="shared" ca="1" si="145"/>
        <v>0</v>
      </c>
      <c r="AY124" s="69">
        <f t="shared" ca="1" si="146"/>
        <v>0</v>
      </c>
      <c r="AZ124" s="69">
        <f ca="1">$AO124*IF(Auswahllisten!$G$150,AZ$25+AZ$25*AZ$13*$AN124,AZ$25*(1+AZ$13)^$AN124)</f>
        <v>0</v>
      </c>
      <c r="BA124" s="69">
        <f ca="1">$AO124*IF(Auswahllisten!$G$150,BA$25+BA$25*BA$13*$AN124,BA$25*(1+BA$13)^$AN124)</f>
        <v>0</v>
      </c>
      <c r="BB124" s="69">
        <f ca="1">$AO124*IF(Auswahllisten!$G$150,BB$25+BB$25*BB$13*$AN124,BB$25*(1+BB$13)^$AN124)</f>
        <v>0</v>
      </c>
      <c r="BC124" s="69">
        <f ca="1">$AO124*IF(Auswahllisten!$G$150,BC$25+BC$25*BC$13*$AN124,BC$25*(1+BC$13)^$AN124)</f>
        <v>0</v>
      </c>
      <c r="BD124" s="69">
        <f t="shared" ca="1" si="147"/>
        <v>0</v>
      </c>
      <c r="BE124" s="69">
        <f t="shared" ca="1" si="148"/>
        <v>0</v>
      </c>
      <c r="BF124" s="69">
        <f t="shared" ca="1" si="149"/>
        <v>0</v>
      </c>
      <c r="BG124" s="69">
        <f t="shared" ca="1" si="125"/>
        <v>0</v>
      </c>
      <c r="BI124" s="69">
        <f t="shared" ca="1" si="150"/>
        <v>0</v>
      </c>
      <c r="BJ124" s="69">
        <f t="shared" ca="1" si="150"/>
        <v>0</v>
      </c>
      <c r="BK124" s="69">
        <f t="shared" si="150"/>
        <v>0</v>
      </c>
      <c r="BL124" s="69">
        <f t="shared" ca="1" si="150"/>
        <v>0</v>
      </c>
      <c r="BM124" s="69">
        <f t="shared" ca="1" si="150"/>
        <v>0</v>
      </c>
      <c r="BN124" s="69">
        <f t="shared" ca="1" si="150"/>
        <v>0</v>
      </c>
      <c r="BO124" s="69">
        <f t="shared" si="150"/>
        <v>0</v>
      </c>
      <c r="BP124" s="69">
        <f t="shared" ca="1" si="166"/>
        <v>0</v>
      </c>
      <c r="BQ124" s="69">
        <f t="shared" ca="1" si="152"/>
        <v>0</v>
      </c>
      <c r="BR124" s="69">
        <f t="shared" ca="1" si="153"/>
        <v>0</v>
      </c>
      <c r="BS124" s="69">
        <f ca="1">$AO124*IF(Auswahllisten!$G$150,BS$25+BS$25*BS$13*$AN124,BS$25*(1+BS$13)^$AN124)</f>
        <v>0</v>
      </c>
      <c r="BT124" s="69">
        <f ca="1">$AO124*IF(Auswahllisten!$G$150,BT$25+BT$25*BT$13*$AN124,BT$25*(1+BT$13)^$AN124)</f>
        <v>0</v>
      </c>
      <c r="BU124" s="69">
        <f ca="1">$AO124*IF(Auswahllisten!$G$150,BU$25+BU$25*BU$13*$AN124,BU$25*(1+BU$13)^$AN124)</f>
        <v>0</v>
      </c>
      <c r="BV124" s="69">
        <f ca="1">$AO124*IF(Auswahllisten!$G$150,BV$25+BV$25*BV$13*$AN124,BV$25*(1+BV$13)^$AN124)</f>
        <v>0</v>
      </c>
      <c r="BW124" s="69">
        <f t="shared" ca="1" si="127"/>
        <v>0</v>
      </c>
      <c r="BX124" s="69">
        <f t="shared" ca="1" si="154"/>
        <v>0</v>
      </c>
      <c r="BY124" s="69">
        <f t="shared" ca="1" si="155"/>
        <v>0</v>
      </c>
      <c r="BZ124" s="69">
        <f t="shared" ca="1" si="118"/>
        <v>0</v>
      </c>
    </row>
    <row r="125" spans="1:78">
      <c r="A125" s="306" t="s">
        <v>1228</v>
      </c>
      <c r="B125" s="297" t="s">
        <v>1013</v>
      </c>
      <c r="C125" s="134" t="s">
        <v>1021</v>
      </c>
      <c r="D125" s="163" t="str" cm="1">
        <f t="array" aca="1" ref="D125" ca="1">INDIRECT("Vergleich!"&amp;$G$2&amp;Z125)</f>
        <v>keine</v>
      </c>
      <c r="E125" s="163" cm="1">
        <f t="array" aca="1" ref="E125" ca="1">INDIRECT("Investition_gewählt!"&amp;$I$5&amp;AA125)</f>
        <v>0</v>
      </c>
      <c r="F125" s="61" cm="1">
        <f t="array" aca="1" ref="F125" ca="1">IF($C$5=0,0,INDEX(Faktoren!E108:GQ108,1,VLOOKUP($F$5,$L$2:$O$14,4,FALSE)+$C$9*5+VLOOKUP(D125,Auswahllisten!$E$25:$F$29,2,FALSE)))</f>
        <v>0</v>
      </c>
      <c r="G125" s="216">
        <f t="shared" ca="1" si="162"/>
        <v>0</v>
      </c>
      <c r="H125" s="163" cm="1">
        <f t="array" aca="1" ref="H125" ca="1">INDIRECT("Investition_gewählt!"&amp;$I$6&amp;AA125)</f>
        <v>0</v>
      </c>
      <c r="I125" s="61" cm="1">
        <f t="array" aca="1" ref="I125" ca="1">IF($C$5=0,0,INDEX(Faktoren!E108:GQ108,1,VLOOKUP($F$6,$L$2:$O$14,4,FALSE)+$C$9*5+VLOOKUP(D125,Auswahllisten!$E$25:$F$29,2,FALSE)))</f>
        <v>0</v>
      </c>
      <c r="J125" s="216">
        <f t="shared" ca="1" si="163"/>
        <v>0</v>
      </c>
      <c r="K125" s="163">
        <f t="shared" ca="1" si="164"/>
        <v>0</v>
      </c>
      <c r="L125" s="163">
        <v>1</v>
      </c>
      <c r="M125" s="163">
        <f t="shared" ca="1" si="165"/>
        <v>0</v>
      </c>
      <c r="Z125" s="1">
        <v>82</v>
      </c>
      <c r="AA125" s="1">
        <v>108</v>
      </c>
      <c r="AB125" s="1">
        <v>-2</v>
      </c>
      <c r="AN125" s="1">
        <v>100</v>
      </c>
      <c r="AO125" s="1">
        <f t="shared" si="142"/>
        <v>0</v>
      </c>
      <c r="AP125" s="69">
        <f t="shared" ca="1" si="161"/>
        <v>0</v>
      </c>
      <c r="AQ125" s="69">
        <f t="shared" ca="1" si="161"/>
        <v>0</v>
      </c>
      <c r="AR125" s="69">
        <f t="shared" ca="1" si="161"/>
        <v>0</v>
      </c>
      <c r="AS125" s="69">
        <f t="shared" ca="1" si="161"/>
        <v>0</v>
      </c>
      <c r="AT125" s="69">
        <f t="shared" ca="1" si="161"/>
        <v>0</v>
      </c>
      <c r="AU125" s="69">
        <f t="shared" ca="1" si="161"/>
        <v>0</v>
      </c>
      <c r="AV125" s="69">
        <f t="shared" ca="1" si="161"/>
        <v>0</v>
      </c>
      <c r="AW125" s="69">
        <f t="shared" ca="1" si="144"/>
        <v>0</v>
      </c>
      <c r="AX125" s="69">
        <f t="shared" ca="1" si="145"/>
        <v>0</v>
      </c>
      <c r="AY125" s="69">
        <f t="shared" ca="1" si="146"/>
        <v>0</v>
      </c>
      <c r="AZ125" s="69">
        <f ca="1">$AO125*IF(Auswahllisten!$G$150,AZ$25+AZ$25*AZ$13*$AN125,AZ$25*(1+AZ$13)^$AN125)</f>
        <v>0</v>
      </c>
      <c r="BA125" s="69">
        <f ca="1">$AO125*IF(Auswahllisten!$G$150,BA$25+BA$25*BA$13*$AN125,BA$25*(1+BA$13)^$AN125)</f>
        <v>0</v>
      </c>
      <c r="BB125" s="69">
        <f ca="1">$AO125*IF(Auswahllisten!$G$150,BB$25+BB$25*BB$13*$AN125,BB$25*(1+BB$13)^$AN125)</f>
        <v>0</v>
      </c>
      <c r="BC125" s="69">
        <f ca="1">$AO125*IF(Auswahllisten!$G$150,BC$25+BC$25*BC$13*$AN125,BC$25*(1+BC$13)^$AN125)</f>
        <v>0</v>
      </c>
      <c r="BD125" s="69">
        <f t="shared" ca="1" si="147"/>
        <v>0</v>
      </c>
      <c r="BE125" s="69">
        <f t="shared" ca="1" si="148"/>
        <v>0</v>
      </c>
      <c r="BF125" s="69">
        <f t="shared" ca="1" si="149"/>
        <v>0</v>
      </c>
      <c r="BG125" s="69">
        <f t="shared" ca="1" si="125"/>
        <v>0</v>
      </c>
      <c r="BI125" s="69">
        <f t="shared" ca="1" si="150"/>
        <v>0</v>
      </c>
      <c r="BJ125" s="69">
        <f t="shared" ca="1" si="150"/>
        <v>0</v>
      </c>
      <c r="BK125" s="69">
        <f t="shared" si="150"/>
        <v>0</v>
      </c>
      <c r="BL125" s="69">
        <f t="shared" ca="1" si="150"/>
        <v>0</v>
      </c>
      <c r="BM125" s="69">
        <f t="shared" ca="1" si="150"/>
        <v>0</v>
      </c>
      <c r="BN125" s="69">
        <f t="shared" ca="1" si="150"/>
        <v>0</v>
      </c>
      <c r="BO125" s="69">
        <f t="shared" si="150"/>
        <v>0</v>
      </c>
      <c r="BP125" s="69">
        <f t="shared" ca="1" si="166"/>
        <v>0</v>
      </c>
      <c r="BQ125" s="69">
        <f t="shared" ca="1" si="152"/>
        <v>0</v>
      </c>
      <c r="BR125" s="69">
        <f t="shared" ca="1" si="153"/>
        <v>0</v>
      </c>
      <c r="BS125" s="69">
        <f ca="1">$AO125*IF(Auswahllisten!$G$150,BS$25+BS$25*BS$13*$AN125,BS$25*(1+BS$13)^$AN125)</f>
        <v>0</v>
      </c>
      <c r="BT125" s="69">
        <f ca="1">$AO125*IF(Auswahllisten!$G$150,BT$25+BT$25*BT$13*$AN125,BT$25*(1+BT$13)^$AN125)</f>
        <v>0</v>
      </c>
      <c r="BU125" s="69">
        <f ca="1">$AO125*IF(Auswahllisten!$G$150,BU$25+BU$25*BU$13*$AN125,BU$25*(1+BU$13)^$AN125)</f>
        <v>0</v>
      </c>
      <c r="BV125" s="69">
        <f ca="1">$AO125*IF(Auswahllisten!$G$150,BV$25+BV$25*BV$13*$AN125,BV$25*(1+BV$13)^$AN125)</f>
        <v>0</v>
      </c>
      <c r="BW125" s="69">
        <f t="shared" ca="1" si="127"/>
        <v>0</v>
      </c>
      <c r="BX125" s="69">
        <f t="shared" ca="1" si="154"/>
        <v>0</v>
      </c>
      <c r="BY125" s="69">
        <f t="shared" ca="1" si="155"/>
        <v>0</v>
      </c>
      <c r="BZ125" s="69">
        <f t="shared" ca="1" si="118"/>
        <v>0</v>
      </c>
    </row>
    <row r="126" spans="1:78">
      <c r="A126" s="125"/>
      <c r="B126" s="64"/>
      <c r="C126" s="64"/>
      <c r="D126" s="69"/>
      <c r="E126" s="69"/>
      <c r="G126" s="69"/>
      <c r="H126" s="69"/>
      <c r="J126" s="69"/>
      <c r="K126" s="69"/>
      <c r="L126" s="69"/>
      <c r="M126" s="69"/>
      <c r="AA126" s="1">
        <v>109</v>
      </c>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A127" s="125"/>
      <c r="B127" s="125" t="s">
        <v>968</v>
      </c>
      <c r="C127" s="64"/>
      <c r="D127" s="393"/>
      <c r="E127" s="393"/>
      <c r="F127" s="394"/>
      <c r="G127" s="393"/>
      <c r="H127" s="393"/>
      <c r="I127" s="394"/>
      <c r="J127" s="393"/>
      <c r="K127" s="393"/>
      <c r="L127" s="393"/>
      <c r="M127" s="393"/>
      <c r="O127" s="394"/>
      <c r="P127" s="394"/>
      <c r="Q127" s="394"/>
      <c r="R127" s="394"/>
      <c r="S127" s="394"/>
      <c r="T127" s="394"/>
      <c r="U127" s="394"/>
      <c r="V127" s="394"/>
      <c r="W127" s="394"/>
      <c r="X127" s="394"/>
      <c r="AA127" s="1">
        <v>110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A128" s="304" t="s">
        <v>1229</v>
      </c>
      <c r="B128" s="131" t="s">
        <v>1246</v>
      </c>
      <c r="C128" s="131" t="s">
        <v>1025</v>
      </c>
      <c r="D128" s="162" t="str" cm="1">
        <f t="array" aca="1" ref="D128" ca="1">INDIRECT("Vergleich!"&amp;$G$2&amp;Z128)</f>
        <v>mittel</v>
      </c>
      <c r="E128" s="162" cm="1">
        <f t="array" aca="1" ref="E128" ca="1">INDIRECT("Investition_gewählt!"&amp;$I$5&amp;AA128)</f>
        <v>3000</v>
      </c>
      <c r="F128" s="25" cm="1">
        <f t="array" aca="1" ref="F128" ca="1">IF($C$5=0,0,INDEX(Faktoren!E111:GQ111,1,VLOOKUP($F$5,$L$2:$O$14,4,FALSE)+$C$9*5+VLOOKUP(D128,Auswahllisten!$E$25:$F$29,2,FALSE)))</f>
        <v>0</v>
      </c>
      <c r="G128" s="162">
        <f t="shared" ref="G128:G134" ca="1" si="167">E128*F128</f>
        <v>0</v>
      </c>
      <c r="H128" s="162" cm="1">
        <f t="array" aca="1" ref="H128" ca="1">INDIRECT("Investition_gewählt!"&amp;$I$6&amp;AA128)</f>
        <v>3000</v>
      </c>
      <c r="I128" s="25" cm="1">
        <f t="array" aca="1" ref="I128" ca="1">IF($C$5=0,0,INDEX(Faktoren!E111:GQ111,1,VLOOKUP($F$6,$L$2:$O$14,4,FALSE)+$C$9*5+VLOOKUP(D128,Auswahllisten!$E$25:$F$29,2,FALSE)))</f>
        <v>0</v>
      </c>
      <c r="J128" s="162">
        <f t="shared" ref="J128:J134" ca="1" si="168">H128*I128</f>
        <v>0</v>
      </c>
      <c r="K128" s="162">
        <f t="shared" ref="K128:K133" ca="1" si="169">IF($C$5=0,0,G128+(J128-G128)*($C$6-$F$5)/($F$6-$F$5))</f>
        <v>0</v>
      </c>
      <c r="L128" s="162" t="b">
        <f ca="1">OR(C5=2,C5=10,C5=11,C5=12,C5=13)</f>
        <v>0</v>
      </c>
      <c r="M128" s="162">
        <f t="shared" ref="M128:M134" ca="1" si="170">IFERROR(ROUND(K128*L128,AB128),0)</f>
        <v>0</v>
      </c>
      <c r="O128" s="25" t="str" cm="1">
        <f t="array" aca="1" ref="O128" ca="1">INDIRECT("Vergleich!"&amp;$Y$2&amp;Z128)</f>
        <v>gering</v>
      </c>
      <c r="P128" s="162" cm="1">
        <f t="array" aca="1" ref="P128" ca="1">INDIRECT("Investition_gewählt!"&amp;$AA$5&amp;AA128)</f>
        <v>3000</v>
      </c>
      <c r="Q128" s="25" cm="1">
        <f t="array" aca="1" ref="Q128" ca="1">IF($U$5=0,0,INDEX(Faktoren!T111:GQ111,1,VLOOKUP($X$5,$L$2:$O$14,4,FALSE)+$U$9*5+VLOOKUP(O128,Auswahllisten!$E$25:$F$28,2,FALSE)))</f>
        <v>0</v>
      </c>
      <c r="R128" s="162">
        <f t="shared" ref="R128:R134" ca="1" si="171">P128*Q128</f>
        <v>0</v>
      </c>
      <c r="S128" s="162" cm="1">
        <f t="array" aca="1" ref="S128" ca="1">INDIRECT("Investition_gewählt!"&amp;$AA$6&amp;AA128)</f>
        <v>3000</v>
      </c>
      <c r="T128" s="25" cm="1">
        <f t="array" aca="1" ref="T128" ca="1">IF($U$5=0,0,INDEX(Faktoren!T111:GQ111,1,VLOOKUP($X$6,$L$2:$O$14,4,FALSE)+$U$9*5+VLOOKUP(O128,Auswahllisten!$E$25:$F$28,2,FALSE)))</f>
        <v>0</v>
      </c>
      <c r="U128" s="162">
        <f t="shared" ref="U128:U134" ca="1" si="172">S128*T128</f>
        <v>0</v>
      </c>
      <c r="V128" s="162">
        <f t="shared" ca="1" si="115"/>
        <v>0</v>
      </c>
      <c r="W128" s="162" t="b">
        <f ca="1">OR(U5=2,U5=10,U5=11,U5=12,U5=13)</f>
        <v>0</v>
      </c>
      <c r="X128" s="162">
        <f ca="1">IFERROR(ROUND(V128*W128,AB128),0)</f>
        <v>0</v>
      </c>
      <c r="Z128" s="1">
        <v>57</v>
      </c>
      <c r="AA128" s="1">
        <v>111</v>
      </c>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305" t="s">
        <v>1230</v>
      </c>
      <c r="B129" s="126" t="s">
        <v>1247</v>
      </c>
      <c r="C129" s="126" t="s">
        <v>1027</v>
      </c>
      <c r="D129" s="26" t="str" cm="1">
        <f t="array" aca="1" ref="D129" ca="1">INDIRECT("Vergleich!"&amp;$G$2&amp;Z129)</f>
        <v>mittel</v>
      </c>
      <c r="E129" s="26" cm="1">
        <f t="array" aca="1" ref="E129" ca="1">INDIRECT("Investition_gewählt!"&amp;$I$5&amp;AA129)</f>
        <v>2500</v>
      </c>
      <c r="F129" s="25" cm="1">
        <f t="array" aca="1" ref="F129" ca="1">IF($C$5=0,0,INDEX(Faktoren!E112:GQ112,1,VLOOKUP($F$5,$L$2:$O$14,4,FALSE)+$C$9*5+VLOOKUP(D129,Auswahllisten!$E$25:$F$29,2,FALSE)))</f>
        <v>0</v>
      </c>
      <c r="G129" s="162">
        <f t="shared" ca="1" si="167"/>
        <v>0</v>
      </c>
      <c r="H129" s="26" cm="1">
        <f t="array" aca="1" ref="H129" ca="1">INDIRECT("Investition_gewählt!"&amp;$I$6&amp;AA129)</f>
        <v>2500</v>
      </c>
      <c r="I129" s="25" cm="1">
        <f t="array" aca="1" ref="I129" ca="1">IF($C$5=0,0,INDEX(Faktoren!E112:GQ112,1,VLOOKUP($F$6,$L$2:$O$14,4,FALSE)+$C$9*5+VLOOKUP(D129,Auswahllisten!$E$25:$F$29,2,FALSE)))</f>
        <v>0</v>
      </c>
      <c r="J129" s="162">
        <f t="shared" ca="1" si="168"/>
        <v>0</v>
      </c>
      <c r="K129" s="26">
        <f t="shared" ca="1" si="169"/>
        <v>0</v>
      </c>
      <c r="L129" s="26" t="b">
        <f ca="1">OR(C5=1,C5=3,C5=4)</f>
        <v>0</v>
      </c>
      <c r="M129" s="26">
        <f t="shared" ca="1" si="170"/>
        <v>0</v>
      </c>
      <c r="O129" s="16" t="str" cm="1">
        <f t="array" aca="1" ref="O129" ca="1">INDIRECT("Vergleich!"&amp;$Y$2&amp;Z129)</f>
        <v>gering</v>
      </c>
      <c r="P129" s="26" cm="1">
        <f t="array" aca="1" ref="P129" ca="1">INDIRECT("Investition_gewählt!"&amp;$AA$5&amp;AA129)</f>
        <v>2500</v>
      </c>
      <c r="Q129" s="16" cm="1">
        <f t="array" aca="1" ref="Q129" ca="1">IF($U$5=0,0,INDEX(Faktoren!T112:GQ112,1,VLOOKUP($X$5,$L$2:$O$14,4,FALSE)+$U$9*5+VLOOKUP(O129,Auswahllisten!$E$25:$F$28,2,FALSE)))</f>
        <v>0</v>
      </c>
      <c r="R129" s="26">
        <f t="shared" ca="1" si="171"/>
        <v>0</v>
      </c>
      <c r="S129" s="26" cm="1">
        <f t="array" aca="1" ref="S129" ca="1">INDIRECT("Investition_gewählt!"&amp;$AA$6&amp;AA129)</f>
        <v>2500</v>
      </c>
      <c r="T129" s="16" cm="1">
        <f t="array" aca="1" ref="T129" ca="1">IF($U$5=0,0,INDEX(Faktoren!T112:GQ112,1,VLOOKUP($X$6,$L$2:$O$14,4,FALSE)+$U$9*5+VLOOKUP(O129,Auswahllisten!$E$25:$F$28,2,FALSE)))</f>
        <v>0</v>
      </c>
      <c r="U129" s="26">
        <f t="shared" ca="1" si="172"/>
        <v>0</v>
      </c>
      <c r="V129" s="26">
        <f t="shared" ca="1" si="115"/>
        <v>0</v>
      </c>
      <c r="W129" s="26" t="b">
        <f ca="1">OR(U5=1,U5=3,U5=4)</f>
        <v>0</v>
      </c>
      <c r="X129" s="26">
        <f t="shared" ref="X129:X134" ca="1" si="173">IFERROR(ROUND(V129*W129,AB129),0)</f>
        <v>0</v>
      </c>
      <c r="Z129" s="1">
        <v>58</v>
      </c>
      <c r="AA129" s="1">
        <v>112</v>
      </c>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305" t="s">
        <v>1230</v>
      </c>
      <c r="B130" s="126" t="s">
        <v>1247</v>
      </c>
      <c r="C130" s="126" t="s">
        <v>1028</v>
      </c>
      <c r="D130" s="26" t="str" cm="1">
        <f t="array" aca="1" ref="D130" ca="1">INDIRECT("Vergleich!"&amp;$G$2&amp;Z130)</f>
        <v>mittel</v>
      </c>
      <c r="E130" s="26" cm="1">
        <f t="array" aca="1" ref="E130" ca="1">INDIRECT("Investition_gewählt!"&amp;$I$5&amp;AA130)</f>
        <v>3600</v>
      </c>
      <c r="F130" s="25" cm="1">
        <f t="array" aca="1" ref="F130" ca="1">IF($C$5=0,0,INDEX(Faktoren!E113:GQ113,1,VLOOKUP($F$5,$L$2:$O$14,4,FALSE)+$C$9*5+VLOOKUP(D130,Auswahllisten!$E$25:$F$29,2,FALSE)))</f>
        <v>0</v>
      </c>
      <c r="G130" s="162">
        <f t="shared" ca="1" si="167"/>
        <v>0</v>
      </c>
      <c r="H130" s="26" cm="1">
        <f t="array" aca="1" ref="H130" ca="1">INDIRECT("Investition_gewählt!"&amp;$I$6&amp;AA130)</f>
        <v>3600</v>
      </c>
      <c r="I130" s="25" cm="1">
        <f t="array" aca="1" ref="I130" ca="1">IF($C$5=0,0,INDEX(Faktoren!E113:GQ113,1,VLOOKUP($F$6,$L$2:$O$14,4,FALSE)+$C$9*5+VLOOKUP(D130,Auswahllisten!$E$25:$F$29,2,FALSE)))</f>
        <v>0</v>
      </c>
      <c r="J130" s="162">
        <f t="shared" ca="1" si="168"/>
        <v>0</v>
      </c>
      <c r="K130" s="26">
        <f t="shared" ca="1" si="169"/>
        <v>0</v>
      </c>
      <c r="L130" s="26" t="b">
        <f ca="1">(C5=5)</f>
        <v>0</v>
      </c>
      <c r="M130" s="26">
        <f t="shared" ca="1" si="170"/>
        <v>0</v>
      </c>
      <c r="O130" s="16" t="str" cm="1">
        <f t="array" aca="1" ref="O130" ca="1">INDIRECT("Vergleich!"&amp;$Y$2&amp;Z130)</f>
        <v>gering</v>
      </c>
      <c r="P130" s="26" cm="1">
        <f t="array" aca="1" ref="P130" ca="1">INDIRECT("Investition_gewählt!"&amp;$AA$5&amp;AA130)</f>
        <v>3600</v>
      </c>
      <c r="Q130" s="16" cm="1">
        <f t="array" aca="1" ref="Q130" ca="1">IF($U$5=0,0,INDEX(Faktoren!T113:GQ113,1,VLOOKUP($X$5,$L$2:$O$14,4,FALSE)+$U$9*5+VLOOKUP(O130,Auswahllisten!$E$25:$F$28,2,FALSE)))</f>
        <v>0</v>
      </c>
      <c r="R130" s="26">
        <f t="shared" ca="1" si="171"/>
        <v>0</v>
      </c>
      <c r="S130" s="26" cm="1">
        <f t="array" aca="1" ref="S130" ca="1">INDIRECT("Investition_gewählt!"&amp;$AA$6&amp;AA130)</f>
        <v>3600</v>
      </c>
      <c r="T130" s="16" cm="1">
        <f t="array" aca="1" ref="T130" ca="1">IF($U$5=0,0,INDEX(Faktoren!T113:GQ113,1,VLOOKUP($X$6,$L$2:$O$14,4,FALSE)+$U$9*5+VLOOKUP(O130,Auswahllisten!$E$25:$F$28,2,FALSE)))</f>
        <v>0</v>
      </c>
      <c r="U130" s="26">
        <f t="shared" ca="1" si="172"/>
        <v>0</v>
      </c>
      <c r="V130" s="26">
        <f t="shared" ca="1" si="115"/>
        <v>0</v>
      </c>
      <c r="W130" s="26" t="b">
        <f ca="1">(U5=5)</f>
        <v>0</v>
      </c>
      <c r="X130" s="26">
        <f t="shared" ca="1" si="173"/>
        <v>0</v>
      </c>
      <c r="Z130" s="1">
        <v>59</v>
      </c>
      <c r="AA130" s="1">
        <v>113</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305" t="s">
        <v>1230</v>
      </c>
      <c r="B131" s="126" t="s">
        <v>1247</v>
      </c>
      <c r="C131" s="126" t="s">
        <v>969</v>
      </c>
      <c r="D131" s="26" t="str" cm="1">
        <f t="array" aca="1" ref="D131" ca="1">INDIRECT("Vergleich!"&amp;$G$2&amp;Z131)</f>
        <v>keine</v>
      </c>
      <c r="E131" s="26" cm="1">
        <f t="array" aca="1" ref="E131" ca="1">INDIRECT("Investition_gewählt!"&amp;$I$5&amp;AA131)</f>
        <v>4000</v>
      </c>
      <c r="F131" s="25" cm="1">
        <f t="array" aca="1" ref="F131" ca="1">IF($C$5=0,0,INDEX(Faktoren!E114:GQ114,1,VLOOKUP($F$5,$L$2:$O$14,4,FALSE)+$C$9*5+VLOOKUP(D131,Auswahllisten!$E$25:$F$29,2,FALSE)))</f>
        <v>0</v>
      </c>
      <c r="G131" s="162">
        <f t="shared" ca="1" si="167"/>
        <v>0</v>
      </c>
      <c r="H131" s="26" cm="1">
        <f t="array" aca="1" ref="H131" ca="1">INDIRECT("Investition_gewählt!"&amp;$I$6&amp;AA131)</f>
        <v>4000</v>
      </c>
      <c r="I131" s="25" cm="1">
        <f t="array" aca="1" ref="I131" ca="1">IF($C$5=0,0,INDEX(Faktoren!E114:GQ114,1,VLOOKUP($F$6,$L$2:$O$14,4,FALSE)+$C$9*5+VLOOKUP(D131,Auswahllisten!$E$25:$F$29,2,FALSE)))</f>
        <v>0</v>
      </c>
      <c r="J131" s="162">
        <f t="shared" ca="1" si="168"/>
        <v>0</v>
      </c>
      <c r="K131" s="26">
        <f t="shared" ca="1" si="169"/>
        <v>0</v>
      </c>
      <c r="L131" s="26" t="b">
        <f ca="1">(C5=5)</f>
        <v>0</v>
      </c>
      <c r="M131" s="26">
        <f t="shared" ca="1" si="170"/>
        <v>0</v>
      </c>
      <c r="O131" s="16" t="str" cm="1">
        <f t="array" aca="1" ref="O131" ca="1">INDIRECT("Vergleich!"&amp;$Y$2&amp;Z131)</f>
        <v>keine</v>
      </c>
      <c r="P131" s="26" cm="1">
        <f t="array" aca="1" ref="P131" ca="1">INDIRECT("Investition_gewählt!"&amp;$AA$5&amp;AA131)</f>
        <v>4000</v>
      </c>
      <c r="Q131" s="16" cm="1">
        <f t="array" aca="1" ref="Q131" ca="1">IF($U$5=0,0,INDEX(Faktoren!T114:GQ114,1,VLOOKUP($X$5,$L$2:$O$14,4,FALSE)+$U$9*5+VLOOKUP(O131,Auswahllisten!$E$25:$F$28,2,FALSE)))</f>
        <v>0</v>
      </c>
      <c r="R131" s="26">
        <f t="shared" ca="1" si="171"/>
        <v>0</v>
      </c>
      <c r="S131" s="26" cm="1">
        <f t="array" aca="1" ref="S131" ca="1">INDIRECT("Investition_gewählt!"&amp;$AA$6&amp;AA131)</f>
        <v>4000</v>
      </c>
      <c r="T131" s="16" cm="1">
        <f t="array" aca="1" ref="T131" ca="1">IF($U$5=0,0,INDEX(Faktoren!T114:GQ114,1,VLOOKUP($X$6,$L$2:$O$14,4,FALSE)+$U$9*5+VLOOKUP(O131,Auswahllisten!$E$25:$F$28,2,FALSE)))</f>
        <v>0</v>
      </c>
      <c r="U131" s="26">
        <f t="shared" ca="1" si="172"/>
        <v>0</v>
      </c>
      <c r="V131" s="26">
        <f t="shared" ca="1" si="115"/>
        <v>0</v>
      </c>
      <c r="W131" s="26" t="b">
        <f ca="1">(U5=5)</f>
        <v>0</v>
      </c>
      <c r="X131" s="26">
        <f t="shared" ca="1" si="173"/>
        <v>0</v>
      </c>
      <c r="Z131" s="1">
        <v>60</v>
      </c>
      <c r="AA131" s="1">
        <v>114</v>
      </c>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05" t="s">
        <v>1230</v>
      </c>
      <c r="B132" s="126" t="s">
        <v>1247</v>
      </c>
      <c r="C132" s="126" t="s">
        <v>1031</v>
      </c>
      <c r="D132" s="26" t="str" cm="1">
        <f t="array" aca="1" ref="D132" ca="1">INDIRECT("Vergleich!"&amp;$G$2&amp;Z132)</f>
        <v>keine</v>
      </c>
      <c r="E132" s="26" cm="1">
        <f t="array" aca="1" ref="E132" ca="1">INDIRECT("Investition_gewählt!"&amp;$I$5&amp;AA132)</f>
        <v>3500</v>
      </c>
      <c r="F132" s="25" cm="1">
        <f t="array" aca="1" ref="F132" ca="1">IF($C$5=0,0,INDEX(Faktoren!E115:GQ115,1,VLOOKUP($F$5,$L$2:$O$14,4,FALSE)+$C$9*5+VLOOKUP(D132,Auswahllisten!$E$25:$F$29,2,FALSE)))</f>
        <v>0</v>
      </c>
      <c r="G132" s="162">
        <f t="shared" ca="1" si="167"/>
        <v>0</v>
      </c>
      <c r="H132" s="26" cm="1">
        <f t="array" aca="1" ref="H132" ca="1">INDIRECT("Investition_gewählt!"&amp;$I$6&amp;AA132)</f>
        <v>3500</v>
      </c>
      <c r="I132" s="25" cm="1">
        <f t="array" aca="1" ref="I132" ca="1">IF($C$5=0,0,INDEX(Faktoren!E115:GQ115,1,VLOOKUP($F$6,$L$2:$O$14,4,FALSE)+$C$9*5+VLOOKUP(D132,Auswahllisten!$E$25:$F$29,2,FALSE)))</f>
        <v>0</v>
      </c>
      <c r="J132" s="162">
        <f t="shared" ca="1" si="168"/>
        <v>0</v>
      </c>
      <c r="K132" s="26">
        <f t="shared" ca="1" si="169"/>
        <v>0</v>
      </c>
      <c r="L132" s="26" t="b">
        <f ca="1">(C5=5)</f>
        <v>0</v>
      </c>
      <c r="M132" s="26">
        <f t="shared" ca="1" si="170"/>
        <v>0</v>
      </c>
      <c r="O132" s="16" t="str" cm="1">
        <f t="array" aca="1" ref="O132" ca="1">INDIRECT("Vergleich!"&amp;$Y$2&amp;Z132)</f>
        <v>keine</v>
      </c>
      <c r="P132" s="26" cm="1">
        <f t="array" aca="1" ref="P132" ca="1">INDIRECT("Investition_gewählt!"&amp;$AA$5&amp;AA132)</f>
        <v>3500</v>
      </c>
      <c r="Q132" s="16" cm="1">
        <f t="array" aca="1" ref="Q132" ca="1">IF($U$5=0,0,INDEX(Faktoren!T115:GQ115,1,VLOOKUP($X$5,$L$2:$O$14,4,FALSE)+$U$9*5+VLOOKUP(O132,Auswahllisten!$E$25:$F$28,2,FALSE)))</f>
        <v>0</v>
      </c>
      <c r="R132" s="26">
        <f t="shared" ca="1" si="171"/>
        <v>0</v>
      </c>
      <c r="S132" s="26" cm="1">
        <f t="array" aca="1" ref="S132" ca="1">INDIRECT("Investition_gewählt!"&amp;$AA$6&amp;AA132)</f>
        <v>3500</v>
      </c>
      <c r="T132" s="16" cm="1">
        <f t="array" aca="1" ref="T132" ca="1">IF($U$5=0,0,INDEX(Faktoren!T115:GQ115,1,VLOOKUP($X$6,$L$2:$O$14,4,FALSE)+$U$9*5+VLOOKUP(O132,Auswahllisten!$E$25:$F$28,2,FALSE)))</f>
        <v>0</v>
      </c>
      <c r="U132" s="26">
        <f t="shared" ca="1" si="172"/>
        <v>0</v>
      </c>
      <c r="V132" s="26">
        <f t="shared" ca="1" si="115"/>
        <v>0</v>
      </c>
      <c r="W132" s="26" t="b">
        <f ca="1">(U5=5)</f>
        <v>0</v>
      </c>
      <c r="X132" s="26">
        <f t="shared" ca="1" si="173"/>
        <v>0</v>
      </c>
      <c r="Z132" s="1">
        <v>61</v>
      </c>
      <c r="AA132" s="1">
        <v>115</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305" t="s">
        <v>1230</v>
      </c>
      <c r="B133" s="126" t="s">
        <v>1033</v>
      </c>
      <c r="C133" s="126" t="s">
        <v>970</v>
      </c>
      <c r="D133" s="26" t="str" cm="1">
        <f t="array" aca="1" ref="D133" ca="1">INDIRECT("Vergleich!"&amp;$G$2&amp;Z133)</f>
        <v>keine</v>
      </c>
      <c r="E133" s="26" cm="1">
        <f t="array" aca="1" ref="E133" ca="1">INDIRECT("Investition_gewählt!"&amp;$I$5&amp;AA133)</f>
        <v>0</v>
      </c>
      <c r="F133" s="25" cm="1">
        <f t="array" aca="1" ref="F133" ca="1">IF($C$5=0,0,INDEX(Faktoren!E116:GQ116,1,VLOOKUP($F$5,$L$2:$O$14,4,FALSE)+$C$9*5+VLOOKUP(D133,Auswahllisten!$E$25:$F$29,2,FALSE)))</f>
        <v>0</v>
      </c>
      <c r="G133" s="162">
        <f t="shared" ca="1" si="167"/>
        <v>0</v>
      </c>
      <c r="H133" s="26" cm="1">
        <f t="array" aca="1" ref="H133" ca="1">INDIRECT("Investition_gewählt!"&amp;$I$6&amp;AA133)</f>
        <v>0</v>
      </c>
      <c r="I133" s="25" cm="1">
        <f t="array" aca="1" ref="I133" ca="1">IF($C$5=0,0,INDEX(Faktoren!E116:GQ116,1,VLOOKUP($F$6,$L$2:$O$14,4,FALSE)+$C$9*5+VLOOKUP(D133,Auswahllisten!$E$25:$F$29,2,FALSE)))</f>
        <v>0</v>
      </c>
      <c r="J133" s="162">
        <f t="shared" ca="1" si="168"/>
        <v>0</v>
      </c>
      <c r="K133" s="26">
        <f t="shared" ca="1" si="169"/>
        <v>0</v>
      </c>
      <c r="L133" s="26" t="b">
        <f ca="1">(C5=5)</f>
        <v>0</v>
      </c>
      <c r="M133" s="26">
        <f t="shared" ca="1" si="170"/>
        <v>0</v>
      </c>
      <c r="O133" s="16" t="str" cm="1">
        <f t="array" aca="1" ref="O133" ca="1">INDIRECT("Vergleich!"&amp;$Y$2&amp;Z133)</f>
        <v>keine</v>
      </c>
      <c r="P133" s="26" cm="1">
        <f t="array" aca="1" ref="P133" ca="1">INDIRECT("Investition_gewählt!"&amp;$AA$5&amp;AA133)</f>
        <v>0</v>
      </c>
      <c r="Q133" s="16" cm="1">
        <f t="array" aca="1" ref="Q133" ca="1">IF($U$5=0,0,INDEX(Faktoren!T116:GQ116,1,VLOOKUP($X$5,$L$2:$O$14,4,FALSE)+$U$9*5+VLOOKUP(O133,Auswahllisten!$E$25:$F$28,2,FALSE)))</f>
        <v>0</v>
      </c>
      <c r="R133" s="26">
        <f t="shared" ca="1" si="171"/>
        <v>0</v>
      </c>
      <c r="S133" s="26" cm="1">
        <f t="array" aca="1" ref="S133" ca="1">INDIRECT("Investition_gewählt!"&amp;$AA$6&amp;AA133)</f>
        <v>0</v>
      </c>
      <c r="T133" s="16" cm="1">
        <f t="array" aca="1" ref="T133" ca="1">IF($U$5=0,0,INDEX(Faktoren!T116:GQ116,1,VLOOKUP($X$6,$L$2:$O$14,4,FALSE)+$U$9*5+VLOOKUP(O133,Auswahllisten!$E$25:$F$28,2,FALSE)))</f>
        <v>0</v>
      </c>
      <c r="U133" s="26">
        <f t="shared" ca="1" si="172"/>
        <v>0</v>
      </c>
      <c r="V133" s="26">
        <f t="shared" ca="1" si="115"/>
        <v>0</v>
      </c>
      <c r="W133" s="26" t="b">
        <f ca="1">(U5=5)</f>
        <v>0</v>
      </c>
      <c r="X133" s="26">
        <f t="shared" ca="1" si="173"/>
        <v>0</v>
      </c>
      <c r="Z133" s="1">
        <v>62</v>
      </c>
      <c r="AA133" s="1">
        <v>116</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A134" s="82" t="s">
        <v>1229</v>
      </c>
      <c r="B134" s="64" t="s">
        <v>1246</v>
      </c>
      <c r="C134" s="134" t="s">
        <v>1036</v>
      </c>
      <c r="D134" s="163" t="str" cm="1">
        <f t="array" aca="1" ref="D134" ca="1">INDIRECT("Vergleich!"&amp;$G$2&amp;Z134)</f>
        <v>mittel</v>
      </c>
      <c r="E134" s="163" cm="1">
        <f t="array" aca="1" ref="E134" ca="1">INDIRECT("Investition_gewählt!"&amp;$I$5&amp;AA134)</f>
        <v>1800</v>
      </c>
      <c r="F134" s="61" cm="1">
        <f t="array" aca="1" ref="F134" ca="1">IF($C$5=0,0,INDEX(Faktoren!E117:GQ117,1,VLOOKUP($F$5,$L$2:$O$14,4,FALSE)+$C$9*5+VLOOKUP(D134,Auswahllisten!$E$25:$F$29,2,FALSE)))</f>
        <v>0</v>
      </c>
      <c r="G134" s="216">
        <f t="shared" ca="1" si="167"/>
        <v>0</v>
      </c>
      <c r="H134" s="296" cm="1">
        <f t="array" aca="1" ref="H134" ca="1">INDIRECT("Investition_gewählt!"&amp;$I$6&amp;AA134)</f>
        <v>1800</v>
      </c>
      <c r="I134" s="61" cm="1">
        <f t="array" aca="1" ref="I134" ca="1">IF($C$5=0,0,INDEX(Faktoren!E117:GQ117,1,VLOOKUP($F$6,$L$2:$O$14,4,FALSE)+$C$9*5+VLOOKUP(D134,Auswahllisten!$E$25:$F$29,2,FALSE)))</f>
        <v>0</v>
      </c>
      <c r="J134" s="216">
        <f t="shared" ca="1" si="168"/>
        <v>0</v>
      </c>
      <c r="K134" s="163">
        <f ca="1">IF($C$5=0,0,G134+(J134-G134)*($C$6-$F$5)/($F$6-$F$5))</f>
        <v>0</v>
      </c>
      <c r="L134" s="163" t="b">
        <f ca="1">OR(C5=6,C5=7,C5=14)</f>
        <v>0</v>
      </c>
      <c r="M134" s="163">
        <f t="shared" ca="1" si="170"/>
        <v>0</v>
      </c>
      <c r="O134" s="93" t="str" cm="1">
        <f t="array" aca="1" ref="O134" ca="1">INDIRECT("Vergleich!"&amp;$Y$2&amp;Z134)</f>
        <v>gering</v>
      </c>
      <c r="P134" s="163" cm="1">
        <f t="array" aca="1" ref="P134" ca="1">INDIRECT("Investition_gewählt!"&amp;$AA$5&amp;AA134)</f>
        <v>1800</v>
      </c>
      <c r="Q134" s="93" cm="1">
        <f t="array" aca="1" ref="Q134" ca="1">IF($U$5=0,0,INDEX(Faktoren!T117:GQ117,1,VLOOKUP($X$5,$L$2:$O$14,4,FALSE)+$U$9*5+VLOOKUP(O134,Auswahllisten!$E$25:$F$28,2,FALSE)))</f>
        <v>0</v>
      </c>
      <c r="R134" s="163">
        <f t="shared" ca="1" si="171"/>
        <v>0</v>
      </c>
      <c r="S134" s="163" cm="1">
        <f t="array" aca="1" ref="S134" ca="1">INDIRECT("Investition_gewählt!"&amp;$AA$6&amp;AA134)</f>
        <v>1800</v>
      </c>
      <c r="T134" s="93" cm="1">
        <f t="array" aca="1" ref="T134" ca="1">IF($U$5=0,0,INDEX(Faktoren!T117:GQ117,1,VLOOKUP($X$6,$L$2:$O$14,4,FALSE)+$U$9*5+VLOOKUP(O134,Auswahllisten!$E$25:$F$28,2,FALSE)))</f>
        <v>0</v>
      </c>
      <c r="U134" s="163">
        <f t="shared" ca="1" si="172"/>
        <v>0</v>
      </c>
      <c r="V134" s="163">
        <f t="shared" ca="1" si="115"/>
        <v>0</v>
      </c>
      <c r="W134" s="163" t="b">
        <f ca="1">OR(U5=6,U5=7,U5=14)</f>
        <v>0</v>
      </c>
      <c r="X134" s="163">
        <f t="shared" ca="1" si="173"/>
        <v>0</v>
      </c>
      <c r="Z134" s="1">
        <v>63</v>
      </c>
      <c r="AA134" s="1">
        <v>117</v>
      </c>
      <c r="AB134" s="1">
        <v>-2</v>
      </c>
    </row>
    <row r="135" spans="1:78">
      <c r="M135" s="69"/>
      <c r="AB135" s="1">
        <v>-2</v>
      </c>
    </row>
    <row r="136" spans="1:78">
      <c r="B136" s="125"/>
      <c r="C136" s="64"/>
      <c r="D136" s="69"/>
      <c r="E136" s="69"/>
      <c r="M136" s="69"/>
      <c r="AB136" s="1">
        <v>-2</v>
      </c>
    </row>
    <row r="137" spans="1:78">
      <c r="B137" s="64"/>
      <c r="C137" s="64"/>
      <c r="E137" s="69"/>
      <c r="M137" s="69"/>
      <c r="Z137" s="1">
        <v>0</v>
      </c>
      <c r="AB137" s="1">
        <v>-2</v>
      </c>
    </row>
    <row r="138" spans="1:78">
      <c r="M138" s="69"/>
      <c r="AB138" s="1">
        <v>-2</v>
      </c>
    </row>
    <row r="139" spans="1:78">
      <c r="A139" s="8" t="s">
        <v>1008</v>
      </c>
      <c r="B139" s="8" t="s">
        <v>337</v>
      </c>
      <c r="M139" s="69"/>
      <c r="AB139" s="1">
        <v>-2</v>
      </c>
    </row>
    <row r="140" spans="1:78">
      <c r="A140" s="55"/>
      <c r="B140" s="55"/>
      <c r="C140" s="55" t="s">
        <v>851</v>
      </c>
      <c r="D140" s="25" t="s">
        <v>695</v>
      </c>
      <c r="E140" s="25" cm="1">
        <f t="array" aca="1" ref="E140" ca="1">IF($C$5=0,0,INDIRECT("Vergleich!"&amp;$G$2&amp;Z140))</f>
        <v>0</v>
      </c>
      <c r="M140" s="69"/>
      <c r="Z140" s="1">
        <v>11</v>
      </c>
      <c r="AB140" s="1">
        <v>-2</v>
      </c>
    </row>
    <row r="141" spans="1:78">
      <c r="A141" s="91"/>
      <c r="B141" s="91"/>
      <c r="C141" s="91" t="s">
        <v>850</v>
      </c>
      <c r="D141" s="16" t="s">
        <v>858</v>
      </c>
      <c r="E141" s="26">
        <f ca="1">IF(E140&lt;10,Standardwerte!I60,IF(E140&lt;32,Standardwerte!I61,Standardwerte!I62))</f>
        <v>1950</v>
      </c>
      <c r="M141" s="69"/>
      <c r="AB141" s="1">
        <v>-2</v>
      </c>
    </row>
    <row r="142" spans="1:78">
      <c r="A142" s="35" t="s">
        <v>1254</v>
      </c>
      <c r="B142" s="1" t="s">
        <v>1255</v>
      </c>
      <c r="C142" s="91" t="s">
        <v>854</v>
      </c>
      <c r="D142" s="16" t="s">
        <v>175</v>
      </c>
      <c r="E142" s="26">
        <f ca="1">E140*E141</f>
        <v>0</v>
      </c>
      <c r="F142" s="51"/>
      <c r="G142" s="55"/>
      <c r="H142" s="55"/>
      <c r="I142" s="55"/>
      <c r="J142" s="55"/>
      <c r="K142" s="55"/>
      <c r="L142" s="55"/>
      <c r="M142" s="162">
        <f ca="1">ROUND(IF($C$5=0,0,E142),AB142)*I12</f>
        <v>0</v>
      </c>
      <c r="AB142" s="1">
        <v>-2</v>
      </c>
    </row>
    <row r="143" spans="1:78">
      <c r="A143" s="94"/>
      <c r="B143" s="94"/>
      <c r="C143" s="94" t="s">
        <v>672</v>
      </c>
      <c r="D143" s="93" t="s">
        <v>175</v>
      </c>
      <c r="E143" s="163" cm="1">
        <f t="array" aca="1" ref="E143" ca="1">INDIRECT("Vergleich!"&amp;$G$2&amp;Z143)</f>
        <v>0</v>
      </c>
      <c r="M143" s="69"/>
      <c r="Z143" s="1">
        <v>15</v>
      </c>
      <c r="AB143" s="1">
        <v>-2</v>
      </c>
    </row>
    <row r="144" spans="1:78">
      <c r="E144" s="166"/>
      <c r="M144" s="69"/>
      <c r="AB144" s="1">
        <v>-2</v>
      </c>
    </row>
    <row r="145" spans="1:28">
      <c r="A145" s="8" t="s">
        <v>1023</v>
      </c>
      <c r="B145" s="8" t="s">
        <v>677</v>
      </c>
      <c r="C145" s="7"/>
      <c r="M145" s="69"/>
      <c r="AB145" s="1">
        <v>-2</v>
      </c>
    </row>
    <row r="146" spans="1:28">
      <c r="A146" s="55"/>
      <c r="B146" s="55"/>
      <c r="C146" s="55" t="s">
        <v>1104</v>
      </c>
      <c r="D146" s="25" t="s">
        <v>701</v>
      </c>
      <c r="E146" s="162" cm="1">
        <f t="array" aca="1" ref="E146" ca="1">IF($C$5=0,0,INDIRECT("Vergleich!"&amp;$G$2&amp;Z146))</f>
        <v>0</v>
      </c>
      <c r="F146" s="51"/>
      <c r="G146" s="55"/>
      <c r="H146" s="55"/>
      <c r="I146" s="55"/>
      <c r="J146" s="55"/>
      <c r="K146" s="55"/>
      <c r="L146" s="55"/>
      <c r="M146" s="162"/>
      <c r="Z146" s="1">
        <v>89</v>
      </c>
      <c r="AB146" s="1">
        <v>-2</v>
      </c>
    </row>
    <row r="147" spans="1:28">
      <c r="A147" s="35" t="s">
        <v>1223</v>
      </c>
      <c r="B147" s="1" t="s">
        <v>1251</v>
      </c>
      <c r="C147" s="91" t="s">
        <v>702</v>
      </c>
      <c r="D147" s="16" t="s">
        <v>703</v>
      </c>
      <c r="E147" s="26">
        <f ca="1">IF(E146&lt;=10,Standardwerte!O57,IF(E146&lt;=30,Standardwerte!O58,IF(E146&lt;=100,Standardwerte!O59,Standardwerte!O60)))</f>
        <v>3000</v>
      </c>
      <c r="F147" s="51"/>
      <c r="G147" s="55"/>
      <c r="H147" s="55"/>
      <c r="I147" s="55"/>
      <c r="J147" s="55"/>
      <c r="K147" s="55"/>
      <c r="L147" s="55"/>
      <c r="M147" s="162">
        <f ca="1">ROUND(E146*E147,AB146)*I13</f>
        <v>0</v>
      </c>
      <c r="AB147" s="1">
        <v>-2</v>
      </c>
    </row>
    <row r="148" spans="1:28">
      <c r="A148" s="91"/>
      <c r="B148" s="91"/>
      <c r="C148" s="91" t="s">
        <v>1105</v>
      </c>
      <c r="D148" s="16" t="s">
        <v>701</v>
      </c>
      <c r="E148" s="26" cm="1">
        <f t="array" aca="1" ref="E148" ca="1">IF($C$5=0,0,INDIRECT("Vergleich!"&amp;$G$2&amp;Z148))</f>
        <v>0</v>
      </c>
      <c r="F148" s="51"/>
      <c r="G148" s="55"/>
      <c r="H148" s="55"/>
      <c r="I148" s="55"/>
      <c r="J148" s="55"/>
      <c r="K148" s="55"/>
      <c r="L148" s="55"/>
      <c r="M148" s="162"/>
      <c r="Z148" s="1">
        <v>92</v>
      </c>
      <c r="AB148" s="1">
        <v>-2</v>
      </c>
    </row>
    <row r="149" spans="1:28">
      <c r="A149" s="35" t="s">
        <v>1223</v>
      </c>
      <c r="B149" s="1" t="s">
        <v>1251</v>
      </c>
      <c r="C149" s="91" t="s">
        <v>702</v>
      </c>
      <c r="D149" s="16" t="s">
        <v>703</v>
      </c>
      <c r="E149" s="26">
        <f ca="1">IF(E148&lt;=10,Standardwerte!O57,IF(E148&lt;=30,Standardwerte!O58,IF(E148&lt;=100,Standardwerte!O59,Standardwerte!O60)))</f>
        <v>3000</v>
      </c>
      <c r="F149" s="51"/>
      <c r="G149" s="55"/>
      <c r="H149" s="55"/>
      <c r="I149" s="55"/>
      <c r="J149" s="55"/>
      <c r="K149" s="55"/>
      <c r="L149" s="55"/>
      <c r="M149" s="162">
        <f ca="1">ROUND(E148*E149,AB149)*I13</f>
        <v>0</v>
      </c>
      <c r="AB149" s="1">
        <v>-2</v>
      </c>
    </row>
    <row r="150" spans="1:28">
      <c r="A150" s="308"/>
      <c r="B150" s="91"/>
      <c r="C150" s="91" t="s">
        <v>673</v>
      </c>
      <c r="D150" s="16" t="s">
        <v>175</v>
      </c>
      <c r="E150" s="26" cm="1">
        <f t="array" aca="1" ref="E150" ca="1">INDIRECT("Vergleich!"&amp;$G$2&amp;Z150)</f>
        <v>0</v>
      </c>
      <c r="F150" s="50"/>
      <c r="G150" s="91"/>
      <c r="H150" s="91"/>
      <c r="I150" s="91"/>
      <c r="J150" s="91"/>
      <c r="K150" s="91"/>
      <c r="L150" s="91"/>
      <c r="M150" s="26"/>
      <c r="Z150" s="1">
        <v>96</v>
      </c>
      <c r="AB150" s="1">
        <v>-2</v>
      </c>
    </row>
    <row r="151" spans="1:28">
      <c r="A151" s="308" t="s">
        <v>1244</v>
      </c>
      <c r="B151" s="91" t="s">
        <v>811</v>
      </c>
      <c r="C151" s="91" t="s">
        <v>740</v>
      </c>
      <c r="D151" s="16" t="s">
        <v>175</v>
      </c>
      <c r="E151" s="26">
        <f ca="1">IF((E146+E148)=0,0,IF((E146+E148)&lt;=10,Standardwerte!O61,IF((E146+E148)&lt;=30,Standardwerte!O62,IF((E146+E148)&lt;=100,Standardwerte!O63,Standardwerte!O64))))</f>
        <v>0</v>
      </c>
      <c r="F151" s="50"/>
      <c r="G151" s="91"/>
      <c r="H151" s="91"/>
      <c r="I151" s="91"/>
      <c r="J151" s="91"/>
      <c r="K151" s="91"/>
      <c r="L151" s="91"/>
      <c r="M151" s="26">
        <f ca="1">ROUND(E151,AB151)*I13</f>
        <v>0</v>
      </c>
      <c r="AB151" s="1">
        <v>-2</v>
      </c>
    </row>
    <row r="152" spans="1:28">
      <c r="A152" s="286" t="s">
        <v>1244</v>
      </c>
      <c r="B152" s="63" t="s">
        <v>811</v>
      </c>
      <c r="C152" s="94" t="s">
        <v>814</v>
      </c>
      <c r="D152" s="93" t="s">
        <v>175</v>
      </c>
      <c r="E152" s="163">
        <f ca="1">IF($C$5=0,0,Standardwerte!O70)</f>
        <v>0</v>
      </c>
      <c r="F152" s="92"/>
      <c r="G152" s="94"/>
      <c r="H152" s="94"/>
      <c r="I152" s="94"/>
      <c r="J152" s="94"/>
      <c r="K152" s="94"/>
      <c r="L152" s="94"/>
      <c r="M152" s="163">
        <f ca="1">ROUND(E152,AB152)*I13</f>
        <v>0</v>
      </c>
      <c r="AB152" s="1">
        <v>-2</v>
      </c>
    </row>
    <row r="153" spans="1:28">
      <c r="A153" s="35"/>
      <c r="M153" s="69"/>
      <c r="AB153" s="1">
        <v>-2</v>
      </c>
    </row>
    <row r="154" spans="1:28">
      <c r="A154" s="35"/>
      <c r="M154" s="69"/>
      <c r="AB154" s="1">
        <v>-2</v>
      </c>
    </row>
    <row r="155" spans="1:28">
      <c r="A155" s="124"/>
      <c r="B155" s="8" t="s">
        <v>1253</v>
      </c>
      <c r="M155" s="69"/>
      <c r="AB155" s="1">
        <v>-2</v>
      </c>
    </row>
    <row r="156" spans="1:28">
      <c r="A156" s="287"/>
      <c r="B156" s="55"/>
      <c r="C156" s="55" t="s">
        <v>1098</v>
      </c>
      <c r="D156" s="25"/>
      <c r="E156" s="162">
        <f ca="1">SUM(M19:M152)+SUM(X19:X134)</f>
        <v>0</v>
      </c>
      <c r="F156" s="25"/>
      <c r="G156" s="25"/>
      <c r="H156" s="25"/>
      <c r="I156" s="25"/>
      <c r="J156" s="25"/>
      <c r="K156" s="25"/>
      <c r="L156" s="25"/>
      <c r="M156" s="162"/>
      <c r="AB156" s="1">
        <v>-2</v>
      </c>
    </row>
    <row r="157" spans="1:28">
      <c r="A157" s="178" t="s">
        <v>1221</v>
      </c>
      <c r="B157" s="71" t="s">
        <v>1252</v>
      </c>
      <c r="C157" s="71" t="s">
        <v>1100</v>
      </c>
      <c r="D157" s="16" t="str" cm="1">
        <f t="array" aca="1" ref="D157" ca="1">INDIRECT("Vergleich!"&amp;$G$3&amp;Z157)</f>
        <v>mittel</v>
      </c>
      <c r="E157" s="76" cm="1">
        <f t="array" aca="1" ref="E157" ca="1">INDIRECT("Investition_gewählt!"&amp;$I$5&amp;AA157)</f>
        <v>0.05</v>
      </c>
      <c r="F157" s="76" cm="1">
        <f t="array" aca="1" ref="F157" ca="1">IF($C$5=0,0,INDEX(Faktoren!E120:GQ120,1,VLOOKUP($F$5,$L$2:$O$14,4,FALSE)+$C$9*5+VLOOKUP(D157,Auswahllisten!$E$25:$F$29,2,FALSE)))</f>
        <v>0</v>
      </c>
      <c r="G157" s="76">
        <f t="shared" ref="G157" ca="1" si="174">E157*F157</f>
        <v>0</v>
      </c>
      <c r="H157" s="76" cm="1">
        <f t="array" aca="1" ref="H157" ca="1">INDIRECT("Investition_gewählt!"&amp;$I$6&amp;AA157)</f>
        <v>0.05</v>
      </c>
      <c r="I157" s="76" cm="1">
        <f t="array" aca="1" ref="I157" ca="1">IF($C$5=0,0,INDEX(Faktoren!E120:QG120,1,VLOOKUP($F$6,$L$2:$O$14,4,FALSE)+$C$9*5+VLOOKUP(D157,Auswahllisten!$E$25:$F$29,2,FALSE)))</f>
        <v>0</v>
      </c>
      <c r="J157" s="76">
        <f t="shared" ref="J157" ca="1" si="175">H157*I157</f>
        <v>0</v>
      </c>
      <c r="K157" s="76">
        <f ca="1">IF($C$5=0,0,G157+(J157-G157)*($C$6-$F$5)/($F$6-$F$5))</f>
        <v>0</v>
      </c>
      <c r="L157" s="76">
        <v>1</v>
      </c>
      <c r="M157" s="26">
        <f ca="1">IFERROR(ROUND(E156*K157,-2),0)</f>
        <v>0</v>
      </c>
      <c r="Z157" s="1">
        <v>103</v>
      </c>
      <c r="AA157" s="1">
        <v>120</v>
      </c>
      <c r="AB157" s="1">
        <v>-2</v>
      </c>
    </row>
    <row r="158" spans="1:28">
      <c r="A158" s="286" t="s">
        <v>1222</v>
      </c>
      <c r="B158" s="63" t="s">
        <v>1266</v>
      </c>
      <c r="C158" s="63"/>
      <c r="D158" s="60"/>
      <c r="E158" s="60">
        <f>Projektdaten!E62</f>
        <v>8.1000000000000003E-2</v>
      </c>
      <c r="F158" s="296"/>
      <c r="G158" s="60"/>
      <c r="H158" s="60"/>
      <c r="I158" s="60"/>
      <c r="J158" s="60"/>
      <c r="K158" s="60"/>
      <c r="L158" s="60"/>
      <c r="AB158" s="1">
        <v>-2</v>
      </c>
    </row>
    <row r="159" spans="1:28">
      <c r="A159" s="35"/>
      <c r="M159" s="69"/>
      <c r="AB159" s="1">
        <v>-2</v>
      </c>
    </row>
    <row r="160" spans="1:28">
      <c r="M160" s="69"/>
      <c r="AB160" s="1">
        <v>-2</v>
      </c>
    </row>
    <row r="161" spans="1:28">
      <c r="A161" s="8"/>
      <c r="B161" s="8" t="s">
        <v>326</v>
      </c>
      <c r="M161" s="69"/>
      <c r="AB161" s="1">
        <v>-2</v>
      </c>
    </row>
    <row r="162" spans="1:28">
      <c r="A162" s="8" t="s">
        <v>261</v>
      </c>
      <c r="B162" s="8" t="s">
        <v>0</v>
      </c>
      <c r="L162" s="155">
        <v>1</v>
      </c>
      <c r="M162" s="69"/>
      <c r="AB162" s="1">
        <v>-2</v>
      </c>
    </row>
    <row r="163" spans="1:28">
      <c r="A163" s="117"/>
      <c r="B163" s="55"/>
      <c r="C163" s="55" t="s">
        <v>255</v>
      </c>
      <c r="D163" s="25" t="str" cm="1">
        <f t="array" aca="1" ref="D163" ca="1">INDIRECT("Vergleich!"&amp;$G$2&amp;Z163)</f>
        <v>mittel</v>
      </c>
      <c r="E163" s="25" cm="1">
        <f t="array" aca="1" ref="E163" ca="1">INDIRECT("Unterhalt!"&amp;$J$5&amp;AA163)</f>
        <v>360</v>
      </c>
      <c r="F163" s="25">
        <f ca="1">IF(D163=Auswahllisten!$E$26,0.8,IF(D163=Auswahllisten!$E$27,1,IF(D163=Auswahllisten!$E$29,1.2,0)))</f>
        <v>1</v>
      </c>
      <c r="G163" s="25">
        <f t="shared" ref="G163:G164" ca="1" si="176">E163*F163</f>
        <v>360</v>
      </c>
      <c r="H163" s="25" cm="1">
        <f t="array" aca="1" ref="H163" ca="1">INDIRECT("Unterhalt!"&amp;$J$6&amp;AA163)</f>
        <v>360</v>
      </c>
      <c r="I163" s="25">
        <f ca="1">IF(D163=Auswahllisten!$E$26,0.8,IF(D163=Auswahllisten!$E$27,1,IF(D163=Auswahllisten!$E$29,1.2,0)))</f>
        <v>1</v>
      </c>
      <c r="J163" s="25">
        <f t="shared" ref="J163:J164" ca="1" si="177">H163*I163</f>
        <v>360</v>
      </c>
      <c r="K163" s="25">
        <f ca="1">IF($C$5=0,0,G163+(J163-G163)*($C$6-$F$5)/($F$6-$F$5))</f>
        <v>0</v>
      </c>
      <c r="L163" s="25" t="b">
        <f ca="1">($L$162=$C$5)</f>
        <v>0</v>
      </c>
      <c r="M163" s="162">
        <f ca="1">ROUND(K163*L163,AB163)</f>
        <v>0</v>
      </c>
      <c r="O163" s="25" t="str" cm="1">
        <f t="array" aca="1" ref="O163" ca="1">INDIRECT("Vergleich!"&amp;$Y$2&amp;Z163)</f>
        <v>gering</v>
      </c>
      <c r="P163" s="25" cm="1">
        <f t="array" aca="1" ref="P163" ca="1">INDIRECT("Unterhalt!"&amp;$AB$5&amp;AA163)</f>
        <v>360</v>
      </c>
      <c r="Q163" s="25">
        <f ca="1">IF(O163=Auswahllisten!$E$26,0.8,IF(O163=Auswahllisten!$E$27,1,IF(O163=Auswahllisten!$E$29,1.2,0)))</f>
        <v>0.8</v>
      </c>
      <c r="R163" s="25">
        <f t="shared" ref="R163:R164" ca="1" si="178">P163*Q163</f>
        <v>288</v>
      </c>
      <c r="S163" s="25" cm="1">
        <f t="array" aca="1" ref="S163" ca="1">INDIRECT("Unterhalt!"&amp;$AB$6&amp;AA163)</f>
        <v>360</v>
      </c>
      <c r="T163" s="25">
        <f ca="1">IF(O163=Auswahllisten!$E$26,0.8,IF(O163=Auswahllisten!$E$27,1,IF(O163=Auswahllisten!$E$29,1.2,0)))</f>
        <v>0.8</v>
      </c>
      <c r="U163" s="25">
        <f t="shared" ref="U163:U164" ca="1" si="179">S163*T163</f>
        <v>288</v>
      </c>
      <c r="V163" s="25">
        <f t="shared" ref="V163:V208" ca="1" si="180">IF($U$5=0,0,R163+(U163-R163)*($U$6-$X$5)/($X$6-$X$5))</f>
        <v>0</v>
      </c>
      <c r="W163" s="25" t="b">
        <f ca="1">($L$162=$U$5)</f>
        <v>0</v>
      </c>
      <c r="X163" s="25">
        <f ca="1">ROUND(V163*W163,AB163)</f>
        <v>0</v>
      </c>
      <c r="Z163" s="1">
        <v>54</v>
      </c>
      <c r="AA163" s="1">
        <v>7</v>
      </c>
      <c r="AB163" s="1">
        <v>-1</v>
      </c>
    </row>
    <row r="164" spans="1:28">
      <c r="A164" s="545"/>
      <c r="B164" s="94"/>
      <c r="C164" s="94" t="s">
        <v>256</v>
      </c>
      <c r="D164" s="93" t="str" cm="1">
        <f t="array" aca="1" ref="D164" ca="1">INDIRECT("Vergleich!"&amp;$G$2&amp;Z164)</f>
        <v>mittel</v>
      </c>
      <c r="E164" s="61" cm="1">
        <f t="array" aca="1" ref="E164" ca="1">INDIRECT("Unterhalt!"&amp;$J$5&amp;AA164)</f>
        <v>170</v>
      </c>
      <c r="F164" s="61">
        <f ca="1">IF(D164=Auswahllisten!$E$26,0.8,IF(D164=Auswahllisten!$E$27,1,IF(D164=Auswahllisten!$E$29,1.2,0)))</f>
        <v>1</v>
      </c>
      <c r="G164" s="61">
        <f t="shared" ca="1" si="176"/>
        <v>170</v>
      </c>
      <c r="H164" s="61" cm="1">
        <f t="array" aca="1" ref="H164" ca="1">INDIRECT("Unterhalt!"&amp;$J$6&amp;AA164)</f>
        <v>170</v>
      </c>
      <c r="I164" s="61">
        <f ca="1">IF(D164=Auswahllisten!$E$26,0.8,IF(D164=Auswahllisten!$E$27,1,IF(D164=Auswahllisten!$E$29,1.2,0)))</f>
        <v>1</v>
      </c>
      <c r="J164" s="61">
        <f t="shared" ca="1" si="177"/>
        <v>170</v>
      </c>
      <c r="K164" s="61">
        <f t="shared" ref="K164" ca="1" si="181">IF($C$5=0,0,G164+(J164-G164)*($C$6-$F$5)/($F$6-$F$5))</f>
        <v>0</v>
      </c>
      <c r="L164" s="61" t="b">
        <f ca="1">($L$162=$C$5)</f>
        <v>0</v>
      </c>
      <c r="M164" s="216">
        <f t="shared" ref="M164" ca="1" si="182">ROUND(K164*L164,AB164)</f>
        <v>0</v>
      </c>
      <c r="O164" s="61" t="str" cm="1">
        <f t="array" aca="1" ref="O164" ca="1">INDIRECT("Vergleich!"&amp;$Y$2&amp;Z164)</f>
        <v>gering</v>
      </c>
      <c r="P164" s="61" cm="1">
        <f t="array" aca="1" ref="P164" ca="1">INDIRECT("Unterhalt!"&amp;$AB$5&amp;AA164)</f>
        <v>170</v>
      </c>
      <c r="Q164" s="61">
        <f ca="1">IF(O164=Auswahllisten!$E$26,0.8,IF(O164=Auswahllisten!$E$27,1,IF(O164=Auswahllisten!$E$29,1.2,0)))</f>
        <v>0.8</v>
      </c>
      <c r="R164" s="61">
        <f t="shared" ca="1" si="178"/>
        <v>136</v>
      </c>
      <c r="S164" s="61" cm="1">
        <f t="array" aca="1" ref="S164" ca="1">INDIRECT("Unterhalt!"&amp;$AB$6&amp;AA164)</f>
        <v>170</v>
      </c>
      <c r="T164" s="61">
        <f ca="1">IF(O164=Auswahllisten!$E$26,0.8,IF(O164=Auswahllisten!$E$27,1,IF(O164=Auswahllisten!$E$29,1.2,0)))</f>
        <v>0.8</v>
      </c>
      <c r="U164" s="61">
        <f t="shared" ca="1" si="179"/>
        <v>136</v>
      </c>
      <c r="V164" s="61">
        <f t="shared" ca="1" si="180"/>
        <v>0</v>
      </c>
      <c r="W164" s="61" t="b">
        <f ca="1">($L$162=$U$5)</f>
        <v>0</v>
      </c>
      <c r="X164" s="61">
        <f t="shared" ref="X164" ca="1" si="183">ROUND(V164*W164,AB164)</f>
        <v>0</v>
      </c>
      <c r="Z164" s="1">
        <f>Z163</f>
        <v>54</v>
      </c>
      <c r="AA164" s="1">
        <v>8</v>
      </c>
      <c r="AB164" s="1">
        <v>-1</v>
      </c>
    </row>
    <row r="165" spans="1:28">
      <c r="A165" s="8"/>
      <c r="M165" s="69"/>
      <c r="Z165" s="1">
        <f t="shared" ref="Z165:Z198" si="184">Z164</f>
        <v>54</v>
      </c>
      <c r="AA165" s="1">
        <v>9</v>
      </c>
      <c r="AB165" s="1">
        <v>-1</v>
      </c>
    </row>
    <row r="166" spans="1:28">
      <c r="A166" s="8" t="s">
        <v>990</v>
      </c>
      <c r="B166" s="8" t="s">
        <v>14</v>
      </c>
      <c r="L166" s="155">
        <v>2</v>
      </c>
      <c r="M166" s="69"/>
      <c r="Z166" s="1">
        <f t="shared" si="184"/>
        <v>54</v>
      </c>
      <c r="AA166" s="1">
        <v>10</v>
      </c>
      <c r="AB166" s="1">
        <v>-1</v>
      </c>
    </row>
    <row r="167" spans="1:28">
      <c r="A167" s="117"/>
      <c r="B167" s="55"/>
      <c r="C167" s="5" t="s">
        <v>255</v>
      </c>
      <c r="D167" s="25" t="str" cm="1">
        <f t="array" aca="1" ref="D167" ca="1">INDIRECT("Vergleich!"&amp;$G$2&amp;Z167)</f>
        <v>mittel</v>
      </c>
      <c r="E167" s="25" cm="1">
        <f t="array" aca="1" ref="E167" ca="1">INDIRECT("Unterhalt!"&amp;$J$5&amp;AA167)</f>
        <v>530</v>
      </c>
      <c r="F167" s="25">
        <f ca="1">IF(D167=Auswahllisten!$E$26,0.8,IF(D167=Auswahllisten!$E$27,1,IF(D167=Auswahllisten!$E$29,1.2,0)))</f>
        <v>1</v>
      </c>
      <c r="G167" s="25">
        <f t="shared" ref="G167:G169" ca="1" si="185">E167*F167</f>
        <v>530</v>
      </c>
      <c r="H167" s="25" cm="1">
        <f t="array" aca="1" ref="H167" ca="1">INDIRECT("Unterhalt!"&amp;$J$6&amp;AA167)</f>
        <v>530</v>
      </c>
      <c r="I167" s="25">
        <f ca="1">IF(D167=Auswahllisten!$E$26,0.8,IF(D167=Auswahllisten!$E$27,1,IF(D167=Auswahllisten!$E$29,1.2,0)))</f>
        <v>1</v>
      </c>
      <c r="J167" s="25">
        <f t="shared" ref="J167:J169" ca="1" si="186">H167*I167</f>
        <v>530</v>
      </c>
      <c r="K167" s="25">
        <f t="shared" ref="K167:K169" ca="1" si="187">IF($C$5=0,0,G167+(J167-G167)*($C$6-$F$5)/($F$6-$F$5))</f>
        <v>0</v>
      </c>
      <c r="L167" s="25" t="b">
        <f ca="1">($L$166=$C$5)</f>
        <v>0</v>
      </c>
      <c r="M167" s="162">
        <f t="shared" ref="M167:M169" ca="1" si="188">ROUND(K167*L167,AB167)</f>
        <v>0</v>
      </c>
      <c r="O167" s="25" t="str" cm="1">
        <f t="array" aca="1" ref="O167" ca="1">INDIRECT("Vergleich!"&amp;$Y$2&amp;Z167)</f>
        <v>gering</v>
      </c>
      <c r="P167" s="25" cm="1">
        <f t="array" aca="1" ref="P167" ca="1">INDIRECT("Unterhalt!"&amp;$AB$5&amp;AA167)</f>
        <v>530</v>
      </c>
      <c r="Q167" s="25">
        <f ca="1">IF(O167=Auswahllisten!$E$26,0.8,IF(O167=Auswahllisten!$E$27,1,IF(O167=Auswahllisten!$E$29,1.2,0)))</f>
        <v>0.8</v>
      </c>
      <c r="R167" s="25">
        <f t="shared" ref="R167:R169" ca="1" si="189">P167*Q167</f>
        <v>424</v>
      </c>
      <c r="S167" s="25" cm="1">
        <f t="array" aca="1" ref="S167" ca="1">INDIRECT("Unterhalt!"&amp;$AB$6&amp;AA167)</f>
        <v>530</v>
      </c>
      <c r="T167" s="25">
        <f ca="1">IF(O167=Auswahllisten!$E$26,0.8,IF(O167=Auswahllisten!$E$27,1,IF(O167=Auswahllisten!$E$29,1.2,0)))</f>
        <v>0.8</v>
      </c>
      <c r="U167" s="25">
        <f t="shared" ref="U167:U169" ca="1" si="190">S167*T167</f>
        <v>424</v>
      </c>
      <c r="V167" s="25">
        <f t="shared" ca="1" si="180"/>
        <v>0</v>
      </c>
      <c r="W167" s="25" t="b">
        <f ca="1">($L$166=$U$5)</f>
        <v>0</v>
      </c>
      <c r="X167" s="25">
        <f t="shared" ref="X167:X169" ca="1" si="191">ROUND(V167*W167,AB167)</f>
        <v>0</v>
      </c>
      <c r="Z167" s="1">
        <f t="shared" si="184"/>
        <v>54</v>
      </c>
      <c r="AA167" s="1">
        <v>11</v>
      </c>
      <c r="AB167" s="1">
        <v>-1</v>
      </c>
    </row>
    <row r="168" spans="1:28">
      <c r="A168" s="546"/>
      <c r="B168" s="71"/>
      <c r="C168" s="2" t="s">
        <v>256</v>
      </c>
      <c r="D168" s="16" t="str" cm="1">
        <f t="array" aca="1" ref="D168" ca="1">INDIRECT("Vergleich!"&amp;$G$2&amp;Z168)</f>
        <v>mittel</v>
      </c>
      <c r="E168" s="25" cm="1">
        <f t="array" aca="1" ref="E168" ca="1">INDIRECT("Unterhalt!"&amp;$J$5&amp;AA168)</f>
        <v>170</v>
      </c>
      <c r="F168" s="25">
        <f ca="1">IF(D168=Auswahllisten!$E$26,0.8,IF(D168=Auswahllisten!$E$27,1,IF(D168=Auswahllisten!$E$29,1.2,0)))</f>
        <v>1</v>
      </c>
      <c r="G168" s="25">
        <f t="shared" ca="1" si="185"/>
        <v>170</v>
      </c>
      <c r="H168" s="25" cm="1">
        <f t="array" aca="1" ref="H168" ca="1">INDIRECT("Unterhalt!"&amp;$J$6&amp;AA168)</f>
        <v>170</v>
      </c>
      <c r="I168" s="25">
        <f ca="1">IF(D168=Auswahllisten!$E$26,0.8,IF(D168=Auswahllisten!$E$27,1,IF(D168=Auswahllisten!$E$29,1.2,0)))</f>
        <v>1</v>
      </c>
      <c r="J168" s="25">
        <f t="shared" ca="1" si="186"/>
        <v>170</v>
      </c>
      <c r="K168" s="25">
        <f t="shared" ca="1" si="187"/>
        <v>0</v>
      </c>
      <c r="L168" s="25" t="b">
        <f ca="1">($L$166=$C$5)</f>
        <v>0</v>
      </c>
      <c r="M168" s="162">
        <f t="shared" ca="1" si="188"/>
        <v>0</v>
      </c>
      <c r="O168" s="25" t="str" cm="1">
        <f t="array" aca="1" ref="O168" ca="1">INDIRECT("Vergleich!"&amp;$Y$2&amp;Z168)</f>
        <v>gering</v>
      </c>
      <c r="P168" s="25" cm="1">
        <f t="array" aca="1" ref="P168" ca="1">INDIRECT("Unterhalt!"&amp;$AB$5&amp;AA168)</f>
        <v>170</v>
      </c>
      <c r="Q168" s="25">
        <f ca="1">IF(O168=Auswahllisten!$E$26,0.8,IF(O168=Auswahllisten!$E$27,1,IF(O168=Auswahllisten!$E$29,1.2,0)))</f>
        <v>0.8</v>
      </c>
      <c r="R168" s="25">
        <f t="shared" ca="1" si="189"/>
        <v>136</v>
      </c>
      <c r="S168" s="25" cm="1">
        <f t="array" aca="1" ref="S168" ca="1">INDIRECT("Unterhalt!"&amp;$AB$6&amp;AA168)</f>
        <v>170</v>
      </c>
      <c r="T168" s="25">
        <f ca="1">IF(O168=Auswahllisten!$E$26,0.8,IF(O168=Auswahllisten!$E$27,1,IF(O168=Auswahllisten!$E$29,1.2,0)))</f>
        <v>0.8</v>
      </c>
      <c r="U168" s="25">
        <f t="shared" ca="1" si="190"/>
        <v>136</v>
      </c>
      <c r="V168" s="25">
        <f t="shared" ca="1" si="180"/>
        <v>0</v>
      </c>
      <c r="W168" s="25" t="b">
        <f ca="1">($L$166=$U$5)</f>
        <v>0</v>
      </c>
      <c r="X168" s="25">
        <f t="shared" ca="1" si="191"/>
        <v>0</v>
      </c>
      <c r="Z168" s="1">
        <f t="shared" si="184"/>
        <v>54</v>
      </c>
      <c r="AA168" s="1">
        <v>12</v>
      </c>
      <c r="AB168" s="1">
        <v>-1</v>
      </c>
    </row>
    <row r="169" spans="1:28">
      <c r="A169" s="545"/>
      <c r="B169" s="94"/>
      <c r="C169" s="142" t="s">
        <v>335</v>
      </c>
      <c r="D169" s="93" t="str" cm="1">
        <f t="array" aca="1" ref="D169" ca="1">INDIRECT("Vergleich!"&amp;$G$2&amp;Z169)</f>
        <v>mittel</v>
      </c>
      <c r="E169" s="61" cm="1">
        <f t="array" aca="1" ref="E169" ca="1">INDIRECT("Unterhalt!"&amp;$J$5&amp;AA169)</f>
        <v>11</v>
      </c>
      <c r="F169" s="61">
        <f ca="1">IF(D169=Auswahllisten!$E$26,0.8,IF(D169=Auswahllisten!$E$27,1,IF(D169=Auswahllisten!$E$29,1.2,0)))</f>
        <v>1</v>
      </c>
      <c r="G169" s="61">
        <f t="shared" ca="1" si="185"/>
        <v>11</v>
      </c>
      <c r="H169" s="61" cm="1">
        <f t="array" aca="1" ref="H169" ca="1">INDIRECT("Unterhalt!"&amp;$J$6&amp;AA169)</f>
        <v>11</v>
      </c>
      <c r="I169" s="61">
        <f ca="1">IF(D169=Auswahllisten!$E$26,0.8,IF(D169=Auswahllisten!$E$27,1,IF(D169=Auswahllisten!$E$29,1.2,0)))</f>
        <v>1</v>
      </c>
      <c r="J169" s="61">
        <f t="shared" ca="1" si="186"/>
        <v>11</v>
      </c>
      <c r="K169" s="61">
        <f t="shared" ca="1" si="187"/>
        <v>0</v>
      </c>
      <c r="L169" s="61" t="b">
        <f ca="1">($L$166=$C$5)</f>
        <v>0</v>
      </c>
      <c r="M169" s="216">
        <f t="shared" ca="1" si="188"/>
        <v>0</v>
      </c>
      <c r="O169" s="61" t="str" cm="1">
        <f t="array" aca="1" ref="O169" ca="1">INDIRECT("Vergleich!"&amp;$Y$2&amp;Z169)</f>
        <v>gering</v>
      </c>
      <c r="P169" s="61" cm="1">
        <f t="array" aca="1" ref="P169" ca="1">INDIRECT("Unterhalt!"&amp;$AB$5&amp;AA169)</f>
        <v>11</v>
      </c>
      <c r="Q169" s="61">
        <f ca="1">IF(O169=Auswahllisten!$E$26,0.8,IF(O169=Auswahllisten!$E$27,1,IF(O169=Auswahllisten!$E$29,1.2,0)))</f>
        <v>0.8</v>
      </c>
      <c r="R169" s="61">
        <f t="shared" ca="1" si="189"/>
        <v>8.8000000000000007</v>
      </c>
      <c r="S169" s="61" cm="1">
        <f t="array" aca="1" ref="S169" ca="1">INDIRECT("Unterhalt!"&amp;$AB$6&amp;AA169)</f>
        <v>11</v>
      </c>
      <c r="T169" s="61">
        <f ca="1">IF(O169=Auswahllisten!$E$26,0.8,IF(O169=Auswahllisten!$E$27,1,IF(O169=Auswahllisten!$E$29,1.2,0)))</f>
        <v>0.8</v>
      </c>
      <c r="U169" s="61">
        <f t="shared" ca="1" si="190"/>
        <v>8.8000000000000007</v>
      </c>
      <c r="V169" s="61">
        <f t="shared" ca="1" si="180"/>
        <v>0</v>
      </c>
      <c r="W169" s="61" t="b">
        <f ca="1">($L$166=$U$5)</f>
        <v>0</v>
      </c>
      <c r="X169" s="61">
        <f t="shared" ca="1" si="191"/>
        <v>0</v>
      </c>
      <c r="Z169" s="1">
        <f t="shared" si="184"/>
        <v>54</v>
      </c>
      <c r="AA169" s="1">
        <v>13</v>
      </c>
      <c r="AB169" s="1">
        <v>-1</v>
      </c>
    </row>
    <row r="170" spans="1:28">
      <c r="A170" s="8"/>
      <c r="M170" s="69"/>
      <c r="Z170" s="1">
        <f t="shared" si="184"/>
        <v>54</v>
      </c>
      <c r="AA170" s="1">
        <v>14</v>
      </c>
      <c r="AB170" s="1">
        <v>-1</v>
      </c>
    </row>
    <row r="171" spans="1:28">
      <c r="A171" s="8" t="str">
        <f>ROMAN(3)</f>
        <v>III</v>
      </c>
      <c r="B171" s="8" t="s">
        <v>1</v>
      </c>
      <c r="L171" s="155">
        <v>3</v>
      </c>
      <c r="M171" s="69"/>
      <c r="Z171" s="1">
        <f t="shared" si="184"/>
        <v>54</v>
      </c>
      <c r="AA171" s="1">
        <v>15</v>
      </c>
      <c r="AB171" s="1">
        <v>-1</v>
      </c>
    </row>
    <row r="172" spans="1:28">
      <c r="A172" s="117"/>
      <c r="B172" s="55"/>
      <c r="C172" s="5" t="s">
        <v>255</v>
      </c>
      <c r="D172" s="25" t="str" cm="1">
        <f t="array" aca="1" ref="D172" ca="1">INDIRECT("Vergleich!"&amp;$G$2&amp;Z172)</f>
        <v>mittel</v>
      </c>
      <c r="E172" s="25" cm="1">
        <f t="array" aca="1" ref="E172" ca="1">INDIRECT("Unterhalt!"&amp;$J$5&amp;AA172)</f>
        <v>490</v>
      </c>
      <c r="F172" s="25">
        <f ca="1">IF(D172=Auswahllisten!$E$26,0.8,IF(D172=Auswahllisten!$E$27,1,IF(D172=Auswahllisten!$E$29,1.2,0)))</f>
        <v>1</v>
      </c>
      <c r="G172" s="25">
        <f t="shared" ref="G172:G173" ca="1" si="192">E172*F172</f>
        <v>490</v>
      </c>
      <c r="H172" s="25" cm="1">
        <f t="array" aca="1" ref="H172" ca="1">INDIRECT("Unterhalt!"&amp;$J$6&amp;AA172)</f>
        <v>490</v>
      </c>
      <c r="I172" s="25">
        <f ca="1">IF(D172=Auswahllisten!$E$26,0.8,IF(D172=Auswahllisten!$E$27,1,IF(D172=Auswahllisten!$E$29,1.2,0)))</f>
        <v>1</v>
      </c>
      <c r="J172" s="25">
        <f t="shared" ref="J172:J173" ca="1" si="193">H172*I172</f>
        <v>490</v>
      </c>
      <c r="K172" s="25">
        <f t="shared" ref="K172:K173" ca="1" si="194">IF($C$5=0,0,G172+(J172-G172)*($C$6-$F$5)/($F$6-$F$5))</f>
        <v>0</v>
      </c>
      <c r="L172" s="25" t="b">
        <f ca="1">($L$171=$C$5)</f>
        <v>0</v>
      </c>
      <c r="M172" s="162">
        <f t="shared" ref="M172:M173" ca="1" si="195">ROUND(K172*L172,AB172)</f>
        <v>0</v>
      </c>
      <c r="O172" s="25" t="str" cm="1">
        <f t="array" aca="1" ref="O172" ca="1">INDIRECT("Vergleich!"&amp;$Y$2&amp;Z172)</f>
        <v>gering</v>
      </c>
      <c r="P172" s="25" cm="1">
        <f t="array" aca="1" ref="P172" ca="1">INDIRECT("Unterhalt!"&amp;$AB$5&amp;AA172)</f>
        <v>490</v>
      </c>
      <c r="Q172" s="25">
        <f ca="1">IF(O172=Auswahllisten!$E$26,0.8,IF(O172=Auswahllisten!$E$27,1,IF(O172=Auswahllisten!$E$29,1.2,0)))</f>
        <v>0.8</v>
      </c>
      <c r="R172" s="25">
        <f t="shared" ref="R172:R173" ca="1" si="196">P172*Q172</f>
        <v>392</v>
      </c>
      <c r="S172" s="25" cm="1">
        <f t="array" aca="1" ref="S172" ca="1">INDIRECT("Unterhalt!"&amp;$AB$6&amp;AA172)</f>
        <v>490</v>
      </c>
      <c r="T172" s="25">
        <f ca="1">IF(O172=Auswahllisten!$E$26,0.8,IF(O172=Auswahllisten!$E$27,1,IF(O172=Auswahllisten!$E$29,1.2,0)))</f>
        <v>0.8</v>
      </c>
      <c r="U172" s="25">
        <f t="shared" ref="U172:U173" ca="1" si="197">S172*T172</f>
        <v>392</v>
      </c>
      <c r="V172" s="25">
        <f t="shared" ca="1" si="180"/>
        <v>0</v>
      </c>
      <c r="W172" s="25" t="b">
        <f ca="1">($L$171=$U$5)</f>
        <v>0</v>
      </c>
      <c r="X172" s="25">
        <f t="shared" ref="X172:X173" ca="1" si="198">ROUND(V172*W172,AB172)</f>
        <v>0</v>
      </c>
      <c r="Z172" s="1">
        <f t="shared" si="184"/>
        <v>54</v>
      </c>
      <c r="AA172" s="1">
        <v>16</v>
      </c>
      <c r="AB172" s="1">
        <v>-1</v>
      </c>
    </row>
    <row r="173" spans="1:28">
      <c r="A173" s="545"/>
      <c r="B173" s="94"/>
      <c r="C173" s="142" t="s">
        <v>256</v>
      </c>
      <c r="D173" s="93" t="str" cm="1">
        <f t="array" aca="1" ref="D173" ca="1">INDIRECT("Vergleich!"&amp;$G$2&amp;Z173)</f>
        <v>mittel</v>
      </c>
      <c r="E173" s="61" cm="1">
        <f t="array" aca="1" ref="E173" ca="1">INDIRECT("Unterhalt!"&amp;$J$5&amp;AA173)</f>
        <v>170</v>
      </c>
      <c r="F173" s="61">
        <f ca="1">IF(D173=Auswahllisten!$E$26,0.8,IF(D173=Auswahllisten!$E$27,1,IF(D173=Auswahllisten!$E$29,1.2,0)))</f>
        <v>1</v>
      </c>
      <c r="G173" s="61">
        <f t="shared" ca="1" si="192"/>
        <v>170</v>
      </c>
      <c r="H173" s="61" cm="1">
        <f t="array" aca="1" ref="H173" ca="1">INDIRECT("Unterhalt!"&amp;$J$6&amp;AA173)</f>
        <v>170</v>
      </c>
      <c r="I173" s="61">
        <f ca="1">IF(D173=Auswahllisten!$E$26,0.8,IF(D173=Auswahllisten!$E$27,1,IF(D173=Auswahllisten!$E$29,1.2,0)))</f>
        <v>1</v>
      </c>
      <c r="J173" s="61">
        <f t="shared" ca="1" si="193"/>
        <v>170</v>
      </c>
      <c r="K173" s="61">
        <f t="shared" ca="1" si="194"/>
        <v>0</v>
      </c>
      <c r="L173" s="61" t="b">
        <f ca="1">($L$171=$C$5)</f>
        <v>0</v>
      </c>
      <c r="M173" s="216">
        <f t="shared" ca="1" si="195"/>
        <v>0</v>
      </c>
      <c r="O173" s="61" t="str" cm="1">
        <f t="array" aca="1" ref="O173" ca="1">INDIRECT("Vergleich!"&amp;$Y$2&amp;Z173)</f>
        <v>gering</v>
      </c>
      <c r="P173" s="61" cm="1">
        <f t="array" aca="1" ref="P173" ca="1">INDIRECT("Unterhalt!"&amp;$AB$5&amp;AA173)</f>
        <v>170</v>
      </c>
      <c r="Q173" s="61">
        <f ca="1">IF(O173=Auswahllisten!$E$26,0.8,IF(O173=Auswahllisten!$E$27,1,IF(O173=Auswahllisten!$E$29,1.2,0)))</f>
        <v>0.8</v>
      </c>
      <c r="R173" s="61">
        <f t="shared" ca="1" si="196"/>
        <v>136</v>
      </c>
      <c r="S173" s="61" cm="1">
        <f t="array" aca="1" ref="S173" ca="1">INDIRECT("Unterhalt!"&amp;$AB$6&amp;AA173)</f>
        <v>170</v>
      </c>
      <c r="T173" s="61">
        <f ca="1">IF(O173=Auswahllisten!$E$26,0.8,IF(O173=Auswahllisten!$E$27,1,IF(O173=Auswahllisten!$E$29,1.2,0)))</f>
        <v>0.8</v>
      </c>
      <c r="U173" s="61">
        <f t="shared" ca="1" si="197"/>
        <v>136</v>
      </c>
      <c r="V173" s="61">
        <f t="shared" ca="1" si="180"/>
        <v>0</v>
      </c>
      <c r="W173" s="61" t="b">
        <f ca="1">($L$171=$U$5)</f>
        <v>0</v>
      </c>
      <c r="X173" s="61">
        <f t="shared" ca="1" si="198"/>
        <v>0</v>
      </c>
      <c r="Z173" s="1">
        <f t="shared" si="184"/>
        <v>54</v>
      </c>
      <c r="AA173" s="1">
        <v>17</v>
      </c>
      <c r="AB173" s="1">
        <v>-1</v>
      </c>
    </row>
    <row r="174" spans="1:28">
      <c r="A174" s="8"/>
      <c r="M174" s="69"/>
      <c r="Z174" s="1">
        <f t="shared" si="184"/>
        <v>54</v>
      </c>
      <c r="AA174" s="1">
        <v>18</v>
      </c>
      <c r="AB174" s="1">
        <v>-1</v>
      </c>
    </row>
    <row r="175" spans="1:28">
      <c r="A175" s="8" t="str">
        <f>ROMAN(4)</f>
        <v>IV</v>
      </c>
      <c r="B175" s="8" t="s">
        <v>15</v>
      </c>
      <c r="L175" s="155">
        <v>4</v>
      </c>
      <c r="M175" s="69"/>
      <c r="Z175" s="1">
        <f t="shared" si="184"/>
        <v>54</v>
      </c>
      <c r="AA175" s="1">
        <v>19</v>
      </c>
      <c r="AB175" s="1">
        <v>-1</v>
      </c>
    </row>
    <row r="176" spans="1:28">
      <c r="A176" s="117"/>
      <c r="B176" s="55"/>
      <c r="C176" s="5" t="s">
        <v>255</v>
      </c>
      <c r="D176" s="25" t="str" cm="1">
        <f t="array" aca="1" ref="D176" ca="1">INDIRECT("Vergleich!"&amp;$G$2&amp;Z176)</f>
        <v>mittel</v>
      </c>
      <c r="E176" s="25" cm="1">
        <f t="array" aca="1" ref="E176" ca="1">INDIRECT("Unterhalt!"&amp;$J$5&amp;AA176)</f>
        <v>0</v>
      </c>
      <c r="F176" s="25">
        <f ca="1">IF(D176=Auswahllisten!$E$26,0.8,IF(D176=Auswahllisten!$E$27,1,IF(D176=Auswahllisten!$E$29,1.2,0)))</f>
        <v>1</v>
      </c>
      <c r="G176" s="25">
        <f t="shared" ref="G176:G177" ca="1" si="199">E176*F176</f>
        <v>0</v>
      </c>
      <c r="H176" s="25" cm="1">
        <f t="array" aca="1" ref="H176" ca="1">INDIRECT("Unterhalt!"&amp;$J$6&amp;AA176)</f>
        <v>0</v>
      </c>
      <c r="I176" s="25">
        <f ca="1">IF(D176=Auswahllisten!$E$26,0.8,IF(D176=Auswahllisten!$E$27,1,IF(D176=Auswahllisten!$E$29,1.2,0)))</f>
        <v>1</v>
      </c>
      <c r="J176" s="25">
        <f t="shared" ref="J176:J177" ca="1" si="200">H176*I176</f>
        <v>0</v>
      </c>
      <c r="K176" s="25">
        <f t="shared" ref="K176:K177" ca="1" si="201">IF($C$5=0,0,G176+(J176-G176)*($C$6-$F$5)/($F$6-$F$5))</f>
        <v>0</v>
      </c>
      <c r="L176" s="25" t="b">
        <f ca="1">($L$175=$C$5)</f>
        <v>0</v>
      </c>
      <c r="M176" s="162">
        <f t="shared" ref="M176:M177" ca="1" si="202">ROUND(K176*L176,AB176)</f>
        <v>0</v>
      </c>
      <c r="O176" s="25" t="str" cm="1">
        <f t="array" aca="1" ref="O176" ca="1">INDIRECT("Vergleich!"&amp;$Y$2&amp;Z176)</f>
        <v>gering</v>
      </c>
      <c r="P176" s="25" cm="1">
        <f t="array" aca="1" ref="P176" ca="1">INDIRECT("Unterhalt!"&amp;$AB$5&amp;AA176)</f>
        <v>0</v>
      </c>
      <c r="Q176" s="25">
        <f ca="1">IF(O176=Auswahllisten!$E$26,0.8,IF(O176=Auswahllisten!$E$27,1,IF(O176=Auswahllisten!$E$29,1.2,0)))</f>
        <v>0.8</v>
      </c>
      <c r="R176" s="25">
        <f t="shared" ref="R176:R177" ca="1" si="203">P176*Q176</f>
        <v>0</v>
      </c>
      <c r="S176" s="25" cm="1">
        <f t="array" aca="1" ref="S176" ca="1">INDIRECT("Unterhalt!"&amp;$AB$6&amp;AA176)</f>
        <v>0</v>
      </c>
      <c r="T176" s="25">
        <f ca="1">IF(O176=Auswahllisten!$E$26,0.8,IF(O176=Auswahllisten!$E$27,1,IF(O176=Auswahllisten!$E$29,1.2,0)))</f>
        <v>0.8</v>
      </c>
      <c r="U176" s="25">
        <f t="shared" ref="U176:U177" ca="1" si="204">S176*T176</f>
        <v>0</v>
      </c>
      <c r="V176" s="25">
        <f t="shared" ca="1" si="180"/>
        <v>0</v>
      </c>
      <c r="W176" s="25" t="b">
        <f ca="1">($L$175=$U$5)</f>
        <v>0</v>
      </c>
      <c r="X176" s="25">
        <f t="shared" ref="X176:X177" ca="1" si="205">ROUND(V176*W176,AB176)</f>
        <v>0</v>
      </c>
      <c r="Z176" s="1">
        <f t="shared" si="184"/>
        <v>54</v>
      </c>
      <c r="AA176" s="1">
        <v>20</v>
      </c>
      <c r="AB176" s="1">
        <v>-1</v>
      </c>
    </row>
    <row r="177" spans="1:28">
      <c r="A177" s="545"/>
      <c r="B177" s="94"/>
      <c r="C177" s="142" t="s">
        <v>256</v>
      </c>
      <c r="D177" s="93" t="str" cm="1">
        <f t="array" aca="1" ref="D177" ca="1">INDIRECT("Vergleich!"&amp;$G$2&amp;Z177)</f>
        <v>mittel</v>
      </c>
      <c r="E177" s="61" cm="1">
        <f t="array" aca="1" ref="E177" ca="1">INDIRECT("Unterhalt!"&amp;$J$5&amp;AA177)</f>
        <v>0</v>
      </c>
      <c r="F177" s="61">
        <f ca="1">IF(D177=Auswahllisten!$E$26,0.8,IF(D177=Auswahllisten!$E$27,1,IF(D177=Auswahllisten!$E$29,1.2,0)))</f>
        <v>1</v>
      </c>
      <c r="G177" s="61">
        <f t="shared" ca="1" si="199"/>
        <v>0</v>
      </c>
      <c r="H177" s="61" cm="1">
        <f t="array" aca="1" ref="H177" ca="1">INDIRECT("Unterhalt!"&amp;$J$6&amp;AA177)</f>
        <v>0</v>
      </c>
      <c r="I177" s="61">
        <f ca="1">IF(D177=Auswahllisten!$E$26,0.8,IF(D177=Auswahllisten!$E$27,1,IF(D177=Auswahllisten!$E$29,1.2,0)))</f>
        <v>1</v>
      </c>
      <c r="J177" s="61">
        <f t="shared" ca="1" si="200"/>
        <v>0</v>
      </c>
      <c r="K177" s="61">
        <f t="shared" ca="1" si="201"/>
        <v>0</v>
      </c>
      <c r="L177" s="61" t="b">
        <f ca="1">($L$175=$C$5)</f>
        <v>0</v>
      </c>
      <c r="M177" s="216">
        <f t="shared" ca="1" si="202"/>
        <v>0</v>
      </c>
      <c r="O177" s="61" t="str" cm="1">
        <f t="array" aca="1" ref="O177" ca="1">INDIRECT("Vergleich!"&amp;$Y$2&amp;Z177)</f>
        <v>gering</v>
      </c>
      <c r="P177" s="61" cm="1">
        <f t="array" aca="1" ref="P177" ca="1">INDIRECT("Unterhalt!"&amp;$AB$5&amp;AA177)</f>
        <v>0</v>
      </c>
      <c r="Q177" s="61">
        <f ca="1">IF(O177=Auswahllisten!$E$26,0.8,IF(O177=Auswahllisten!$E$27,1,IF(O177=Auswahllisten!$E$29,1.2,0)))</f>
        <v>0.8</v>
      </c>
      <c r="R177" s="61">
        <f t="shared" ca="1" si="203"/>
        <v>0</v>
      </c>
      <c r="S177" s="61" cm="1">
        <f t="array" aca="1" ref="S177" ca="1">INDIRECT("Unterhalt!"&amp;$AB$6&amp;AA177)</f>
        <v>0</v>
      </c>
      <c r="T177" s="61">
        <f ca="1">IF(O177=Auswahllisten!$E$26,0.8,IF(O177=Auswahllisten!$E$27,1,IF(O177=Auswahllisten!$E$29,1.2,0)))</f>
        <v>0.8</v>
      </c>
      <c r="U177" s="61">
        <f t="shared" ca="1" si="204"/>
        <v>0</v>
      </c>
      <c r="V177" s="61">
        <f t="shared" ca="1" si="180"/>
        <v>0</v>
      </c>
      <c r="W177" s="61" t="b">
        <f ca="1">($L$175=$U$5)</f>
        <v>0</v>
      </c>
      <c r="X177" s="61">
        <f t="shared" ca="1" si="205"/>
        <v>0</v>
      </c>
      <c r="Z177" s="1">
        <f t="shared" si="184"/>
        <v>54</v>
      </c>
      <c r="AA177" s="1">
        <v>21</v>
      </c>
      <c r="AB177" s="1">
        <v>-1</v>
      </c>
    </row>
    <row r="178" spans="1:28">
      <c r="A178" s="8"/>
      <c r="M178" s="69"/>
      <c r="Z178" s="1">
        <f t="shared" si="184"/>
        <v>54</v>
      </c>
      <c r="AA178" s="1">
        <v>22</v>
      </c>
      <c r="AB178" s="1">
        <v>-1</v>
      </c>
    </row>
    <row r="179" spans="1:28">
      <c r="A179" s="8" t="str">
        <f>ROMAN(5)</f>
        <v>V</v>
      </c>
      <c r="B179" s="8" t="s">
        <v>141</v>
      </c>
      <c r="L179" s="155">
        <v>5</v>
      </c>
      <c r="M179" s="69"/>
      <c r="Z179" s="1">
        <f t="shared" si="184"/>
        <v>54</v>
      </c>
      <c r="AA179" s="1">
        <v>23</v>
      </c>
      <c r="AB179" s="1">
        <v>-1</v>
      </c>
    </row>
    <row r="180" spans="1:28">
      <c r="A180" s="117"/>
      <c r="B180" s="55"/>
      <c r="C180" s="5" t="s">
        <v>255</v>
      </c>
      <c r="D180" s="25" t="str" cm="1">
        <f t="array" aca="1" ref="D180" ca="1">INDIRECT("Vergleich!"&amp;$G$2&amp;Z180)</f>
        <v>mittel</v>
      </c>
      <c r="E180" s="25" cm="1">
        <f t="array" aca="1" ref="E180" ca="1">INDIRECT("Unterhalt!"&amp;$J$5&amp;AA180)</f>
        <v>440</v>
      </c>
      <c r="F180" s="25">
        <f ca="1">IF(D180=Auswahllisten!$E$26,0.8,IF(D180=Auswahllisten!$E$27,1,IF(D180=Auswahllisten!$E$29,1.2,0)))</f>
        <v>1</v>
      </c>
      <c r="G180" s="25">
        <f t="shared" ref="G180:G183" ca="1" si="206">E180*F180</f>
        <v>440</v>
      </c>
      <c r="H180" s="25" cm="1">
        <f t="array" aca="1" ref="H180" ca="1">INDIRECT("Unterhalt!"&amp;$J$6&amp;AA180)</f>
        <v>440</v>
      </c>
      <c r="I180" s="25">
        <f ca="1">IF(D180=Auswahllisten!$E$26,0.8,IF(D180=Auswahllisten!$E$27,1,IF(D180=Auswahllisten!$E$29,1.2,0)))</f>
        <v>1</v>
      </c>
      <c r="J180" s="25">
        <f t="shared" ref="J180:J183" ca="1" si="207">H180*I180</f>
        <v>440</v>
      </c>
      <c r="K180" s="25">
        <f t="shared" ref="K180:K183" ca="1" si="208">IF($C$5=0,0,G180+(J180-G180)*($C$6-$F$5)/($F$6-$F$5))</f>
        <v>0</v>
      </c>
      <c r="L180" s="25" t="b">
        <f ca="1">($L$179=$C$5)</f>
        <v>0</v>
      </c>
      <c r="M180" s="162">
        <f t="shared" ref="M180:M183" ca="1" si="209">ROUND(K180*L180,AB180)</f>
        <v>0</v>
      </c>
      <c r="O180" s="25" t="str" cm="1">
        <f t="array" aca="1" ref="O180" ca="1">INDIRECT("Vergleich!"&amp;$Y$2&amp;Z180)</f>
        <v>gering</v>
      </c>
      <c r="P180" s="25" cm="1">
        <f t="array" aca="1" ref="P180" ca="1">INDIRECT("Unterhalt!"&amp;$AB$5&amp;AA180)</f>
        <v>440</v>
      </c>
      <c r="Q180" s="25">
        <f ca="1">IF(O180=Auswahllisten!$E$26,0.8,IF(O180=Auswahllisten!$E$27,1,IF(O180=Auswahllisten!$E$29,1.2,0)))</f>
        <v>0.8</v>
      </c>
      <c r="R180" s="25">
        <f t="shared" ref="R180:R183" ca="1" si="210">P180*Q180</f>
        <v>352</v>
      </c>
      <c r="S180" s="25" cm="1">
        <f t="array" aca="1" ref="S180" ca="1">INDIRECT("Unterhalt!"&amp;$AB$6&amp;AA180)</f>
        <v>440</v>
      </c>
      <c r="T180" s="25">
        <f ca="1">IF(O180=Auswahllisten!$E$26,0.8,IF(O180=Auswahllisten!$E$27,1,IF(O180=Auswahllisten!$E$29,1.2,0)))</f>
        <v>0.8</v>
      </c>
      <c r="U180" s="25">
        <f t="shared" ref="U180:U183" ca="1" si="211">S180*T180</f>
        <v>352</v>
      </c>
      <c r="V180" s="25">
        <f t="shared" ca="1" si="180"/>
        <v>0</v>
      </c>
      <c r="W180" s="25" t="b">
        <f ca="1">($L$179=$U$5)</f>
        <v>0</v>
      </c>
      <c r="X180" s="25">
        <f t="shared" ref="X180:X183" ca="1" si="212">ROUND(V180*W180,AB180)</f>
        <v>0</v>
      </c>
      <c r="Z180" s="1">
        <f t="shared" si="184"/>
        <v>54</v>
      </c>
      <c r="AA180" s="1">
        <v>24</v>
      </c>
      <c r="AB180" s="1">
        <v>-1</v>
      </c>
    </row>
    <row r="181" spans="1:28">
      <c r="A181" s="546"/>
      <c r="B181" s="71"/>
      <c r="C181" s="2" t="s">
        <v>257</v>
      </c>
      <c r="D181" s="16" t="str" cm="1">
        <f t="array" aca="1" ref="D181" ca="1">INDIRECT("Vergleich!"&amp;$G$2&amp;Z181)</f>
        <v>mittel</v>
      </c>
      <c r="E181" s="25" cm="1">
        <f t="array" aca="1" ref="E181" ca="1">INDIRECT("Unterhalt!"&amp;$J$5&amp;AA181)</f>
        <v>0</v>
      </c>
      <c r="F181" s="25">
        <f ca="1">IF(D181=Auswahllisten!$E$26,0.8,IF(D181=Auswahllisten!$E$27,1,IF(D181=Auswahllisten!$E$29,1.2,0)))</f>
        <v>1</v>
      </c>
      <c r="G181" s="25">
        <f t="shared" ca="1" si="206"/>
        <v>0</v>
      </c>
      <c r="H181" s="25" cm="1">
        <f t="array" aca="1" ref="H181" ca="1">INDIRECT("Unterhalt!"&amp;$J$6&amp;AA181)</f>
        <v>0</v>
      </c>
      <c r="I181" s="25">
        <f ca="1">IF(D181=Auswahllisten!$E$26,0.8,IF(D181=Auswahllisten!$E$27,1,IF(D181=Auswahllisten!$E$29,1.2,0)))</f>
        <v>1</v>
      </c>
      <c r="J181" s="25">
        <f t="shared" ca="1" si="207"/>
        <v>0</v>
      </c>
      <c r="K181" s="25">
        <f t="shared" ca="1" si="208"/>
        <v>0</v>
      </c>
      <c r="L181" s="25" t="b">
        <f ca="1">($L$179=$C$5)</f>
        <v>0</v>
      </c>
      <c r="M181" s="162">
        <f t="shared" ca="1" si="209"/>
        <v>0</v>
      </c>
      <c r="O181" s="25" t="str" cm="1">
        <f t="array" aca="1" ref="O181" ca="1">INDIRECT("Vergleich!"&amp;$Y$2&amp;Z181)</f>
        <v>gering</v>
      </c>
      <c r="P181" s="25" cm="1">
        <f t="array" aca="1" ref="P181" ca="1">INDIRECT("Unterhalt!"&amp;$AB$5&amp;AA181)</f>
        <v>0</v>
      </c>
      <c r="Q181" s="25">
        <f ca="1">IF(O181=Auswahllisten!$E$26,0.8,IF(O181=Auswahllisten!$E$27,1,IF(O181=Auswahllisten!$E$29,1.2,0)))</f>
        <v>0.8</v>
      </c>
      <c r="R181" s="25">
        <f t="shared" ca="1" si="210"/>
        <v>0</v>
      </c>
      <c r="S181" s="25" cm="1">
        <f t="array" aca="1" ref="S181" ca="1">INDIRECT("Unterhalt!"&amp;$AB$6&amp;AA181)</f>
        <v>0</v>
      </c>
      <c r="T181" s="25">
        <f ca="1">IF(O181=Auswahllisten!$E$26,0.8,IF(O181=Auswahllisten!$E$27,1,IF(O181=Auswahllisten!$E$29,1.2,0)))</f>
        <v>0.8</v>
      </c>
      <c r="U181" s="25">
        <f t="shared" ca="1" si="211"/>
        <v>0</v>
      </c>
      <c r="V181" s="25">
        <f t="shared" ca="1" si="180"/>
        <v>0</v>
      </c>
      <c r="W181" s="25" t="b">
        <f ca="1">($L$179=$U$5)</f>
        <v>0</v>
      </c>
      <c r="X181" s="25">
        <f t="shared" ca="1" si="212"/>
        <v>0</v>
      </c>
      <c r="Z181" s="1">
        <f t="shared" si="184"/>
        <v>54</v>
      </c>
      <c r="AA181" s="1">
        <v>25</v>
      </c>
      <c r="AB181" s="1">
        <v>-1</v>
      </c>
    </row>
    <row r="182" spans="1:28">
      <c r="A182" s="546"/>
      <c r="B182" s="71"/>
      <c r="C182" s="2" t="s">
        <v>302</v>
      </c>
      <c r="D182" s="16" t="str" cm="1">
        <f t="array" aca="1" ref="D182" ca="1">INDIRECT("Vergleich!"&amp;$G$2&amp;Z182)</f>
        <v>mittel</v>
      </c>
      <c r="E182" s="25" cm="1">
        <f t="array" aca="1" ref="E182" ca="1">INDIRECT("Unterhalt!"&amp;$J$5&amp;AA182)</f>
        <v>50</v>
      </c>
      <c r="F182" s="25">
        <f ca="1">IF(D182=Auswahllisten!$E$26,0.8,IF(D182=Auswahllisten!$E$27,1,IF(D182=Auswahllisten!$E$29,1.2,0)))</f>
        <v>1</v>
      </c>
      <c r="G182" s="25">
        <f t="shared" ca="1" si="206"/>
        <v>50</v>
      </c>
      <c r="H182" s="25" cm="1">
        <f t="array" aca="1" ref="H182" ca="1">INDIRECT("Unterhalt!"&amp;$J$6&amp;AA182)</f>
        <v>50</v>
      </c>
      <c r="I182" s="25">
        <f ca="1">IF(D182=Auswahllisten!$E$26,0.8,IF(D182=Auswahllisten!$E$27,1,IF(D182=Auswahllisten!$E$29,1.2,0)))</f>
        <v>1</v>
      </c>
      <c r="J182" s="25">
        <f t="shared" ca="1" si="207"/>
        <v>50</v>
      </c>
      <c r="K182" s="25">
        <f t="shared" ca="1" si="208"/>
        <v>0</v>
      </c>
      <c r="L182" s="25" t="b">
        <f ca="1">($L$179=$C$5)</f>
        <v>0</v>
      </c>
      <c r="M182" s="162">
        <f t="shared" ca="1" si="209"/>
        <v>0</v>
      </c>
      <c r="O182" s="25" t="str" cm="1">
        <f t="array" aca="1" ref="O182" ca="1">INDIRECT("Vergleich!"&amp;$Y$2&amp;Z182)</f>
        <v>gering</v>
      </c>
      <c r="P182" s="25" cm="1">
        <f t="array" aca="1" ref="P182" ca="1">INDIRECT("Unterhalt!"&amp;$AB$5&amp;AA182)</f>
        <v>50</v>
      </c>
      <c r="Q182" s="25">
        <f ca="1">IF(O182=Auswahllisten!$E$26,0.8,IF(O182=Auswahllisten!$E$27,1,IF(O182=Auswahllisten!$E$29,1.2,0)))</f>
        <v>0.8</v>
      </c>
      <c r="R182" s="25">
        <f t="shared" ca="1" si="210"/>
        <v>40</v>
      </c>
      <c r="S182" s="25" cm="1">
        <f t="array" aca="1" ref="S182" ca="1">INDIRECT("Unterhalt!"&amp;$AB$6&amp;AA182)</f>
        <v>50</v>
      </c>
      <c r="T182" s="25">
        <f ca="1">IF(O182=Auswahllisten!$E$26,0.8,IF(O182=Auswahllisten!$E$27,1,IF(O182=Auswahllisten!$E$29,1.2,0)))</f>
        <v>0.8</v>
      </c>
      <c r="U182" s="25">
        <f t="shared" ca="1" si="211"/>
        <v>40</v>
      </c>
      <c r="V182" s="25">
        <f t="shared" ca="1" si="180"/>
        <v>0</v>
      </c>
      <c r="W182" s="25" t="b">
        <f ca="1">($L$179=$U$5)</f>
        <v>0</v>
      </c>
      <c r="X182" s="25">
        <f t="shared" ca="1" si="212"/>
        <v>0</v>
      </c>
      <c r="Z182" s="1">
        <f t="shared" si="184"/>
        <v>54</v>
      </c>
      <c r="AA182" s="1">
        <v>26</v>
      </c>
      <c r="AB182" s="1">
        <v>-1</v>
      </c>
    </row>
    <row r="183" spans="1:28">
      <c r="A183" s="545"/>
      <c r="B183" s="94"/>
      <c r="C183" s="142" t="s">
        <v>335</v>
      </c>
      <c r="D183" s="93" t="str" cm="1">
        <f t="array" aca="1" ref="D183" ca="1">INDIRECT("Vergleich!"&amp;$G$2&amp;Z183)</f>
        <v>mittel</v>
      </c>
      <c r="E183" s="61" cm="1">
        <f t="array" aca="1" ref="E183" ca="1">INDIRECT("Unterhalt!"&amp;$J$5&amp;AA183)</f>
        <v>0</v>
      </c>
      <c r="F183" s="61">
        <f ca="1">IF(D183=Auswahllisten!$E$26,0.8,IF(D183=Auswahllisten!$E$27,1,IF(D183=Auswahllisten!$E$29,1.2,0)))</f>
        <v>1</v>
      </c>
      <c r="G183" s="61">
        <f t="shared" ca="1" si="206"/>
        <v>0</v>
      </c>
      <c r="H183" s="61" cm="1">
        <f t="array" aca="1" ref="H183" ca="1">INDIRECT("Unterhalt!"&amp;$J$6&amp;AA183)</f>
        <v>0</v>
      </c>
      <c r="I183" s="61">
        <f ca="1">IF(D183=Auswahllisten!$E$26,0.8,IF(D183=Auswahllisten!$E$27,1,IF(D183=Auswahllisten!$E$29,1.2,0)))</f>
        <v>1</v>
      </c>
      <c r="J183" s="61">
        <f t="shared" ca="1" si="207"/>
        <v>0</v>
      </c>
      <c r="K183" s="61">
        <f t="shared" ca="1" si="208"/>
        <v>0</v>
      </c>
      <c r="L183" s="61" t="b">
        <f ca="1">($L$179=$C$5)</f>
        <v>0</v>
      </c>
      <c r="M183" s="216">
        <f t="shared" ca="1" si="209"/>
        <v>0</v>
      </c>
      <c r="O183" s="61" t="str" cm="1">
        <f t="array" aca="1" ref="O183" ca="1">INDIRECT("Vergleich!"&amp;$Y$2&amp;Z183)</f>
        <v>gering</v>
      </c>
      <c r="P183" s="61" cm="1">
        <f t="array" aca="1" ref="P183" ca="1">INDIRECT("Unterhalt!"&amp;$AB$5&amp;AA183)</f>
        <v>0</v>
      </c>
      <c r="Q183" s="61">
        <f ca="1">IF(O183=Auswahllisten!$E$26,0.8,IF(O183=Auswahllisten!$E$27,1,IF(O183=Auswahllisten!$E$29,1.2,0)))</f>
        <v>0.8</v>
      </c>
      <c r="R183" s="61">
        <f t="shared" ca="1" si="210"/>
        <v>0</v>
      </c>
      <c r="S183" s="61" cm="1">
        <f t="array" aca="1" ref="S183" ca="1">INDIRECT("Unterhalt!"&amp;$AB$6&amp;AA183)</f>
        <v>0</v>
      </c>
      <c r="T183" s="61">
        <f ca="1">IF(O183=Auswahllisten!$E$26,0.8,IF(O183=Auswahllisten!$E$27,1,IF(O183=Auswahllisten!$E$29,1.2,0)))</f>
        <v>0.8</v>
      </c>
      <c r="U183" s="61">
        <f t="shared" ca="1" si="211"/>
        <v>0</v>
      </c>
      <c r="V183" s="61">
        <f t="shared" ca="1" si="180"/>
        <v>0</v>
      </c>
      <c r="W183" s="61" t="b">
        <f ca="1">($L$179=$U$5)</f>
        <v>0</v>
      </c>
      <c r="X183" s="61">
        <f t="shared" ca="1" si="212"/>
        <v>0</v>
      </c>
      <c r="Z183" s="1">
        <f t="shared" si="184"/>
        <v>54</v>
      </c>
      <c r="AA183" s="1">
        <v>27</v>
      </c>
      <c r="AB183" s="1">
        <v>-1</v>
      </c>
    </row>
    <row r="184" spans="1:28">
      <c r="A184" s="8"/>
      <c r="M184" s="69"/>
      <c r="Z184" s="1">
        <f t="shared" si="184"/>
        <v>54</v>
      </c>
      <c r="AA184" s="1">
        <v>28</v>
      </c>
      <c r="AB184" s="1">
        <v>-1</v>
      </c>
    </row>
    <row r="185" spans="1:28">
      <c r="A185" s="8" t="str">
        <f>ROMAN(6)</f>
        <v>VI</v>
      </c>
      <c r="B185" s="8" t="s">
        <v>142</v>
      </c>
      <c r="L185" s="155">
        <v>6</v>
      </c>
      <c r="M185" s="69"/>
      <c r="Z185" s="1">
        <f t="shared" si="184"/>
        <v>54</v>
      </c>
      <c r="AA185" s="1">
        <v>29</v>
      </c>
      <c r="AB185" s="1">
        <v>-1</v>
      </c>
    </row>
    <row r="186" spans="1:28">
      <c r="A186" s="117"/>
      <c r="B186" s="55"/>
      <c r="C186" s="5" t="s">
        <v>255</v>
      </c>
      <c r="D186" s="25" t="str" cm="1">
        <f t="array" aca="1" ref="D186" ca="1">INDIRECT("Vergleich!"&amp;$G$2&amp;Z186)</f>
        <v>mittel</v>
      </c>
      <c r="E186" s="5" cm="1">
        <f t="array" aca="1" ref="E186" ca="1">INDIRECT("Unterhalt!"&amp;$J$5&amp;AA186)</f>
        <v>680</v>
      </c>
      <c r="F186" s="25">
        <f ca="1">IF(D186=Auswahllisten!$E$26,0.8,IF(D186=Auswahllisten!$E$27,1,IF(D186=Auswahllisten!$E$29,1.2,0)))</f>
        <v>1</v>
      </c>
      <c r="G186" s="25">
        <f t="shared" ref="G186:G188" ca="1" si="213">E186*F186</f>
        <v>680</v>
      </c>
      <c r="H186" s="25" cm="1">
        <f t="array" aca="1" ref="H186" ca="1">INDIRECT("Unterhalt!"&amp;$J$6&amp;AA186)</f>
        <v>680</v>
      </c>
      <c r="I186" s="25">
        <f ca="1">IF(D186=Auswahllisten!$E$26,0.8,IF(D186=Auswahllisten!$E$27,1,IF(D186=Auswahllisten!$E$29,1.2,0)))</f>
        <v>1</v>
      </c>
      <c r="J186" s="25">
        <f t="shared" ref="J186:J188" ca="1" si="214">H186*I186</f>
        <v>680</v>
      </c>
      <c r="K186" s="25">
        <f t="shared" ref="K186:K188" ca="1" si="215">IF($C$5=0,0,G186+(J186-G186)*($C$6-$F$5)/($F$6-$F$5))</f>
        <v>0</v>
      </c>
      <c r="L186" s="25" t="b">
        <f ca="1">($L$185=$C$5)</f>
        <v>0</v>
      </c>
      <c r="M186" s="162">
        <f t="shared" ref="M186:M188" ca="1" si="216">ROUND(K186*L186,AB186)</f>
        <v>0</v>
      </c>
      <c r="O186" s="5" t="str" cm="1">
        <f t="array" aca="1" ref="O186" ca="1">INDIRECT("Vergleich!"&amp;$Y$2&amp;Z186)</f>
        <v>gering</v>
      </c>
      <c r="P186" s="5" cm="1">
        <f t="array" aca="1" ref="P186" ca="1">INDIRECT("Unterhalt!"&amp;$AB$5&amp;AA186)</f>
        <v>680</v>
      </c>
      <c r="Q186" s="25">
        <f ca="1">IF(O186=Auswahllisten!$E$26,0.8,IF(O186=Auswahllisten!$E$27,1,IF(O186=Auswahllisten!$E$29,1.2,0)))</f>
        <v>0.8</v>
      </c>
      <c r="R186" s="25">
        <f t="shared" ref="R186:R188" ca="1" si="217">P186*Q186</f>
        <v>544</v>
      </c>
      <c r="S186" s="25" cm="1">
        <f t="array" aca="1" ref="S186" ca="1">INDIRECT("Unterhalt!"&amp;$AB$6&amp;AA186)</f>
        <v>680</v>
      </c>
      <c r="T186" s="25">
        <f ca="1">IF(O186=Auswahllisten!$E$26,0.8,IF(O186=Auswahllisten!$E$27,1,IF(O186=Auswahllisten!$E$29,1.2,0)))</f>
        <v>0.8</v>
      </c>
      <c r="U186" s="25">
        <f t="shared" ref="U186:U188" ca="1" si="218">S186*T186</f>
        <v>544</v>
      </c>
      <c r="V186" s="25">
        <f t="shared" ca="1" si="180"/>
        <v>0</v>
      </c>
      <c r="W186" s="25" t="b">
        <f ca="1">($L$185=$U$5)</f>
        <v>0</v>
      </c>
      <c r="X186" s="25">
        <f t="shared" ref="X186:X188" ca="1" si="219">ROUND(V186*W186,AB186)</f>
        <v>0</v>
      </c>
      <c r="Z186" s="1">
        <f t="shared" si="184"/>
        <v>54</v>
      </c>
      <c r="AA186" s="1">
        <v>30</v>
      </c>
      <c r="AB186" s="1">
        <v>-1</v>
      </c>
    </row>
    <row r="187" spans="1:28">
      <c r="A187" s="546"/>
      <c r="B187" s="71"/>
      <c r="C187" s="2" t="s">
        <v>302</v>
      </c>
      <c r="D187" s="16" t="str" cm="1">
        <f t="array" aca="1" ref="D187" ca="1">INDIRECT("Vergleich!"&amp;$G$2&amp;Z187)</f>
        <v>mittel</v>
      </c>
      <c r="E187" s="5" cm="1">
        <f t="array" aca="1" ref="E187" ca="1">INDIRECT("Unterhalt!"&amp;$J$5&amp;AA187)</f>
        <v>50</v>
      </c>
      <c r="F187" s="25">
        <f ca="1">IF(D187=Auswahllisten!$E$26,0.8,IF(D187=Auswahllisten!$E$27,1,IF(D187=Auswahllisten!$E$29,1.2,0)))</f>
        <v>1</v>
      </c>
      <c r="G187" s="25">
        <f t="shared" ca="1" si="213"/>
        <v>50</v>
      </c>
      <c r="H187" s="25" cm="1">
        <f t="array" aca="1" ref="H187" ca="1">INDIRECT("Unterhalt!"&amp;$J$6&amp;AA187)</f>
        <v>50</v>
      </c>
      <c r="I187" s="25">
        <f ca="1">IF(D187=Auswahllisten!$E$26,0.8,IF(D187=Auswahllisten!$E$27,1,IF(D187=Auswahllisten!$E$29,1.2,0)))</f>
        <v>1</v>
      </c>
      <c r="J187" s="25">
        <f t="shared" ca="1" si="214"/>
        <v>50</v>
      </c>
      <c r="K187" s="25">
        <f t="shared" ca="1" si="215"/>
        <v>0</v>
      </c>
      <c r="L187" s="25" t="b">
        <f ca="1">($L$185=$C$5)</f>
        <v>0</v>
      </c>
      <c r="M187" s="162">
        <f t="shared" ca="1" si="216"/>
        <v>0</v>
      </c>
      <c r="O187" s="5" t="str" cm="1">
        <f t="array" aca="1" ref="O187" ca="1">INDIRECT("Vergleich!"&amp;$Y$2&amp;Z187)</f>
        <v>gering</v>
      </c>
      <c r="P187" s="5" cm="1">
        <f t="array" aca="1" ref="P187" ca="1">INDIRECT("Unterhalt!"&amp;$AB$5&amp;AA187)</f>
        <v>50</v>
      </c>
      <c r="Q187" s="25">
        <f ca="1">IF(O187=Auswahllisten!$E$26,0.8,IF(O187=Auswahllisten!$E$27,1,IF(O187=Auswahllisten!$E$29,1.2,0)))</f>
        <v>0.8</v>
      </c>
      <c r="R187" s="25">
        <f t="shared" ca="1" si="217"/>
        <v>40</v>
      </c>
      <c r="S187" s="25" cm="1">
        <f t="array" aca="1" ref="S187" ca="1">INDIRECT("Unterhalt!"&amp;$AB$6&amp;AA187)</f>
        <v>50</v>
      </c>
      <c r="T187" s="25">
        <f ca="1">IF(O187=Auswahllisten!$E$26,0.8,IF(O187=Auswahllisten!$E$27,1,IF(O187=Auswahllisten!$E$29,1.2,0)))</f>
        <v>0.8</v>
      </c>
      <c r="U187" s="25">
        <f t="shared" ca="1" si="218"/>
        <v>40</v>
      </c>
      <c r="V187" s="25">
        <f t="shared" ca="1" si="180"/>
        <v>0</v>
      </c>
      <c r="W187" s="25" t="b">
        <f ca="1">($L$185=$U$5)</f>
        <v>0</v>
      </c>
      <c r="X187" s="25">
        <f t="shared" ca="1" si="219"/>
        <v>0</v>
      </c>
      <c r="Z187" s="1">
        <f t="shared" si="184"/>
        <v>54</v>
      </c>
      <c r="AA187" s="1">
        <v>31</v>
      </c>
      <c r="AB187" s="1">
        <v>-1</v>
      </c>
    </row>
    <row r="188" spans="1:28">
      <c r="A188" s="545"/>
      <c r="B188" s="94"/>
      <c r="C188" s="142" t="s">
        <v>335</v>
      </c>
      <c r="D188" s="93" t="str" cm="1">
        <f t="array" aca="1" ref="D188" ca="1">INDIRECT("Vergleich!"&amp;$G$2&amp;Z188)</f>
        <v>mittel</v>
      </c>
      <c r="E188" s="4" cm="1">
        <f t="array" aca="1" ref="E188" ca="1">INDIRECT("Unterhalt!"&amp;$J$5&amp;AA188)</f>
        <v>0</v>
      </c>
      <c r="F188" s="61">
        <f ca="1">IF(D188=Auswahllisten!$E$26,0.8,IF(D188=Auswahllisten!$E$27,1,IF(D188=Auswahllisten!$E$29,1.2,0)))</f>
        <v>1</v>
      </c>
      <c r="G188" s="61">
        <f t="shared" ca="1" si="213"/>
        <v>0</v>
      </c>
      <c r="H188" s="61" cm="1">
        <f t="array" aca="1" ref="H188" ca="1">INDIRECT("Unterhalt!"&amp;$J$6&amp;AA188)</f>
        <v>0</v>
      </c>
      <c r="I188" s="61">
        <f ca="1">IF(D188=Auswahllisten!$E$26,0.8,IF(D188=Auswahllisten!$E$27,1,IF(D188=Auswahllisten!$E$29,1.2,0)))</f>
        <v>1</v>
      </c>
      <c r="J188" s="61">
        <f t="shared" ca="1" si="214"/>
        <v>0</v>
      </c>
      <c r="K188" s="61">
        <f t="shared" ca="1" si="215"/>
        <v>0</v>
      </c>
      <c r="L188" s="61" t="b">
        <f ca="1">($L$185=$C$5)</f>
        <v>0</v>
      </c>
      <c r="M188" s="216">
        <f t="shared" ca="1" si="216"/>
        <v>0</v>
      </c>
      <c r="O188" s="4" t="str" cm="1">
        <f t="array" aca="1" ref="O188" ca="1">INDIRECT("Vergleich!"&amp;$Y$2&amp;Z188)</f>
        <v>gering</v>
      </c>
      <c r="P188" s="4" cm="1">
        <f t="array" aca="1" ref="P188" ca="1">INDIRECT("Unterhalt!"&amp;$AB$5&amp;AA188)</f>
        <v>0</v>
      </c>
      <c r="Q188" s="61">
        <f ca="1">IF(O188=Auswahllisten!$E$26,0.8,IF(O188=Auswahllisten!$E$27,1,IF(O188=Auswahllisten!$E$29,1.2,0)))</f>
        <v>0.8</v>
      </c>
      <c r="R188" s="61">
        <f t="shared" ca="1" si="217"/>
        <v>0</v>
      </c>
      <c r="S188" s="61" cm="1">
        <f t="array" aca="1" ref="S188" ca="1">INDIRECT("Unterhalt!"&amp;$AB$6&amp;AA188)</f>
        <v>0</v>
      </c>
      <c r="T188" s="61">
        <f ca="1">IF(O188=Auswahllisten!$E$26,0.8,IF(O188=Auswahllisten!$E$27,1,IF(O188=Auswahllisten!$E$29,1.2,0)))</f>
        <v>0.8</v>
      </c>
      <c r="U188" s="61">
        <f t="shared" ca="1" si="218"/>
        <v>0</v>
      </c>
      <c r="V188" s="61">
        <f t="shared" ca="1" si="180"/>
        <v>0</v>
      </c>
      <c r="W188" s="61" t="b">
        <f ca="1">($L$185=$U$5)</f>
        <v>0</v>
      </c>
      <c r="X188" s="61">
        <f t="shared" ca="1" si="219"/>
        <v>0</v>
      </c>
      <c r="Z188" s="1">
        <f t="shared" si="184"/>
        <v>54</v>
      </c>
      <c r="AA188" s="1">
        <v>32</v>
      </c>
      <c r="AB188" s="1">
        <v>-1</v>
      </c>
    </row>
    <row r="189" spans="1:28">
      <c r="A189" s="8"/>
      <c r="M189" s="69"/>
      <c r="Z189" s="1">
        <f t="shared" si="184"/>
        <v>54</v>
      </c>
      <c r="AA189" s="1">
        <v>33</v>
      </c>
      <c r="AB189" s="1">
        <v>-1</v>
      </c>
    </row>
    <row r="190" spans="1:28">
      <c r="A190" s="8" t="str">
        <f>ROMAN(7)</f>
        <v>VII</v>
      </c>
      <c r="B190" s="8" t="s">
        <v>143</v>
      </c>
      <c r="L190" s="155">
        <v>7</v>
      </c>
      <c r="M190" s="69"/>
      <c r="Z190" s="1">
        <f t="shared" si="184"/>
        <v>54</v>
      </c>
      <c r="AA190" s="1">
        <v>34</v>
      </c>
      <c r="AB190" s="1">
        <v>-1</v>
      </c>
    </row>
    <row r="191" spans="1:28">
      <c r="A191" s="117"/>
      <c r="B191" s="55"/>
      <c r="C191" s="5" t="s">
        <v>255</v>
      </c>
      <c r="D191" s="25" t="str" cm="1">
        <f t="array" aca="1" ref="D191" ca="1">INDIRECT("Vergleich!"&amp;$G$2&amp;Z191)</f>
        <v>mittel</v>
      </c>
      <c r="E191" s="25" cm="1">
        <f t="array" aca="1" ref="E191" ca="1">INDIRECT("Unterhalt!"&amp;$J$5&amp;AA191)</f>
        <v>680</v>
      </c>
      <c r="F191" s="25">
        <f ca="1">IF(D191=Auswahllisten!$E$26,0.8,IF(D191=Auswahllisten!$E$27,1,IF(D191=Auswahllisten!$E$29,1.2,0)))</f>
        <v>1</v>
      </c>
      <c r="G191" s="25">
        <f t="shared" ref="G191:G193" ca="1" si="220">E191*F191</f>
        <v>680</v>
      </c>
      <c r="H191" s="25" cm="1">
        <f t="array" aca="1" ref="H191" ca="1">INDIRECT("Unterhalt!"&amp;$J$6&amp;AA191)</f>
        <v>680</v>
      </c>
      <c r="I191" s="25">
        <f ca="1">IF(D191=Auswahllisten!$E$26,0.8,IF(D191=Auswahllisten!$E$27,1,IF(D191=Auswahllisten!$E$29,1.2,0)))</f>
        <v>1</v>
      </c>
      <c r="J191" s="25">
        <f t="shared" ref="J191:J193" ca="1" si="221">H191*I191</f>
        <v>680</v>
      </c>
      <c r="K191" s="25">
        <f t="shared" ref="K191:K193" ca="1" si="222">IF($C$5=0,0,G191+(J191-G191)*($C$6-$F$5)/($F$6-$F$5))</f>
        <v>0</v>
      </c>
      <c r="L191" s="25" t="b">
        <f ca="1">($L$190=$C$5)</f>
        <v>0</v>
      </c>
      <c r="M191" s="162">
        <f t="shared" ref="M191:M193" ca="1" si="223">ROUND(K191*L191,AB191)</f>
        <v>0</v>
      </c>
      <c r="O191" s="25" t="str" cm="1">
        <f t="array" aca="1" ref="O191" ca="1">INDIRECT("Vergleich!"&amp;$Y$2&amp;Z191)</f>
        <v>gering</v>
      </c>
      <c r="P191" s="25" cm="1">
        <f t="array" aca="1" ref="P191" ca="1">INDIRECT("Unterhalt!"&amp;$AB$5&amp;AA191)</f>
        <v>680</v>
      </c>
      <c r="Q191" s="25">
        <f ca="1">IF(O191=Auswahllisten!$E$26,0.8,IF(O191=Auswahllisten!$E$27,1,IF(O191=Auswahllisten!$E$29,1.2,0)))</f>
        <v>0.8</v>
      </c>
      <c r="R191" s="25">
        <f t="shared" ref="R191:R193" ca="1" si="224">P191*Q191</f>
        <v>544</v>
      </c>
      <c r="S191" s="25" cm="1">
        <f t="array" aca="1" ref="S191" ca="1">INDIRECT("Unterhalt!"&amp;$AB$6&amp;AA191)</f>
        <v>680</v>
      </c>
      <c r="T191" s="25">
        <f ca="1">IF(O191=Auswahllisten!$E$26,0.8,IF(O191=Auswahllisten!$E$27,1,IF(O191=Auswahllisten!$E$29,1.2,0)))</f>
        <v>0.8</v>
      </c>
      <c r="U191" s="25">
        <f t="shared" ref="U191:U193" ca="1" si="225">S191*T191</f>
        <v>544</v>
      </c>
      <c r="V191" s="25">
        <f ca="1">IF($U$5=0,0,R191+(U191-R191)*($U$6-$X$5)/($X$6-$X$5))</f>
        <v>0</v>
      </c>
      <c r="W191" s="25" t="b">
        <f ca="1">($L$190=$U$5)</f>
        <v>0</v>
      </c>
      <c r="X191" s="25">
        <f t="shared" ref="X191:X193" ca="1" si="226">ROUND(V191*W191,AB191)</f>
        <v>0</v>
      </c>
      <c r="Z191" s="1">
        <f t="shared" si="184"/>
        <v>54</v>
      </c>
      <c r="AA191" s="1">
        <v>35</v>
      </c>
      <c r="AB191" s="1">
        <v>-1</v>
      </c>
    </row>
    <row r="192" spans="1:28">
      <c r="A192" s="546"/>
      <c r="B192" s="71"/>
      <c r="C192" s="2" t="s">
        <v>302</v>
      </c>
      <c r="D192" s="16" t="str" cm="1">
        <f t="array" aca="1" ref="D192" ca="1">INDIRECT("Vergleich!"&amp;$G$2&amp;Z192)</f>
        <v>mittel</v>
      </c>
      <c r="E192" s="25" cm="1">
        <f t="array" aca="1" ref="E192" ca="1">INDIRECT("Unterhalt!"&amp;$J$5&amp;AA192)</f>
        <v>50</v>
      </c>
      <c r="F192" s="25">
        <f ca="1">IF(D192=Auswahllisten!$E$26,0.8,IF(D192=Auswahllisten!$E$27,1,IF(D192=Auswahllisten!$E$29,1.2,0)))</f>
        <v>1</v>
      </c>
      <c r="G192" s="25">
        <f t="shared" ca="1" si="220"/>
        <v>50</v>
      </c>
      <c r="H192" s="25" cm="1">
        <f t="array" aca="1" ref="H192" ca="1">INDIRECT("Unterhalt!"&amp;$J$6&amp;AA192)</f>
        <v>50</v>
      </c>
      <c r="I192" s="25">
        <f ca="1">IF(D192=Auswahllisten!$E$26,0.8,IF(D192=Auswahllisten!$E$27,1,IF(D192=Auswahllisten!$E$29,1.2,0)))</f>
        <v>1</v>
      </c>
      <c r="J192" s="25">
        <f t="shared" ca="1" si="221"/>
        <v>50</v>
      </c>
      <c r="K192" s="25">
        <f t="shared" ca="1" si="222"/>
        <v>0</v>
      </c>
      <c r="L192" s="25" t="b">
        <f ca="1">($L$190=$C$5)</f>
        <v>0</v>
      </c>
      <c r="M192" s="162">
        <f t="shared" ca="1" si="223"/>
        <v>0</v>
      </c>
      <c r="O192" s="25" t="str" cm="1">
        <f t="array" aca="1" ref="O192" ca="1">INDIRECT("Vergleich!"&amp;$Y$2&amp;Z192)</f>
        <v>gering</v>
      </c>
      <c r="P192" s="25" cm="1">
        <f t="array" aca="1" ref="P192" ca="1">INDIRECT("Unterhalt!"&amp;$AB$5&amp;AA192)</f>
        <v>50</v>
      </c>
      <c r="Q192" s="25">
        <f ca="1">IF(O192=Auswahllisten!$E$26,0.8,IF(O192=Auswahllisten!$E$27,1,IF(O192=Auswahllisten!$E$29,1.2,0)))</f>
        <v>0.8</v>
      </c>
      <c r="R192" s="25">
        <f t="shared" ca="1" si="224"/>
        <v>40</v>
      </c>
      <c r="S192" s="25" cm="1">
        <f t="array" aca="1" ref="S192" ca="1">INDIRECT("Unterhalt!"&amp;$AB$6&amp;AA192)</f>
        <v>50</v>
      </c>
      <c r="T192" s="25">
        <f ca="1">IF(O192=Auswahllisten!$E$26,0.8,IF(O192=Auswahllisten!$E$27,1,IF(O192=Auswahllisten!$E$29,1.2,0)))</f>
        <v>0.8</v>
      </c>
      <c r="U192" s="25">
        <f t="shared" ca="1" si="225"/>
        <v>40</v>
      </c>
      <c r="V192" s="25">
        <f t="shared" ca="1" si="180"/>
        <v>0</v>
      </c>
      <c r="W192" s="25" t="b">
        <f ca="1">($L$190=$U$5)</f>
        <v>0</v>
      </c>
      <c r="X192" s="25">
        <f t="shared" ca="1" si="226"/>
        <v>0</v>
      </c>
      <c r="Z192" s="1">
        <f t="shared" si="184"/>
        <v>54</v>
      </c>
      <c r="AA192" s="1">
        <v>36</v>
      </c>
      <c r="AB192" s="1">
        <v>-1</v>
      </c>
    </row>
    <row r="193" spans="1:28">
      <c r="A193" s="545"/>
      <c r="B193" s="94"/>
      <c r="C193" s="142" t="s">
        <v>335</v>
      </c>
      <c r="D193" s="93" t="str" cm="1">
        <f t="array" aca="1" ref="D193" ca="1">INDIRECT("Vergleich!"&amp;$G$2&amp;Z193)</f>
        <v>mittel</v>
      </c>
      <c r="E193" s="61" cm="1">
        <f t="array" aca="1" ref="E193" ca="1">INDIRECT("Unterhalt!"&amp;$J$5&amp;AA193)</f>
        <v>0</v>
      </c>
      <c r="F193" s="61">
        <f ca="1">IF(D193=Auswahllisten!$E$26,0.8,IF(D193=Auswahllisten!$E$27,1,IF(D193=Auswahllisten!$E$29,1.2,0)))</f>
        <v>1</v>
      </c>
      <c r="G193" s="61">
        <f t="shared" ca="1" si="220"/>
        <v>0</v>
      </c>
      <c r="H193" s="61" cm="1">
        <f t="array" aca="1" ref="H193" ca="1">INDIRECT("Unterhalt!"&amp;$J$6&amp;AA193)</f>
        <v>0</v>
      </c>
      <c r="I193" s="61">
        <f ca="1">IF(D193=Auswahllisten!$E$26,0.8,IF(D193=Auswahllisten!$E$27,1,IF(D193=Auswahllisten!$E$29,1.2,0)))</f>
        <v>1</v>
      </c>
      <c r="J193" s="61">
        <f t="shared" ca="1" si="221"/>
        <v>0</v>
      </c>
      <c r="K193" s="61">
        <f t="shared" ca="1" si="222"/>
        <v>0</v>
      </c>
      <c r="L193" s="61" t="b">
        <f ca="1">($L$190=$C$5)</f>
        <v>0</v>
      </c>
      <c r="M193" s="216">
        <f t="shared" ca="1" si="223"/>
        <v>0</v>
      </c>
      <c r="O193" s="61" t="str" cm="1">
        <f t="array" aca="1" ref="O193" ca="1">INDIRECT("Vergleich!"&amp;$Y$2&amp;Z193)</f>
        <v>gering</v>
      </c>
      <c r="P193" s="61" cm="1">
        <f t="array" aca="1" ref="P193" ca="1">INDIRECT("Unterhalt!"&amp;$AB$5&amp;AA193)</f>
        <v>0</v>
      </c>
      <c r="Q193" s="61">
        <f ca="1">IF(O193=Auswahllisten!$E$26,0.8,IF(O193=Auswahllisten!$E$27,1,IF(O193=Auswahllisten!$E$29,1.2,0)))</f>
        <v>0.8</v>
      </c>
      <c r="R193" s="61">
        <f t="shared" ca="1" si="224"/>
        <v>0</v>
      </c>
      <c r="S193" s="61" cm="1">
        <f t="array" aca="1" ref="S193" ca="1">INDIRECT("Unterhalt!"&amp;$AB$6&amp;AA193)</f>
        <v>0</v>
      </c>
      <c r="T193" s="61">
        <f ca="1">IF(O193=Auswahllisten!$E$26,0.8,IF(O193=Auswahllisten!$E$27,1,IF(O193=Auswahllisten!$E$29,1.2,0)))</f>
        <v>0.8</v>
      </c>
      <c r="U193" s="61">
        <f t="shared" ca="1" si="225"/>
        <v>0</v>
      </c>
      <c r="V193" s="61">
        <f t="shared" ca="1" si="180"/>
        <v>0</v>
      </c>
      <c r="W193" s="61" t="b">
        <f ca="1">($L$190=$U$5)</f>
        <v>0</v>
      </c>
      <c r="X193" s="61">
        <f t="shared" ca="1" si="226"/>
        <v>0</v>
      </c>
      <c r="Z193" s="1">
        <f t="shared" si="184"/>
        <v>54</v>
      </c>
      <c r="AA193" s="1">
        <v>37</v>
      </c>
      <c r="AB193" s="1">
        <v>-1</v>
      </c>
    </row>
    <row r="194" spans="1:28">
      <c r="A194" s="8"/>
      <c r="M194" s="69"/>
      <c r="Z194" s="1">
        <f t="shared" si="184"/>
        <v>54</v>
      </c>
      <c r="AA194" s="1">
        <v>38</v>
      </c>
      <c r="AB194" s="1">
        <v>-1</v>
      </c>
    </row>
    <row r="195" spans="1:28">
      <c r="A195" s="8" t="str">
        <f>ROMAN(8)</f>
        <v>VIII</v>
      </c>
      <c r="B195" s="8" t="s">
        <v>1810</v>
      </c>
      <c r="L195" s="155">
        <v>14</v>
      </c>
      <c r="M195" s="69"/>
      <c r="Z195" s="1">
        <f t="shared" si="184"/>
        <v>54</v>
      </c>
      <c r="AA195" s="1">
        <v>39</v>
      </c>
      <c r="AB195" s="1">
        <v>-1</v>
      </c>
    </row>
    <row r="196" spans="1:28">
      <c r="A196" s="117"/>
      <c r="B196" s="55"/>
      <c r="C196" s="5" t="s">
        <v>255</v>
      </c>
      <c r="D196" s="25" t="str" cm="1">
        <f t="array" aca="1" ref="D196" ca="1">INDIRECT("Vergleich!"&amp;$G$2&amp;Z196)</f>
        <v>mittel</v>
      </c>
      <c r="E196" s="25" cm="1">
        <f t="array" aca="1" ref="E196" ca="1">INDIRECT("Unterhalt!"&amp;$J$5&amp;AA196)</f>
        <v>680</v>
      </c>
      <c r="F196" s="25">
        <f ca="1">IF(D196=Auswahllisten!$E$26,0.8,IF(D196=Auswahllisten!$E$27,1,IF(D196=Auswahllisten!$E$29,1.2,0)))</f>
        <v>1</v>
      </c>
      <c r="G196" s="25">
        <f t="shared" ref="G196:G198" ca="1" si="227">E196*F196</f>
        <v>680</v>
      </c>
      <c r="H196" s="25" cm="1">
        <f t="array" aca="1" ref="H196" ca="1">INDIRECT("Unterhalt!"&amp;$J$6&amp;AA196)</f>
        <v>680</v>
      </c>
      <c r="I196" s="25">
        <f ca="1">IF(D196=Auswahllisten!$E$26,0.8,IF(D196=Auswahllisten!$E$27,1,IF(D196=Auswahllisten!$E$29,1.2,0)))</f>
        <v>1</v>
      </c>
      <c r="J196" s="25">
        <f t="shared" ref="J196:J198" ca="1" si="228">H196*I196</f>
        <v>680</v>
      </c>
      <c r="K196" s="25">
        <f t="shared" ref="K196:K198" ca="1" si="229">IF($C$5=0,0,G196+(J196-G196)*($C$6-$F$5)/($F$6-$F$5))</f>
        <v>0</v>
      </c>
      <c r="L196" s="25" t="b">
        <f ca="1">($L$195=$C$5)</f>
        <v>0</v>
      </c>
      <c r="M196" s="162">
        <f t="shared" ref="M196:M198" ca="1" si="230">ROUND(K196*L196,AB196)</f>
        <v>0</v>
      </c>
      <c r="O196" s="25" t="str" cm="1">
        <f t="array" aca="1" ref="O196" ca="1">INDIRECT("Vergleich!"&amp;$Y$2&amp;Z196)</f>
        <v>gering</v>
      </c>
      <c r="P196" s="25" cm="1">
        <f t="array" aca="1" ref="P196" ca="1">INDIRECT("Unterhalt!"&amp;$AB$5&amp;AA196)</f>
        <v>680</v>
      </c>
      <c r="Q196" s="25">
        <f ca="1">IF(O196=Auswahllisten!$E$26,0.8,IF(O196=Auswahllisten!$E$27,1,IF(O196=Auswahllisten!$E$29,1.2,0)))</f>
        <v>0.8</v>
      </c>
      <c r="R196" s="25">
        <f t="shared" ref="R196:R198" ca="1" si="231">P196*Q196</f>
        <v>544</v>
      </c>
      <c r="S196" s="25" cm="1">
        <f t="array" aca="1" ref="S196" ca="1">INDIRECT("Unterhalt!"&amp;$AB$6&amp;AA196)</f>
        <v>680</v>
      </c>
      <c r="T196" s="25">
        <f ca="1">IF(O196=Auswahllisten!$E$26,0.8,IF(O196=Auswahllisten!$E$27,1,IF(O196=Auswahllisten!$E$29,1.2,0)))</f>
        <v>0.8</v>
      </c>
      <c r="U196" s="25">
        <f t="shared" ref="U196:U198" ca="1" si="232">S196*T196</f>
        <v>544</v>
      </c>
      <c r="V196" s="25">
        <f t="shared" ca="1" si="180"/>
        <v>0</v>
      </c>
      <c r="W196" s="25" t="b">
        <f ca="1">($L$195=$U$5)</f>
        <v>0</v>
      </c>
      <c r="X196" s="25">
        <f t="shared" ref="X196:X198" ca="1" si="233">ROUND(V196*W196,AB196)</f>
        <v>0</v>
      </c>
      <c r="Z196" s="1">
        <f t="shared" si="184"/>
        <v>54</v>
      </c>
      <c r="AA196" s="1">
        <v>40</v>
      </c>
      <c r="AB196" s="1">
        <v>-1</v>
      </c>
    </row>
    <row r="197" spans="1:28">
      <c r="A197" s="546"/>
      <c r="B197" s="71"/>
      <c r="C197" s="2" t="s">
        <v>302</v>
      </c>
      <c r="D197" s="16" t="str" cm="1">
        <f t="array" aca="1" ref="D197" ca="1">INDIRECT("Vergleich!"&amp;$G$2&amp;Z197)</f>
        <v>mittel</v>
      </c>
      <c r="E197" s="25" cm="1">
        <f t="array" aca="1" ref="E197" ca="1">INDIRECT("Unterhalt!"&amp;$J$5&amp;AA197)</f>
        <v>50</v>
      </c>
      <c r="F197" s="25">
        <f ca="1">IF(D197=Auswahllisten!$E$26,0.8,IF(D197=Auswahllisten!$E$27,1,IF(D197=Auswahllisten!$E$29,1.2,0)))</f>
        <v>1</v>
      </c>
      <c r="G197" s="25">
        <f t="shared" ca="1" si="227"/>
        <v>50</v>
      </c>
      <c r="H197" s="25" cm="1">
        <f t="array" aca="1" ref="H197" ca="1">INDIRECT("Unterhalt!"&amp;$J$6&amp;AA197)</f>
        <v>50</v>
      </c>
      <c r="I197" s="25">
        <f ca="1">IF(D197=Auswahllisten!$E$26,0.8,IF(D197=Auswahllisten!$E$27,1,IF(D197=Auswahllisten!$E$29,1.2,0)))</f>
        <v>1</v>
      </c>
      <c r="J197" s="25">
        <f t="shared" ca="1" si="228"/>
        <v>50</v>
      </c>
      <c r="K197" s="25">
        <f t="shared" ca="1" si="229"/>
        <v>0</v>
      </c>
      <c r="L197" s="25" t="b">
        <f t="shared" ref="L197" ca="1" si="234">($L$195=$C$5)</f>
        <v>0</v>
      </c>
      <c r="M197" s="162">
        <f t="shared" ca="1" si="230"/>
        <v>0</v>
      </c>
      <c r="O197" s="25" t="str" cm="1">
        <f t="array" aca="1" ref="O197" ca="1">INDIRECT("Vergleich!"&amp;$Y$2&amp;Z197)</f>
        <v>gering</v>
      </c>
      <c r="P197" s="25" cm="1">
        <f t="array" aca="1" ref="P197" ca="1">INDIRECT("Unterhalt!"&amp;$AB$5&amp;AA197)</f>
        <v>50</v>
      </c>
      <c r="Q197" s="25">
        <f ca="1">IF(O197=Auswahllisten!$E$26,0.8,IF(O197=Auswahllisten!$E$27,1,IF(O197=Auswahllisten!$E$29,1.2,0)))</f>
        <v>0.8</v>
      </c>
      <c r="R197" s="25">
        <f t="shared" ca="1" si="231"/>
        <v>40</v>
      </c>
      <c r="S197" s="25" cm="1">
        <f t="array" aca="1" ref="S197" ca="1">INDIRECT("Unterhalt!"&amp;$AB$6&amp;AA197)</f>
        <v>50</v>
      </c>
      <c r="T197" s="25">
        <f ca="1">IF(O197=Auswahllisten!$E$26,0.8,IF(O197=Auswahllisten!$E$27,1,IF(O197=Auswahllisten!$E$29,1.2,0)))</f>
        <v>0.8</v>
      </c>
      <c r="U197" s="25">
        <f t="shared" ca="1" si="232"/>
        <v>40</v>
      </c>
      <c r="V197" s="25">
        <f t="shared" ca="1" si="180"/>
        <v>0</v>
      </c>
      <c r="W197" s="25" t="b">
        <f t="shared" ref="W197:W198" ca="1" si="235">($L$195=$U$5)</f>
        <v>0</v>
      </c>
      <c r="X197" s="25">
        <f t="shared" ca="1" si="233"/>
        <v>0</v>
      </c>
      <c r="Z197" s="1">
        <f t="shared" si="184"/>
        <v>54</v>
      </c>
      <c r="AA197" s="1">
        <v>41</v>
      </c>
      <c r="AB197" s="1">
        <v>-1</v>
      </c>
    </row>
    <row r="198" spans="1:28">
      <c r="A198" s="545"/>
      <c r="B198" s="94"/>
      <c r="C198" s="142" t="s">
        <v>335</v>
      </c>
      <c r="D198" s="93" t="str" cm="1">
        <f t="array" aca="1" ref="D198" ca="1">INDIRECT("Vergleich!"&amp;$G$2&amp;Z198)</f>
        <v>mittel</v>
      </c>
      <c r="E198" s="61" cm="1">
        <f t="array" aca="1" ref="E198" ca="1">INDIRECT("Unterhalt!"&amp;$J$5&amp;AA198)</f>
        <v>0</v>
      </c>
      <c r="F198" s="61">
        <f ca="1">IF(D198=Auswahllisten!$E$26,0.8,IF(D198=Auswahllisten!$E$27,1,IF(D198=Auswahllisten!$E$29,1.2,0)))</f>
        <v>1</v>
      </c>
      <c r="G198" s="61">
        <f t="shared" ca="1" si="227"/>
        <v>0</v>
      </c>
      <c r="H198" s="61" cm="1">
        <f t="array" aca="1" ref="H198" ca="1">INDIRECT("Unterhalt!"&amp;$J$6&amp;AA198)</f>
        <v>0</v>
      </c>
      <c r="I198" s="61">
        <f ca="1">IF(D198=Auswahllisten!$E$26,0.8,IF(D198=Auswahllisten!$E$27,1,IF(D198=Auswahllisten!$E$29,1.2,0)))</f>
        <v>1</v>
      </c>
      <c r="J198" s="61">
        <f t="shared" ca="1" si="228"/>
        <v>0</v>
      </c>
      <c r="K198" s="61">
        <f t="shared" ca="1" si="229"/>
        <v>0</v>
      </c>
      <c r="L198" s="61" t="b">
        <f ca="1">($L$195=$C$5)</f>
        <v>0</v>
      </c>
      <c r="M198" s="216">
        <f t="shared" ca="1" si="230"/>
        <v>0</v>
      </c>
      <c r="O198" s="61" t="str" cm="1">
        <f t="array" aca="1" ref="O198" ca="1">INDIRECT("Vergleich!"&amp;$Y$2&amp;Z198)</f>
        <v>gering</v>
      </c>
      <c r="P198" s="61" cm="1">
        <f t="array" aca="1" ref="P198" ca="1">INDIRECT("Unterhalt!"&amp;$AB$5&amp;AA198)</f>
        <v>0</v>
      </c>
      <c r="Q198" s="61">
        <f ca="1">IF(O198=Auswahllisten!$E$26,0.8,IF(O198=Auswahllisten!$E$27,1,IF(O198=Auswahllisten!$E$29,1.2,0)))</f>
        <v>0.8</v>
      </c>
      <c r="R198" s="61">
        <f t="shared" ca="1" si="231"/>
        <v>0</v>
      </c>
      <c r="S198" s="61" cm="1">
        <f t="array" aca="1" ref="S198" ca="1">INDIRECT("Unterhalt!"&amp;$AB$6&amp;AA198)</f>
        <v>0</v>
      </c>
      <c r="T198" s="61">
        <f ca="1">IF(O198=Auswahllisten!$E$26,0.8,IF(O198=Auswahllisten!$E$27,1,IF(O198=Auswahllisten!$E$29,1.2,0)))</f>
        <v>0.8</v>
      </c>
      <c r="U198" s="61">
        <f t="shared" ca="1" si="232"/>
        <v>0</v>
      </c>
      <c r="V198" s="61">
        <f t="shared" ca="1" si="180"/>
        <v>0</v>
      </c>
      <c r="W198" s="61" t="b">
        <f t="shared" ca="1" si="235"/>
        <v>0</v>
      </c>
      <c r="X198" s="61">
        <f t="shared" ca="1" si="233"/>
        <v>0</v>
      </c>
      <c r="Z198" s="1">
        <f t="shared" si="184"/>
        <v>54</v>
      </c>
      <c r="AA198" s="1">
        <v>42</v>
      </c>
      <c r="AB198" s="1">
        <v>-1</v>
      </c>
    </row>
    <row r="199" spans="1:28">
      <c r="A199" s="8"/>
      <c r="AA199" s="1">
        <v>43</v>
      </c>
      <c r="AB199" s="1">
        <v>-1</v>
      </c>
    </row>
    <row r="200" spans="1:28">
      <c r="A200" s="8" t="str">
        <f>ROMAN(9)</f>
        <v>IX</v>
      </c>
      <c r="B200" s="8" t="s">
        <v>32</v>
      </c>
      <c r="L200" s="394"/>
      <c r="M200" s="69"/>
      <c r="W200" s="394"/>
      <c r="Z200" s="1">
        <f>Z194</f>
        <v>54</v>
      </c>
      <c r="AA200" s="1">
        <v>44</v>
      </c>
      <c r="AB200" s="1">
        <v>-1</v>
      </c>
    </row>
    <row r="201" spans="1:28">
      <c r="A201" s="117"/>
      <c r="B201" s="55"/>
      <c r="C201" s="5" t="s">
        <v>258</v>
      </c>
      <c r="D201" s="25" t="str" cm="1">
        <f t="array" aca="1" ref="D201" ca="1">INDIRECT("Vergleich!"&amp;$G$2&amp;Z201)</f>
        <v>mittel</v>
      </c>
      <c r="E201" s="25" cm="1">
        <f t="array" aca="1" ref="E201" ca="1">INDIRECT("Unterhalt!"&amp;$J$5&amp;AA201)</f>
        <v>250</v>
      </c>
      <c r="F201" s="25">
        <f ca="1">IF(D201=Auswahllisten!$E$26,0.8,IF(D201=Auswahllisten!$E$27,1,IF(D201=Auswahllisten!$E$29,1.2,0)))</f>
        <v>1</v>
      </c>
      <c r="G201" s="25">
        <f t="shared" ref="G201:G202" ca="1" si="236">E201*F201</f>
        <v>250</v>
      </c>
      <c r="H201" s="25" cm="1">
        <f t="array" aca="1" ref="H201" ca="1">INDIRECT("Unterhalt!"&amp;$J$6&amp;AA201)</f>
        <v>250</v>
      </c>
      <c r="I201" s="25">
        <f ca="1">IF(D201=Auswahllisten!$E$26,0.8,IF(D201=Auswahllisten!$E$27,1,IF(D201=Auswahllisten!$E$29,1.2,0)))</f>
        <v>1</v>
      </c>
      <c r="J201" s="25">
        <f t="shared" ref="J201:J202" ca="1" si="237">H201*I201</f>
        <v>250</v>
      </c>
      <c r="K201" s="25">
        <f t="shared" ref="K201:K202" ca="1" si="238">IF($C$5=0,0,G201+(J201-G201)*($C$6-$F$5)/($F$6-$F$5))</f>
        <v>0</v>
      </c>
      <c r="L201" s="25" t="b">
        <f ca="1">OR($C$5=10,$C$5=11,$C$5=12,$C$5=13)</f>
        <v>0</v>
      </c>
      <c r="M201" s="162">
        <f t="shared" ref="M201:M202" ca="1" si="239">ROUND(K201*L201,AB201)</f>
        <v>0</v>
      </c>
      <c r="O201" s="25" t="str" cm="1">
        <f t="array" aca="1" ref="O201" ca="1">INDIRECT("Vergleich!"&amp;$Y$2&amp;Z201)</f>
        <v>gering</v>
      </c>
      <c r="P201" s="25" cm="1">
        <f t="array" aca="1" ref="P201" ca="1">INDIRECT("Unterhalt!"&amp;$AB$5&amp;AA201)</f>
        <v>250</v>
      </c>
      <c r="Q201" s="25">
        <f ca="1">IF(O201=Auswahllisten!$E$26,0.8,IF(O201=Auswahllisten!$E$27,1,IF(O201=Auswahllisten!$E$29,1.2,0)))</f>
        <v>0.8</v>
      </c>
      <c r="R201" s="25">
        <f t="shared" ref="R201:R202" ca="1" si="240">P201*Q201</f>
        <v>200</v>
      </c>
      <c r="S201" s="25" cm="1">
        <f t="array" aca="1" ref="S201" ca="1">INDIRECT("Unterhalt!"&amp;$AB$6&amp;AA201)</f>
        <v>250</v>
      </c>
      <c r="T201" s="25">
        <f ca="1">IF(O201=Auswahllisten!$E$26,0.8,IF(O201=Auswahllisten!$E$27,1,IF(O201=Auswahllisten!$E$29,1.2,0)))</f>
        <v>0.8</v>
      </c>
      <c r="U201" s="25">
        <f t="shared" ref="U201:U202" ca="1" si="241">S201*T201</f>
        <v>200</v>
      </c>
      <c r="V201" s="25">
        <f t="shared" ca="1" si="180"/>
        <v>0</v>
      </c>
      <c r="W201" s="25" t="b">
        <f ca="1">OR($U$5=10,$U$5=11,$U$5=12,$U$5=13)</f>
        <v>0</v>
      </c>
      <c r="X201" s="25">
        <f t="shared" ref="X201:X202" ca="1" si="242">ROUND(V201*W201,AB201)</f>
        <v>0</v>
      </c>
      <c r="Z201" s="1">
        <f t="shared" ref="Z201:Z207" si="243">Z200</f>
        <v>54</v>
      </c>
      <c r="AA201" s="1">
        <v>45</v>
      </c>
      <c r="AB201" s="1">
        <v>-1</v>
      </c>
    </row>
    <row r="202" spans="1:28">
      <c r="A202" s="545"/>
      <c r="B202" s="94"/>
      <c r="C202" s="142" t="s">
        <v>335</v>
      </c>
      <c r="D202" s="93" t="str" cm="1">
        <f t="array" aca="1" ref="D202" ca="1">INDIRECT("Vergleich!"&amp;$G$2&amp;Z202)</f>
        <v>mittel</v>
      </c>
      <c r="E202" s="61" cm="1">
        <f t="array" aca="1" ref="E202" ca="1">INDIRECT("Unterhalt!"&amp;$J$5&amp;AA202)</f>
        <v>0</v>
      </c>
      <c r="F202" s="61">
        <f ca="1">IF(D202=Auswahllisten!$E$26,0.8,IF(D202=Auswahllisten!$E$27,1,IF(D202=Auswahllisten!$E$29,1.2,0)))</f>
        <v>1</v>
      </c>
      <c r="G202" s="61">
        <f t="shared" ca="1" si="236"/>
        <v>0</v>
      </c>
      <c r="H202" s="61" cm="1">
        <f t="array" aca="1" ref="H202" ca="1">INDIRECT("Unterhalt!"&amp;$J$6&amp;AA202)</f>
        <v>0</v>
      </c>
      <c r="I202" s="61">
        <f ca="1">IF(D202=Auswahllisten!$E$26,0.8,IF(D202=Auswahllisten!$E$27,1,IF(D202=Auswahllisten!$E$29,1.2,0)))</f>
        <v>1</v>
      </c>
      <c r="J202" s="61">
        <f t="shared" ca="1" si="237"/>
        <v>0</v>
      </c>
      <c r="K202" s="61">
        <f t="shared" ca="1" si="238"/>
        <v>0</v>
      </c>
      <c r="L202" s="61" t="b">
        <f ca="1">OR($C$5=10,$C$5=11,$C$5=12,$C$5=13)</f>
        <v>0</v>
      </c>
      <c r="M202" s="216">
        <f t="shared" ca="1" si="239"/>
        <v>0</v>
      </c>
      <c r="O202" s="61" t="str" cm="1">
        <f t="array" aca="1" ref="O202" ca="1">INDIRECT("Vergleich!"&amp;$Y$2&amp;Z202)</f>
        <v>gering</v>
      </c>
      <c r="P202" s="61" cm="1">
        <f t="array" aca="1" ref="P202" ca="1">INDIRECT("Unterhalt!"&amp;$AB$5&amp;AA202)</f>
        <v>0</v>
      </c>
      <c r="Q202" s="61">
        <f ca="1">IF(O202=Auswahllisten!$E$26,0.8,IF(O202=Auswahllisten!$E$27,1,IF(O202=Auswahllisten!$E$29,1.2,0)))</f>
        <v>0.8</v>
      </c>
      <c r="R202" s="61">
        <f t="shared" ca="1" si="240"/>
        <v>0</v>
      </c>
      <c r="S202" s="61" cm="1">
        <f t="array" aca="1" ref="S202" ca="1">INDIRECT("Unterhalt!"&amp;$AB$6&amp;AA202)</f>
        <v>0</v>
      </c>
      <c r="T202" s="61">
        <f ca="1">IF(O202=Auswahllisten!$E$26,0.8,IF(O202=Auswahllisten!$E$27,1,IF(O202=Auswahllisten!$E$29,1.2,0)))</f>
        <v>0.8</v>
      </c>
      <c r="U202" s="61">
        <f t="shared" ca="1" si="241"/>
        <v>0</v>
      </c>
      <c r="V202" s="61">
        <f t="shared" ca="1" si="180"/>
        <v>0</v>
      </c>
      <c r="W202" s="25" t="b">
        <f ca="1">OR($U$5=10,$U$5=11,$U$5=12,$U$5=13)</f>
        <v>0</v>
      </c>
      <c r="X202" s="61">
        <f t="shared" ca="1" si="242"/>
        <v>0</v>
      </c>
      <c r="Z202" s="1">
        <f t="shared" si="243"/>
        <v>54</v>
      </c>
      <c r="AA202" s="1">
        <v>46</v>
      </c>
      <c r="AB202" s="1">
        <v>-1</v>
      </c>
    </row>
    <row r="203" spans="1:28">
      <c r="A203" s="8"/>
      <c r="M203" s="69"/>
      <c r="Z203" s="1">
        <f t="shared" si="243"/>
        <v>54</v>
      </c>
      <c r="AA203" s="1">
        <v>47</v>
      </c>
      <c r="AB203" s="1">
        <v>-1</v>
      </c>
    </row>
    <row r="204" spans="1:28">
      <c r="A204" s="8" t="s">
        <v>1008</v>
      </c>
      <c r="B204" s="8" t="s">
        <v>1062</v>
      </c>
      <c r="D204" s="394"/>
      <c r="E204" s="394"/>
      <c r="F204" s="394"/>
      <c r="G204" s="394"/>
      <c r="H204" s="394"/>
      <c r="I204" s="394"/>
      <c r="J204" s="394"/>
      <c r="K204" s="394"/>
      <c r="L204" s="155">
        <v>8</v>
      </c>
      <c r="M204" s="69"/>
      <c r="O204" s="394"/>
      <c r="P204" s="394"/>
      <c r="Q204" s="394"/>
      <c r="R204" s="394"/>
      <c r="S204" s="394"/>
      <c r="T204" s="394"/>
      <c r="U204" s="394"/>
      <c r="V204" s="394"/>
      <c r="W204" s="394"/>
      <c r="X204" s="394"/>
      <c r="Z204" s="1">
        <f t="shared" si="243"/>
        <v>54</v>
      </c>
      <c r="AA204" s="1">
        <v>48</v>
      </c>
      <c r="AB204" s="1">
        <v>-1</v>
      </c>
    </row>
    <row r="205" spans="1:28">
      <c r="A205" s="117"/>
      <c r="B205" s="55"/>
      <c r="C205" s="5" t="s">
        <v>255</v>
      </c>
      <c r="D205" s="25" t="str" cm="1">
        <f t="array" aca="1" ref="D205" ca="1">INDIRECT("Vergleich!"&amp;$G$2&amp;Z205)</f>
        <v>mittel</v>
      </c>
      <c r="E205" s="25" cm="1">
        <f t="array" aca="1" ref="E205" ca="1">INDIRECT("Unterhalt!"&amp;$J$5&amp;AA205)</f>
        <v>10</v>
      </c>
      <c r="F205" s="25">
        <f ca="1">IF(D205=Auswahllisten!$E$26,0.8,IF(D205=Auswahllisten!$E$27,1,IF(D205=Auswahllisten!$E$28,1.2,0)))</f>
        <v>1</v>
      </c>
      <c r="G205" s="25">
        <f t="shared" ref="G205:G208" ca="1" si="244">E205*F205</f>
        <v>10</v>
      </c>
      <c r="H205" s="25" cm="1">
        <f t="array" aca="1" ref="H205" ca="1">INDIRECT("Unterhalt!"&amp;$J$6&amp;AA205)</f>
        <v>10</v>
      </c>
      <c r="I205" s="25">
        <f ca="1">IF(D205=Auswahllisten!$E$26,0.8,IF(D205=Auswahllisten!$E$27,1,IF(D205=Auswahllisten!$E$28,1.2,0)))</f>
        <v>1</v>
      </c>
      <c r="J205" s="25">
        <f t="shared" ref="J205:J208" ca="1" si="245">H205*I205</f>
        <v>10</v>
      </c>
      <c r="K205" s="25">
        <f t="shared" ref="K205:K208" ca="1" si="246">IF($C$5=0,0,G205+(J205-G205)*($C$6-$F$5)/($F$6-$F$5))</f>
        <v>0</v>
      </c>
      <c r="L205" s="25" t="b">
        <f ca="1">($L$204=$C$5)</f>
        <v>0</v>
      </c>
      <c r="M205" s="162">
        <f t="shared" ref="M205:M208" ca="1" si="247">ROUND(K205*L205,AB205)</f>
        <v>0</v>
      </c>
      <c r="O205" s="25" t="str" cm="1">
        <f t="array" aca="1" ref="O205" ca="1">INDIRECT("Vergleich!"&amp;$Y$2&amp;Z205)</f>
        <v>gering</v>
      </c>
      <c r="P205" s="25" cm="1">
        <f t="array" aca="1" ref="P205" ca="1">INDIRECT("Unterhalt!"&amp;$AB$5&amp;AA205)</f>
        <v>10</v>
      </c>
      <c r="Q205" s="25">
        <f ca="1">IF(O205=Auswahllisten!$E$26,0.8,IF(O205=Auswahllisten!$E$27,1,IF(O205=Auswahllisten!$E$28,1.2,0)))</f>
        <v>0.8</v>
      </c>
      <c r="R205" s="25">
        <f t="shared" ref="R205:R208" ca="1" si="248">P205*Q205</f>
        <v>8</v>
      </c>
      <c r="S205" s="25" cm="1">
        <f t="array" aca="1" ref="S205" ca="1">INDIRECT("Unterhalt!"&amp;$AB$6&amp;AA205)</f>
        <v>10</v>
      </c>
      <c r="T205" s="25">
        <f ca="1">IF(O205=Auswahllisten!$E$26,0.8,IF(O205=Auswahllisten!$E$27,1,IF(O205=Auswahllisten!$E$28,1.2,0)))</f>
        <v>0.8</v>
      </c>
      <c r="U205" s="25">
        <f t="shared" ref="U205:U208" ca="1" si="249">S205*T205</f>
        <v>8</v>
      </c>
      <c r="V205" s="25">
        <f t="shared" ca="1" si="180"/>
        <v>0</v>
      </c>
      <c r="W205" s="25" t="b">
        <f ca="1">($L$204=$U$5)</f>
        <v>0</v>
      </c>
      <c r="X205" s="25">
        <f t="shared" ref="X205:X208" ca="1" si="250">ROUND(V205*W205,AB205)</f>
        <v>0</v>
      </c>
      <c r="Z205" s="1">
        <f t="shared" si="243"/>
        <v>54</v>
      </c>
      <c r="AA205" s="1">
        <v>49</v>
      </c>
      <c r="AB205" s="1">
        <v>-1</v>
      </c>
    </row>
    <row r="206" spans="1:28">
      <c r="A206" s="71"/>
      <c r="B206" s="71"/>
      <c r="C206" s="2" t="s">
        <v>256</v>
      </c>
      <c r="D206" s="16" t="str" cm="1">
        <f t="array" aca="1" ref="D206" ca="1">INDIRECT("Vergleich!"&amp;$G$2&amp;Z206)</f>
        <v>mittel</v>
      </c>
      <c r="E206" s="25" cm="1">
        <f t="array" aca="1" ref="E206" ca="1">INDIRECT("Unterhalt!"&amp;$J$5&amp;AA206)</f>
        <v>11</v>
      </c>
      <c r="F206" s="25">
        <f ca="1">IF(D206=Auswahllisten!$E$26,0.8,IF(D206=Auswahllisten!$E$27,1,IF(D206=Auswahllisten!$E$28,1.2,0)))</f>
        <v>1</v>
      </c>
      <c r="G206" s="25">
        <f t="shared" ca="1" si="244"/>
        <v>11</v>
      </c>
      <c r="H206" s="25" cm="1">
        <f t="array" aca="1" ref="H206" ca="1">INDIRECT("Unterhalt!"&amp;$J$6&amp;AA206)</f>
        <v>11</v>
      </c>
      <c r="I206" s="25">
        <f ca="1">IF(D206=Auswahllisten!$E$26,0.8,IF(D206=Auswahllisten!$E$27,1,IF(D206=Auswahllisten!$E$28,1.2,0)))</f>
        <v>1</v>
      </c>
      <c r="J206" s="25">
        <f t="shared" ca="1" si="245"/>
        <v>11</v>
      </c>
      <c r="K206" s="25">
        <f t="shared" ca="1" si="246"/>
        <v>0</v>
      </c>
      <c r="L206" s="25" t="b">
        <f ca="1">($L$204=$C$5)</f>
        <v>0</v>
      </c>
      <c r="M206" s="162">
        <f t="shared" ca="1" si="247"/>
        <v>0</v>
      </c>
      <c r="O206" s="25" t="str" cm="1">
        <f t="array" aca="1" ref="O206" ca="1">INDIRECT("Vergleich!"&amp;$Y$2&amp;Z206)</f>
        <v>gering</v>
      </c>
      <c r="P206" s="25" cm="1">
        <f t="array" aca="1" ref="P206" ca="1">INDIRECT("Unterhalt!"&amp;$AB$5&amp;AA206)</f>
        <v>11</v>
      </c>
      <c r="Q206" s="25">
        <f ca="1">IF(O206=Auswahllisten!$E$26,0.8,IF(O206=Auswahllisten!$E$27,1,IF(O206=Auswahllisten!$E$28,1.2,0)))</f>
        <v>0.8</v>
      </c>
      <c r="R206" s="25">
        <f t="shared" ca="1" si="248"/>
        <v>8.8000000000000007</v>
      </c>
      <c r="S206" s="25" cm="1">
        <f t="array" aca="1" ref="S206" ca="1">INDIRECT("Unterhalt!"&amp;$AB$6&amp;AA206)</f>
        <v>11</v>
      </c>
      <c r="T206" s="25">
        <f ca="1">IF(O206=Auswahllisten!$E$26,0.8,IF(O206=Auswahllisten!$E$27,1,IF(O206=Auswahllisten!$E$28,1.2,0)))</f>
        <v>0.8</v>
      </c>
      <c r="U206" s="25">
        <f t="shared" ca="1" si="249"/>
        <v>8.8000000000000007</v>
      </c>
      <c r="V206" s="25">
        <f t="shared" ca="1" si="180"/>
        <v>0</v>
      </c>
      <c r="W206" s="25" t="b">
        <f ca="1">($L$204=$U$5)</f>
        <v>0</v>
      </c>
      <c r="X206" s="25">
        <f t="shared" ca="1" si="250"/>
        <v>0</v>
      </c>
      <c r="Z206" s="1">
        <f t="shared" si="243"/>
        <v>54</v>
      </c>
      <c r="AA206" s="1">
        <v>50</v>
      </c>
      <c r="AB206" s="1">
        <v>-1</v>
      </c>
    </row>
    <row r="207" spans="1:28">
      <c r="A207" s="94"/>
      <c r="B207" s="94"/>
      <c r="C207" s="142" t="s">
        <v>335</v>
      </c>
      <c r="D207" s="93" t="str" cm="1">
        <f t="array" aca="1" ref="D207" ca="1">INDIRECT("Vergleich!"&amp;$G$2&amp;Z207)</f>
        <v>mittel</v>
      </c>
      <c r="E207" s="61" cm="1">
        <f t="array" aca="1" ref="E207" ca="1">INDIRECT("Unterhalt!"&amp;$J$5&amp;AA207)</f>
        <v>12</v>
      </c>
      <c r="F207" s="61">
        <f ca="1">IF(D207=Auswahllisten!$E$26,0.8,IF(D207=Auswahllisten!$E$27,1,IF(D207=Auswahllisten!$E$28,1.2,0)))</f>
        <v>1</v>
      </c>
      <c r="G207" s="61">
        <f t="shared" ca="1" si="244"/>
        <v>12</v>
      </c>
      <c r="H207" s="61" cm="1">
        <f t="array" aca="1" ref="H207" ca="1">INDIRECT("Unterhalt!"&amp;$J$6&amp;AA207)</f>
        <v>12</v>
      </c>
      <c r="I207" s="61">
        <f ca="1">IF(D207=Auswahllisten!$E$26,0.8,IF(D207=Auswahllisten!$E$27,1,IF(D207=Auswahllisten!$E$28,1.2,0)))</f>
        <v>1</v>
      </c>
      <c r="J207" s="61">
        <f t="shared" ca="1" si="245"/>
        <v>12</v>
      </c>
      <c r="K207" s="61">
        <f t="shared" ca="1" si="246"/>
        <v>0</v>
      </c>
      <c r="L207" s="61" t="b">
        <f ca="1">($L$204=$C$5)</f>
        <v>0</v>
      </c>
      <c r="M207" s="216">
        <f t="shared" ca="1" si="247"/>
        <v>0</v>
      </c>
      <c r="O207" s="61" t="str" cm="1">
        <f t="array" aca="1" ref="O207" ca="1">INDIRECT("Vergleich!"&amp;$Y$2&amp;Z207)</f>
        <v>gering</v>
      </c>
      <c r="P207" s="61" cm="1">
        <f t="array" aca="1" ref="P207" ca="1">INDIRECT("Unterhalt!"&amp;$AB$5&amp;AA207)</f>
        <v>12</v>
      </c>
      <c r="Q207" s="61">
        <f ca="1">IF(O207=Auswahllisten!$E$26,0.8,IF(O207=Auswahllisten!$E$27,1,IF(O207=Auswahllisten!$E$28,1.2,0)))</f>
        <v>0.8</v>
      </c>
      <c r="R207" s="61">
        <f t="shared" ca="1" si="248"/>
        <v>9.6000000000000014</v>
      </c>
      <c r="S207" s="61" cm="1">
        <f t="array" aca="1" ref="S207" ca="1">INDIRECT("Unterhalt!"&amp;$AB$6&amp;AA207)</f>
        <v>12</v>
      </c>
      <c r="T207" s="61">
        <f ca="1">IF(O207=Auswahllisten!$E$26,0.8,IF(O207=Auswahllisten!$E$27,1,IF(O207=Auswahllisten!$E$28,1.2,0)))</f>
        <v>0.8</v>
      </c>
      <c r="U207" s="61">
        <f t="shared" ca="1" si="249"/>
        <v>9.6000000000000014</v>
      </c>
      <c r="V207" s="61">
        <f t="shared" ca="1" si="180"/>
        <v>0</v>
      </c>
      <c r="W207" s="61" t="b">
        <f ca="1">($L$204=$U$5)</f>
        <v>0</v>
      </c>
      <c r="X207" s="61">
        <f t="shared" ca="1" si="250"/>
        <v>0</v>
      </c>
      <c r="Z207" s="1">
        <f t="shared" si="243"/>
        <v>54</v>
      </c>
      <c r="AA207" s="1">
        <v>51</v>
      </c>
      <c r="AB207" s="1">
        <v>-1</v>
      </c>
    </row>
    <row r="208" spans="1:28">
      <c r="A208" s="63"/>
      <c r="B208" s="63"/>
      <c r="C208" s="297" t="s">
        <v>1213</v>
      </c>
      <c r="D208" s="395"/>
      <c r="E208" s="395" cm="1">
        <f t="array" aca="1" ref="E208" ca="1">INDIRECT("Unterhalt!"&amp;$J$5&amp;AA208)</f>
        <v>0.3</v>
      </c>
      <c r="F208" s="395">
        <v>1</v>
      </c>
      <c r="G208" s="395">
        <f t="shared" ca="1" si="244"/>
        <v>0.3</v>
      </c>
      <c r="H208" s="395" cm="1">
        <f t="array" aca="1" ref="H208" ca="1">INDIRECT("Unterhalt!"&amp;$J$6&amp;AA208)</f>
        <v>0.3</v>
      </c>
      <c r="I208" s="395">
        <v>1</v>
      </c>
      <c r="J208" s="395">
        <f t="shared" ca="1" si="245"/>
        <v>0.3</v>
      </c>
      <c r="K208" s="395">
        <f t="shared" ca="1" si="246"/>
        <v>0</v>
      </c>
      <c r="L208" s="395" t="b">
        <f ca="1">($L$204=$C$5)</f>
        <v>0</v>
      </c>
      <c r="M208" s="395">
        <f t="shared" ca="1" si="247"/>
        <v>0</v>
      </c>
      <c r="O208" s="395"/>
      <c r="P208" s="395" cm="1">
        <f t="array" aca="1" ref="P208" ca="1">INDIRECT("Unterhalt!"&amp;$AB$5&amp;AA208)</f>
        <v>0.3</v>
      </c>
      <c r="Q208" s="395">
        <v>1</v>
      </c>
      <c r="R208" s="395">
        <f t="shared" ca="1" si="248"/>
        <v>0.3</v>
      </c>
      <c r="S208" s="395" cm="1">
        <f t="array" aca="1" ref="S208" ca="1">INDIRECT("Unterhalt!"&amp;$AB$6&amp;AA208)</f>
        <v>0.3</v>
      </c>
      <c r="T208" s="395">
        <v>1</v>
      </c>
      <c r="U208" s="395">
        <f t="shared" ca="1" si="249"/>
        <v>0.3</v>
      </c>
      <c r="V208" s="395">
        <f t="shared" ca="1" si="180"/>
        <v>0</v>
      </c>
      <c r="W208" s="395" t="b">
        <f ca="1">($L$204=$U$5)</f>
        <v>0</v>
      </c>
      <c r="X208" s="395">
        <f t="shared" ca="1" si="250"/>
        <v>0</v>
      </c>
      <c r="AA208" s="1">
        <v>52</v>
      </c>
      <c r="AB208" s="1">
        <v>2</v>
      </c>
    </row>
    <row r="209" spans="1:28">
      <c r="M209" s="69"/>
      <c r="AB209" s="1">
        <v>-1</v>
      </c>
    </row>
    <row r="210" spans="1:28">
      <c r="B210" s="8" t="s">
        <v>337</v>
      </c>
      <c r="E210" s="1" t="s">
        <v>194</v>
      </c>
      <c r="F210" s="1" t="s">
        <v>348</v>
      </c>
      <c r="G210" s="1" t="s">
        <v>131</v>
      </c>
      <c r="M210" s="69"/>
      <c r="AB210" s="1">
        <v>-1</v>
      </c>
    </row>
    <row r="211" spans="1:28">
      <c r="A211" s="55"/>
      <c r="B211" s="55"/>
      <c r="C211" s="5" t="s">
        <v>203</v>
      </c>
      <c r="D211" s="25" t="str" cm="1">
        <f t="array" aca="1" ref="D211" ca="1">INDIRECT("Vergleich!"&amp;$G$2&amp;Z211)</f>
        <v>mittel</v>
      </c>
      <c r="E211" s="25">
        <f ca="1">IF(E140&lt;10,Standardwerte!I57,IF(E140&lt;32,Standardwerte!I58,Standardwerte!I59))</f>
        <v>0</v>
      </c>
      <c r="F211" s="25">
        <f ca="1">IF(D211=Auswahllisten!$E$26,0.8,IF(D211=Auswahllisten!$E$27,1,IF(D211=Auswahllisten!$E$28,1.2,1)))</f>
        <v>1</v>
      </c>
      <c r="G211" s="162" cm="1">
        <f t="array" aca="1" ref="G211" ca="1">INDIRECT("Energie!"&amp;$G$10&amp;AA211)</f>
        <v>0</v>
      </c>
      <c r="H211" s="25"/>
      <c r="I211" s="25"/>
      <c r="J211" s="25"/>
      <c r="K211" s="25"/>
      <c r="L211" s="25"/>
      <c r="M211" s="162">
        <f ca="1">ROUND(E211*F211*G211,AB211)*I12</f>
        <v>0</v>
      </c>
      <c r="Z211" s="1">
        <v>19</v>
      </c>
      <c r="AA211" s="1">
        <v>64</v>
      </c>
      <c r="AB211" s="1">
        <v>-1</v>
      </c>
    </row>
    <row r="212" spans="1:28">
      <c r="AB212" s="1">
        <v>-1</v>
      </c>
    </row>
    <row r="213" spans="1:28">
      <c r="B213" s="8" t="s">
        <v>677</v>
      </c>
      <c r="E213" s="1" t="s">
        <v>194</v>
      </c>
      <c r="F213" s="1" t="s">
        <v>348</v>
      </c>
      <c r="G213" s="1" t="s">
        <v>131</v>
      </c>
      <c r="AB213" s="1">
        <v>-1</v>
      </c>
    </row>
    <row r="214" spans="1:28">
      <c r="A214" s="55"/>
      <c r="B214" s="55"/>
      <c r="C214" s="5" t="s">
        <v>203</v>
      </c>
      <c r="D214" s="25" t="str" cm="1">
        <f t="array" aca="1" ref="D214" ca="1">INDIRECT("Vergleich!"&amp;$G$2&amp;Z214)</f>
        <v>mittel</v>
      </c>
      <c r="E214" s="25">
        <f ca="1">IF((E146+E148)&lt;=10,Standardwerte!O66,IF((E146+E148)&lt;=30,Standardwerte!O67,IF((E146+E148)&lt;=100,Standardwerte!O68,Standardwerte!O69)))</f>
        <v>0.03</v>
      </c>
      <c r="F214" s="25">
        <f ca="1">IF(D214=Auswahllisten!$E$26,0.8,IF(D214=Auswahllisten!$E$27,1,IF(D214=Auswahllisten!$E$28,1.2,1)))</f>
        <v>1</v>
      </c>
      <c r="G214" s="162" cm="1">
        <f t="array" aca="1" ref="G214" ca="1">INDIRECT("Energie!"&amp;$G$10&amp;AA214)</f>
        <v>0</v>
      </c>
      <c r="H214" s="25"/>
      <c r="I214" s="25"/>
      <c r="J214" s="25"/>
      <c r="K214" s="25"/>
      <c r="L214" s="25"/>
      <c r="M214" s="162">
        <f ca="1">ROUND(E214*F214*G214,AB214)*I13</f>
        <v>0</v>
      </c>
      <c r="Z214" s="1">
        <v>98</v>
      </c>
      <c r="AA214" s="1">
        <v>84</v>
      </c>
      <c r="AB214" s="1">
        <v>-1</v>
      </c>
    </row>
  </sheetData>
  <mergeCells count="6">
    <mergeCell ref="BX18:BY18"/>
    <mergeCell ref="AX18:AY18"/>
    <mergeCell ref="AZ18:BD18"/>
    <mergeCell ref="BE18:BF18"/>
    <mergeCell ref="BQ18:BR18"/>
    <mergeCell ref="BS18:BW18"/>
  </mergeCells>
  <pageMargins left="0.7" right="0.7" top="0.78740157499999996" bottom="0.78740157499999996"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CE21-7C16-4495-95C8-E8A0809D71DB}">
  <sheetPr>
    <tabColor rgb="FFFF0000"/>
  </sheetPr>
  <dimension ref="A1:BZ214"/>
  <sheetViews>
    <sheetView zoomScale="70" zoomScaleNormal="70" workbookViewId="0">
      <pane xSplit="3" ySplit="17" topLeftCell="AF18" activePane="bottomRight" state="frozen"/>
      <selection pane="topRight" activeCell="D1" sqref="D1"/>
      <selection pane="bottomLeft" activeCell="A18" sqref="A18"/>
      <selection pane="bottomRight" activeCell="BS12" sqref="BS12"/>
    </sheetView>
  </sheetViews>
  <sheetFormatPr baseColWidth="10" defaultColWidth="11.5703125" defaultRowHeight="12.75"/>
  <cols>
    <col min="1" max="1" width="10.8554687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4" width="14.140625" style="1" customWidth="1"/>
    <col min="55" max="55" width="11.5703125" style="1" customWidth="1"/>
    <col min="56" max="57" width="11.5703125" style="1"/>
    <col min="58" max="58" width="13.5703125" style="1" bestFit="1" customWidth="1"/>
    <col min="59" max="59" width="11.5703125" style="1"/>
    <col min="60" max="60" width="2.85546875" style="1" customWidth="1"/>
    <col min="61" max="62" width="11.5703125" style="1"/>
    <col min="63" max="63" width="18.7109375" style="1" customWidth="1"/>
    <col min="64" max="70" width="11.5703125" style="1"/>
    <col min="71" max="74" width="14.5703125" style="1" customWidth="1"/>
    <col min="75" max="16384" width="11.5703125" style="1"/>
  </cols>
  <sheetData>
    <row r="1" spans="2:76">
      <c r="M1" s="1" t="s">
        <v>869</v>
      </c>
      <c r="N1" s="1" t="s">
        <v>203</v>
      </c>
      <c r="O1" s="1" t="s">
        <v>348</v>
      </c>
    </row>
    <row r="2" spans="2:76">
      <c r="B2" s="1" t="s">
        <v>1039</v>
      </c>
      <c r="G2" s="155" t="s">
        <v>1086</v>
      </c>
      <c r="K2" s="1" t="s">
        <v>182</v>
      </c>
      <c r="L2" s="1">
        <v>0</v>
      </c>
      <c r="M2" s="1" t="s">
        <v>9</v>
      </c>
      <c r="N2" s="1" t="s">
        <v>1086</v>
      </c>
      <c r="O2" s="1">
        <v>1</v>
      </c>
      <c r="T2" s="1" t="s">
        <v>1039</v>
      </c>
      <c r="Y2" s="155" t="s">
        <v>1087</v>
      </c>
      <c r="BK2" s="1" t="s">
        <v>1186</v>
      </c>
      <c r="BL2" s="1" t="s">
        <v>1187</v>
      </c>
    </row>
    <row r="3" spans="2:76">
      <c r="G3" s="155" t="s">
        <v>996</v>
      </c>
      <c r="K3" s="1" t="s">
        <v>16</v>
      </c>
      <c r="L3" s="1">
        <v>5</v>
      </c>
      <c r="M3" s="1" t="s">
        <v>10</v>
      </c>
      <c r="N3" s="1" t="s">
        <v>996</v>
      </c>
      <c r="O3" s="1">
        <f>O2+15</f>
        <v>16</v>
      </c>
      <c r="Y3" s="155" t="s">
        <v>1008</v>
      </c>
      <c r="AP3" s="1" t="s">
        <v>1064</v>
      </c>
      <c r="AR3" s="58" t="s">
        <v>1065</v>
      </c>
      <c r="AS3" s="1">
        <f>Projektdaten!E58</f>
        <v>20</v>
      </c>
      <c r="BI3" s="8" t="s">
        <v>1066</v>
      </c>
    </row>
    <row r="4" spans="2:76">
      <c r="B4" s="154" t="s">
        <v>950</v>
      </c>
      <c r="C4" s="69" t="str" cm="1">
        <f t="array" aca="1" ref="C4" ca="1">INDIRECT("Vergleich!"&amp;G2&amp;"7")</f>
        <v>Bitte wählen …</v>
      </c>
      <c r="D4" s="1" t="str">
        <f ca="1">Vergleich!F3</f>
        <v>Variante A</v>
      </c>
      <c r="I4" s="1" t="s">
        <v>869</v>
      </c>
      <c r="J4" s="1" t="s">
        <v>203</v>
      </c>
      <c r="K4" s="1" t="s">
        <v>17</v>
      </c>
      <c r="L4" s="1">
        <v>10</v>
      </c>
      <c r="M4" s="1" t="s">
        <v>13</v>
      </c>
      <c r="N4" s="1" t="s">
        <v>1087</v>
      </c>
      <c r="O4" s="1">
        <f t="shared" ref="O4:O14" si="0">O3+15</f>
        <v>31</v>
      </c>
      <c r="T4" s="154" t="s">
        <v>951</v>
      </c>
      <c r="U4" s="69" t="str" cm="1">
        <f t="array" aca="1" ref="U4" ca="1">INDIRECT("Vergleich!"&amp;Y2&amp;"7")</f>
        <v>Bitte wählen …</v>
      </c>
      <c r="AA4" s="1" t="s">
        <v>869</v>
      </c>
      <c r="AB4" s="1" t="s">
        <v>203</v>
      </c>
      <c r="BF4" s="226"/>
      <c r="BJ4" s="7" t="s">
        <v>319</v>
      </c>
      <c r="BK4" s="69">
        <f ca="1">SUM(AP25:AV25)+SUM(AW26:AW125)</f>
        <v>0</v>
      </c>
      <c r="BL4" s="69">
        <f ca="1">SUM(BI25:BO25)+SUM(BP26:BP125)</f>
        <v>0</v>
      </c>
    </row>
    <row r="5" spans="2:76" ht="15.75">
      <c r="B5" s="7" t="s">
        <v>1047</v>
      </c>
      <c r="C5" s="1">
        <f ca="1">VLOOKUP(C4,Auswahllisten!E9:F22,2,FALSE)</f>
        <v>0</v>
      </c>
      <c r="E5" s="1" t="s">
        <v>1041</v>
      </c>
      <c r="F5" s="1">
        <f ca="1">IF(C5=0,0,INDEX(L2:L15,MATCH(C6,L2:L15,1)))</f>
        <v>0</v>
      </c>
      <c r="G5" s="1" t="s">
        <v>136</v>
      </c>
      <c r="H5" s="1" t="s">
        <v>183</v>
      </c>
      <c r="I5" s="1" t="str">
        <f ca="1">VLOOKUP(F5,L2:M15,2,FALSE)</f>
        <v>F</v>
      </c>
      <c r="J5" s="1" t="str">
        <f ca="1">VLOOKUP(F5,$L$2:$N$15,3,FALSE)</f>
        <v>U</v>
      </c>
      <c r="K5" s="1" t="s">
        <v>18</v>
      </c>
      <c r="L5" s="1">
        <v>20</v>
      </c>
      <c r="M5" s="1" t="s">
        <v>261</v>
      </c>
      <c r="N5" s="1" t="s">
        <v>1008</v>
      </c>
      <c r="O5" s="1">
        <f t="shared" si="0"/>
        <v>46</v>
      </c>
      <c r="T5" s="7" t="s">
        <v>1047</v>
      </c>
      <c r="U5" s="1">
        <f ca="1">VLOOKUP(U4,Auswahllisten!E9:F22,2,FALSE)</f>
        <v>0</v>
      </c>
      <c r="W5" s="1" t="s">
        <v>1041</v>
      </c>
      <c r="X5" s="1">
        <f ca="1">IF($U$5=0,0,INDEX(L2:L15,MATCH(U6,L2:L15,1)))</f>
        <v>0</v>
      </c>
      <c r="Y5" s="1" t="s">
        <v>136</v>
      </c>
      <c r="Z5" s="1" t="s">
        <v>183</v>
      </c>
      <c r="AA5" s="1" t="str">
        <f ca="1">VLOOKUP(X5,L2:M15,2,FALSE)</f>
        <v>F</v>
      </c>
      <c r="AB5" s="1" t="str">
        <f ca="1">VLOOKUP(X5,$L$2:$N$15,3,FALSE)</f>
        <v>U</v>
      </c>
      <c r="AO5" s="157"/>
      <c r="AP5" s="1" t="s">
        <v>1063</v>
      </c>
      <c r="AR5" s="58" t="s">
        <v>1099</v>
      </c>
      <c r="AS5" s="156">
        <f>Projektdaten!E59</f>
        <v>0.02</v>
      </c>
      <c r="BF5" s="226"/>
      <c r="BJ5" s="7" t="s">
        <v>326</v>
      </c>
      <c r="BK5" s="225">
        <f ca="1">SUM(AY26:AY125)</f>
        <v>0</v>
      </c>
      <c r="BL5" s="69">
        <f ca="1">SUM(BR26:BR125)</f>
        <v>0</v>
      </c>
    </row>
    <row r="6" spans="2:76">
      <c r="B6" s="7" t="s">
        <v>953</v>
      </c>
      <c r="C6" s="33" t="str" cm="1">
        <f t="array" aca="1" ref="C6" ca="1">INDIRECT("Vergleich!"&amp;G3&amp;"25")</f>
        <v/>
      </c>
      <c r="D6" s="1" t="s">
        <v>136</v>
      </c>
      <c r="E6" s="1" t="s">
        <v>1042</v>
      </c>
      <c r="F6" s="1" cm="1">
        <f t="array" aca="1" ref="F6" ca="1">IF(C5=0,0,INDEX(L2:L15,MATCH(C6,L2:L15,1)+1))</f>
        <v>0</v>
      </c>
      <c r="G6" s="1" t="s">
        <v>136</v>
      </c>
      <c r="H6" s="1" t="s">
        <v>183</v>
      </c>
      <c r="I6" s="1" t="str">
        <f ca="1">VLOOKUP(F6,L2:M15,2,FALSE)</f>
        <v>F</v>
      </c>
      <c r="J6" s="1" t="str">
        <f ca="1">VLOOKUP(F6,$L$2:$N$15,3,FALSE)</f>
        <v>U</v>
      </c>
      <c r="K6" s="1" t="s">
        <v>19</v>
      </c>
      <c r="L6" s="1">
        <v>70</v>
      </c>
      <c r="M6" s="1" t="s">
        <v>362</v>
      </c>
      <c r="N6" s="1" t="s">
        <v>1088</v>
      </c>
      <c r="O6" s="1">
        <f t="shared" si="0"/>
        <v>61</v>
      </c>
      <c r="T6" s="7" t="s">
        <v>953</v>
      </c>
      <c r="U6" s="1" t="str" cm="1">
        <f t="array" aca="1" ref="U6" ca="1">INDIRECT("Vergleich!"&amp;Y3&amp;"25")</f>
        <v/>
      </c>
      <c r="V6" s="1" t="s">
        <v>136</v>
      </c>
      <c r="W6" s="1" t="s">
        <v>1042</v>
      </c>
      <c r="X6" s="1" cm="1">
        <f t="array" aca="1" ref="X6" ca="1">IF($U$5=0,0,INDEX(L2:L15,MATCH(U6,L2:L15,1)+1))</f>
        <v>0</v>
      </c>
      <c r="Y6" s="1" t="s">
        <v>136</v>
      </c>
      <c r="Z6" s="1" t="s">
        <v>183</v>
      </c>
      <c r="AA6" s="1" t="str">
        <f ca="1">VLOOKUP(X6,L2:M15,2,FALSE)</f>
        <v>F</v>
      </c>
      <c r="AB6" s="1" t="str">
        <f ca="1">VLOOKUP(X6,$L$2:$N$15,3,FALSE)</f>
        <v>U</v>
      </c>
      <c r="AO6" s="157"/>
      <c r="AP6" s="1" t="s">
        <v>200</v>
      </c>
      <c r="AS6" s="156">
        <f>Projektdaten!E60</f>
        <v>5.0000000000000001E-3</v>
      </c>
      <c r="AU6" s="7"/>
      <c r="BF6" s="226"/>
      <c r="BJ6" s="7" t="s">
        <v>193</v>
      </c>
      <c r="BK6" s="69">
        <f ca="1">SUM(BD26:BD125)</f>
        <v>0</v>
      </c>
      <c r="BL6" s="69">
        <f ca="1">SUM(BW26:BW125)</f>
        <v>0</v>
      </c>
    </row>
    <row r="7" spans="2:76">
      <c r="B7" s="7"/>
      <c r="C7" s="33"/>
      <c r="K7" s="1" t="s">
        <v>178</v>
      </c>
      <c r="L7" s="1">
        <v>100</v>
      </c>
      <c r="M7" s="1" t="s">
        <v>363</v>
      </c>
      <c r="N7" s="1" t="s">
        <v>1089</v>
      </c>
      <c r="O7" s="1">
        <f t="shared" si="0"/>
        <v>76</v>
      </c>
      <c r="T7" s="7"/>
      <c r="AO7" s="157"/>
      <c r="AS7" s="156"/>
      <c r="AU7" s="7"/>
      <c r="BF7" s="226"/>
      <c r="BI7" s="8" t="s">
        <v>1075</v>
      </c>
      <c r="BL7" s="157"/>
    </row>
    <row r="8" spans="2:76">
      <c r="B8" s="120" t="s">
        <v>1048</v>
      </c>
      <c r="C8" s="1" t="str">
        <f ca="1">IF(Projektdaten!$E$15=Auswahllisten!$E$31,"keine Auswahl",IF(Projektdaten!$E$15=Auswahllisten!$E$32,"Neubau",IF(OR(E12,E14),"1:1-Ersatz","Systemwechsel")))</f>
        <v>1:1-Ersatz</v>
      </c>
      <c r="K8" s="1" t="s">
        <v>179</v>
      </c>
      <c r="L8" s="1">
        <v>200</v>
      </c>
      <c r="M8" s="1" t="s">
        <v>687</v>
      </c>
      <c r="N8" s="1" t="s">
        <v>1090</v>
      </c>
      <c r="O8" s="1">
        <f t="shared" si="0"/>
        <v>91</v>
      </c>
      <c r="T8" s="120" t="s">
        <v>1048</v>
      </c>
      <c r="U8" s="1" t="str">
        <f ca="1">IF(Projektdaten!$E$15=Auswahllisten!$E$31,"keine Auswahl",IF(Projektdaten!$E$15=Auswahllisten!$E$32,"Neubau",IF(OR(W12,W14),"1:1-Ersatz","Systemwechsel")))</f>
        <v>1:1-Ersatz</v>
      </c>
      <c r="AO8" s="158"/>
      <c r="AS8" s="156"/>
      <c r="AU8" s="7"/>
      <c r="BF8" s="226"/>
      <c r="BJ8" s="7" t="s">
        <v>1306</v>
      </c>
      <c r="BK8" s="69">
        <f ca="1">SUM(BF26:BF125)</f>
        <v>0</v>
      </c>
      <c r="BL8" s="69">
        <f ca="1">SUM(BY26:BY125)</f>
        <v>0</v>
      </c>
    </row>
    <row r="9" spans="2:76">
      <c r="B9" s="7" t="s">
        <v>1047</v>
      </c>
      <c r="C9" s="1">
        <f ca="1">IF(C8="keine Auswahl",-1,IF(C8="Neubau",0,IF(C8="1:1-Ersatz",1,2)))</f>
        <v>1</v>
      </c>
      <c r="K9" s="1" t="s">
        <v>180</v>
      </c>
      <c r="L9" s="1">
        <v>350</v>
      </c>
      <c r="M9" s="1" t="s">
        <v>688</v>
      </c>
      <c r="N9" s="1" t="s">
        <v>1091</v>
      </c>
      <c r="O9" s="1">
        <f t="shared" si="0"/>
        <v>106</v>
      </c>
      <c r="T9" s="7" t="s">
        <v>1047</v>
      </c>
      <c r="U9" s="1">
        <f ca="1">IF(U8="keine Auswahl",-1,IF(U8="Neubau",0,IF(U8="1:1-Ersatz",1,2)))</f>
        <v>1</v>
      </c>
      <c r="AO9" s="159"/>
      <c r="AP9" s="1" t="s">
        <v>1068</v>
      </c>
      <c r="AS9" s="156">
        <f>Projektdaten!J59</f>
        <v>0</v>
      </c>
      <c r="AZ9" s="159"/>
      <c r="BA9" s="159"/>
      <c r="BB9" s="159"/>
      <c r="BC9" s="159"/>
      <c r="BF9" s="226"/>
      <c r="BJ9" s="7" t="s">
        <v>1194</v>
      </c>
      <c r="BK9" s="69">
        <f ca="1">BF22</f>
        <v>0</v>
      </c>
      <c r="BL9" s="69">
        <f ca="1">BY22</f>
        <v>0</v>
      </c>
    </row>
    <row r="10" spans="2:76">
      <c r="F10" s="7" t="s">
        <v>1172</v>
      </c>
      <c r="G10" s="155" t="s">
        <v>363</v>
      </c>
      <c r="K10" s="1" t="s">
        <v>181</v>
      </c>
      <c r="L10" s="1">
        <v>500</v>
      </c>
      <c r="M10" s="1" t="s">
        <v>689</v>
      </c>
      <c r="N10" s="1" t="s">
        <v>1092</v>
      </c>
      <c r="O10" s="1">
        <f t="shared" si="0"/>
        <v>121</v>
      </c>
      <c r="X10" s="7" t="s">
        <v>1173</v>
      </c>
      <c r="Y10" s="155" t="s">
        <v>687</v>
      </c>
      <c r="AO10" s="157"/>
      <c r="AP10" s="1" t="s">
        <v>1307</v>
      </c>
      <c r="AS10" s="156">
        <f>Projektdaten!J60</f>
        <v>0</v>
      </c>
      <c r="AZ10" s="157"/>
      <c r="BA10" s="157"/>
      <c r="BB10" s="157"/>
      <c r="BC10" s="157"/>
      <c r="BI10" s="8" t="s">
        <v>1195</v>
      </c>
      <c r="BL10" s="157"/>
    </row>
    <row r="11" spans="2:76">
      <c r="B11" s="7" t="s">
        <v>1081</v>
      </c>
      <c r="C11" s="1" t="str">
        <f>Projektdaten!$E$35</f>
        <v>Öl</v>
      </c>
      <c r="F11" s="7"/>
      <c r="K11" s="1" t="s">
        <v>336</v>
      </c>
      <c r="L11" s="1">
        <v>750</v>
      </c>
      <c r="M11" s="1" t="s">
        <v>690</v>
      </c>
      <c r="N11" s="1" t="s">
        <v>1093</v>
      </c>
      <c r="O11" s="1">
        <f t="shared" si="0"/>
        <v>136</v>
      </c>
      <c r="T11" s="7"/>
      <c r="AO11" s="160"/>
      <c r="AP11" s="1" t="s">
        <v>1069</v>
      </c>
      <c r="AR11" s="1" t="s">
        <v>1070</v>
      </c>
      <c r="AS11" s="156">
        <f>AS5+AS6</f>
        <v>2.5000000000000001E-2</v>
      </c>
      <c r="AY11" s="1" t="s">
        <v>1668</v>
      </c>
      <c r="BI11" s="8"/>
      <c r="BJ11" s="7" t="s">
        <v>869</v>
      </c>
      <c r="BK11" s="69">
        <f ca="1">PMT($AS$11,$AS$3,BK4)</f>
        <v>0</v>
      </c>
      <c r="BL11" s="69">
        <f t="shared" ref="BL11:BL13" ca="1" si="1">PMT($AS$11,$AS$3,BL4)</f>
        <v>0</v>
      </c>
      <c r="BR11" s="1" t="s">
        <v>1668</v>
      </c>
    </row>
    <row r="12" spans="2:76">
      <c r="B12" s="7" t="s">
        <v>1047</v>
      </c>
      <c r="C12" s="1">
        <f ca="1">IFERROR(VLOOKUP(C11,Auswahllisten!$E$9:$F$22,2,FALSE),0)</f>
        <v>1</v>
      </c>
      <c r="E12" s="1" t="b">
        <f ca="1">OR(C12=C5,C14=C5)</f>
        <v>1</v>
      </c>
      <c r="H12" s="7" t="s">
        <v>1343</v>
      </c>
      <c r="I12" s="1" t="b" cm="1">
        <f t="array" aca="1" ref="I12" ca="1">AND(C5&lt;&gt;0,VLOOKUP(INDIRECT("Vergleich!"&amp;G2&amp;"10"),Auswahllisten!$E$105:$F$107,2,FALSE)&lt;&gt;0)</f>
        <v>0</v>
      </c>
      <c r="K12" s="1" t="s">
        <v>691</v>
      </c>
      <c r="L12" s="1">
        <v>1000</v>
      </c>
      <c r="M12" s="1" t="s">
        <v>313</v>
      </c>
      <c r="N12" s="1" t="s">
        <v>153</v>
      </c>
      <c r="O12" s="1">
        <f t="shared" si="0"/>
        <v>151</v>
      </c>
      <c r="T12" s="7"/>
      <c r="W12" s="1" t="b">
        <f ca="1">OR(C12=U5,C14=U5)</f>
        <v>1</v>
      </c>
      <c r="AY12" s="7" t="s">
        <v>1669</v>
      </c>
      <c r="AZ12" s="155">
        <v>261</v>
      </c>
      <c r="BA12" s="1">
        <f>AZ12+1</f>
        <v>262</v>
      </c>
      <c r="BB12" s="1">
        <f t="shared" ref="BB12:BC12" si="2">BA12+1</f>
        <v>263</v>
      </c>
      <c r="BC12" s="1">
        <f t="shared" si="2"/>
        <v>264</v>
      </c>
      <c r="BI12" s="125"/>
      <c r="BJ12" s="7" t="s">
        <v>203</v>
      </c>
      <c r="BK12" s="69">
        <f ca="1">PMT($AS$11,$AS$3,BK5)</f>
        <v>0</v>
      </c>
      <c r="BL12" s="69">
        <f t="shared" ca="1" si="1"/>
        <v>0</v>
      </c>
      <c r="BR12" s="7" t="s">
        <v>1669</v>
      </c>
      <c r="BS12" s="155">
        <v>261</v>
      </c>
      <c r="BT12" s="1">
        <f>BS12+1</f>
        <v>262</v>
      </c>
      <c r="BU12" s="1">
        <f t="shared" ref="BU12:BV12" si="3">BT12+1</f>
        <v>263</v>
      </c>
      <c r="BV12" s="1">
        <f t="shared" si="3"/>
        <v>264</v>
      </c>
    </row>
    <row r="13" spans="2:76">
      <c r="B13" s="7" t="s">
        <v>1101</v>
      </c>
      <c r="C13" s="1" t="str">
        <f>Projektdaten!$E$36</f>
        <v>Bitte wählen …</v>
      </c>
      <c r="H13" s="7" t="s">
        <v>1344</v>
      </c>
      <c r="I13" s="1" t="b" cm="1">
        <f t="array" aca="1" ref="I13" ca="1">AND(C5&lt;&gt;0,VLOOKUP(INDIRECT("Vergleich!"&amp;G2&amp;"88"),Auswahllisten!$E$94:$F$95,2,FALSE)&lt;&gt;0)</f>
        <v>0</v>
      </c>
      <c r="K13" s="1" t="s">
        <v>692</v>
      </c>
      <c r="L13" s="1">
        <v>1500</v>
      </c>
      <c r="M13" s="1" t="s">
        <v>1049</v>
      </c>
      <c r="N13" s="1" t="s">
        <v>1094</v>
      </c>
      <c r="O13" s="1">
        <f t="shared" si="0"/>
        <v>166</v>
      </c>
      <c r="T13" s="7"/>
      <c r="AP13" s="1" t="s">
        <v>1071</v>
      </c>
      <c r="AS13" s="155">
        <v>1</v>
      </c>
      <c r="AT13" s="1" t="s">
        <v>1072</v>
      </c>
      <c r="AY13" s="7" t="s">
        <v>1670</v>
      </c>
      <c r="AZ13" s="1" cm="1">
        <f t="array" aca="1" ref="AZ13" ca="1">INDIRECT("Energie!"&amp;$G$10&amp;AZ12)*(1+$U$158)</f>
        <v>0</v>
      </c>
      <c r="BA13" s="445" cm="1">
        <f t="array" aca="1" ref="BA13" ca="1">INDIRECT("Energie!"&amp;$G$10&amp;BA12)*(1+$U$158)</f>
        <v>0</v>
      </c>
      <c r="BB13" s="445" cm="1">
        <f t="array" aca="1" ref="BB13" ca="1">INDIRECT("Energie!"&amp;$G$10&amp;BB12)*(1+$U$158)</f>
        <v>0</v>
      </c>
      <c r="BC13" s="445" cm="1">
        <f t="array" aca="1" ref="BC13" ca="1">INDIRECT("Energie!"&amp;$G$10&amp;BC12)*(1+$U$158)</f>
        <v>0</v>
      </c>
      <c r="BI13" s="125"/>
      <c r="BJ13" s="7" t="s">
        <v>1196</v>
      </c>
      <c r="BK13" s="69">
        <f ca="1">PMT($AS$11,$AS$3,BK6)</f>
        <v>0</v>
      </c>
      <c r="BL13" s="69">
        <f t="shared" ca="1" si="1"/>
        <v>0</v>
      </c>
      <c r="BR13" s="7" t="s">
        <v>1670</v>
      </c>
      <c r="BS13" s="1" cm="1">
        <f t="array" aca="1" ref="BS13" ca="1">INDIRECT("Energie!"&amp;$Y$10&amp;BS12)*(1+$U$158)</f>
        <v>0</v>
      </c>
      <c r="BT13" s="1" cm="1">
        <f t="array" aca="1" ref="BT13" ca="1">INDIRECT("Energie!"&amp;$Y$10&amp;BT12)*(1+$U$158)</f>
        <v>0</v>
      </c>
      <c r="BU13" s="1" cm="1">
        <f t="array" aca="1" ref="BU13" ca="1">INDIRECT("Energie!"&amp;$Y$10&amp;BU12)*(1+$U$158)</f>
        <v>0</v>
      </c>
      <c r="BV13" s="1" cm="1">
        <f t="array" aca="1" ref="BV13" ca="1">INDIRECT("Energie!"&amp;$Y$10&amp;BV12)*(1+$U$158)</f>
        <v>0</v>
      </c>
    </row>
    <row r="14" spans="2:76">
      <c r="B14" s="7" t="s">
        <v>1047</v>
      </c>
      <c r="C14" s="1">
        <f ca="1">IFERROR(VLOOKUP(C13,Auswahllisten!$E$9:$F$22,2,FALSE),0)</f>
        <v>0</v>
      </c>
      <c r="E14" s="1" t="b">
        <f ca="1">AND(OR(C12=2,C14=2,C12=8,C14=8),OR(C5=2,C5=8))</f>
        <v>0</v>
      </c>
      <c r="H14" s="7"/>
      <c r="K14" s="1" t="s">
        <v>693</v>
      </c>
      <c r="L14" s="1">
        <v>2000</v>
      </c>
      <c r="M14" s="1" t="s">
        <v>1050</v>
      </c>
      <c r="N14" s="1" t="s">
        <v>1312</v>
      </c>
      <c r="O14" s="1">
        <f t="shared" si="0"/>
        <v>181</v>
      </c>
      <c r="T14" s="7"/>
      <c r="W14" s="1" t="b">
        <f ca="1">AND(OR(C12=2,C14=2,C12=8,C14=8),OR(U5=2,U5=8))</f>
        <v>0</v>
      </c>
      <c r="AO14" s="160"/>
      <c r="AP14" s="160"/>
      <c r="AQ14" s="160"/>
      <c r="AR14" s="160"/>
      <c r="AS14" s="160"/>
      <c r="AT14" s="160"/>
      <c r="AU14" s="160"/>
      <c r="AY14" s="7" t="s">
        <v>1671</v>
      </c>
      <c r="AZ14" s="155">
        <v>148</v>
      </c>
      <c r="BA14" s="1">
        <f>AZ14+1</f>
        <v>149</v>
      </c>
      <c r="BB14" s="1">
        <f t="shared" ref="BB14:BC14" si="4">BA14+1</f>
        <v>150</v>
      </c>
      <c r="BC14" s="1">
        <f t="shared" si="4"/>
        <v>151</v>
      </c>
      <c r="BE14" s="1">
        <f>BC14+8</f>
        <v>159</v>
      </c>
      <c r="BJ14" s="7" t="s">
        <v>1075</v>
      </c>
      <c r="BK14" s="69">
        <f ca="1">PMT($AS$11,$AS$3,BK8)</f>
        <v>0</v>
      </c>
      <c r="BL14" s="69">
        <f ca="1">PMT($AS$11,$AS$3,BL8)</f>
        <v>0</v>
      </c>
      <c r="BR14" s="7" t="s">
        <v>1671</v>
      </c>
      <c r="BS14" s="155">
        <v>148</v>
      </c>
      <c r="BT14" s="1">
        <f>BS14+1</f>
        <v>149</v>
      </c>
      <c r="BU14" s="1">
        <f t="shared" ref="BU14:BV14" si="5">BT14+1</f>
        <v>150</v>
      </c>
      <c r="BV14" s="1">
        <f t="shared" si="5"/>
        <v>151</v>
      </c>
      <c r="BX14" s="1">
        <f>BV14+8</f>
        <v>159</v>
      </c>
    </row>
    <row r="15" spans="2:76">
      <c r="K15" s="1" t="s">
        <v>694</v>
      </c>
      <c r="L15" s="1">
        <v>2001</v>
      </c>
      <c r="M15" s="1" t="s">
        <v>1051</v>
      </c>
      <c r="Z15" s="1">
        <v>2</v>
      </c>
      <c r="BJ15" s="7" t="s">
        <v>1197</v>
      </c>
      <c r="BK15" s="69">
        <f ca="1">PMT($AS$11,$AS$3,BK9)</f>
        <v>0</v>
      </c>
      <c r="BL15" s="69">
        <f ca="1">PMT($AS$11,$AS$3,BL9)</f>
        <v>0</v>
      </c>
      <c r="BR15" s="7"/>
    </row>
    <row r="16" spans="2:76">
      <c r="AC16" s="35"/>
      <c r="AD16" s="1" t="s">
        <v>1190</v>
      </c>
    </row>
    <row r="17" spans="1:78" ht="13.5" thickBot="1">
      <c r="D17" s="16" t="s">
        <v>1040</v>
      </c>
      <c r="E17" s="18" t="str">
        <f ca="1">"Basis "&amp;F5&amp;" kW"</f>
        <v>Basis 0 kW</v>
      </c>
      <c r="F17" s="18" t="s">
        <v>348</v>
      </c>
      <c r="G17" s="16" t="str">
        <f ca="1">"Kosten "&amp;F5&amp;" kW"</f>
        <v>Kosten 0 kW</v>
      </c>
      <c r="H17" s="18" t="str">
        <f ca="1">"Basis "&amp;F6&amp;" kW"</f>
        <v>Basis 0 kW</v>
      </c>
      <c r="I17" s="18" t="s">
        <v>348</v>
      </c>
      <c r="J17" s="16" t="str">
        <f ca="1">"Kosten "&amp;F6&amp;" kW"</f>
        <v>Kosten 0 kW</v>
      </c>
      <c r="K17" s="18" t="s">
        <v>1043</v>
      </c>
      <c r="L17" s="18" t="s">
        <v>1046</v>
      </c>
      <c r="M17" s="16" t="str">
        <f ca="1">"Kosten "&amp;C6&amp;" kW"</f>
        <v>Kosten  kW</v>
      </c>
      <c r="O17" s="16" t="s">
        <v>1040</v>
      </c>
      <c r="P17" s="18" t="str">
        <f ca="1">"Basis "&amp;X5&amp;" kW"</f>
        <v>Basis 0 kW</v>
      </c>
      <c r="Q17" s="18" t="s">
        <v>348</v>
      </c>
      <c r="R17" s="16" t="str">
        <f ca="1">"Kosten "&amp;X5&amp;" kW"</f>
        <v>Kosten 0 kW</v>
      </c>
      <c r="S17" s="18" t="str">
        <f ca="1">"Basis "&amp;X6&amp;" kW"</f>
        <v>Basis 0 kW</v>
      </c>
      <c r="T17" s="18" t="s">
        <v>348</v>
      </c>
      <c r="U17" s="16" t="str">
        <f ca="1">"Kosten "&amp;X6&amp;" kW"</f>
        <v>Kosten 0 kW</v>
      </c>
      <c r="V17" s="18" t="s">
        <v>1043</v>
      </c>
      <c r="W17" s="18" t="s">
        <v>1046</v>
      </c>
      <c r="X17" s="16" t="str">
        <f ca="1">"Kosten "&amp;U6&amp;" kW"</f>
        <v>Kosten  kW</v>
      </c>
      <c r="AA17" s="35"/>
      <c r="AC17" s="35"/>
      <c r="AD17" s="35" t="s">
        <v>1212</v>
      </c>
      <c r="AE17" s="35"/>
      <c r="AF17" s="16" t="s">
        <v>1141</v>
      </c>
      <c r="AG17" s="16" t="s">
        <v>672</v>
      </c>
      <c r="AH17" s="16" t="s">
        <v>1265</v>
      </c>
      <c r="AI17" s="16" t="s">
        <v>1142</v>
      </c>
      <c r="AJ17" s="16" t="s">
        <v>672</v>
      </c>
      <c r="AK17" s="16" t="s">
        <v>1265</v>
      </c>
      <c r="AP17" s="6" t="s">
        <v>1079</v>
      </c>
      <c r="AQ17" s="63"/>
      <c r="AR17" s="63"/>
      <c r="AS17" s="63"/>
      <c r="AT17" s="63"/>
      <c r="AU17" s="63"/>
      <c r="AV17" s="63"/>
      <c r="AW17" s="63"/>
      <c r="AX17" s="63"/>
      <c r="AY17" s="63"/>
      <c r="AZ17" s="63"/>
      <c r="BA17" s="63"/>
      <c r="BB17" s="63"/>
      <c r="BC17" s="63"/>
      <c r="BD17" s="63"/>
      <c r="BE17" s="63"/>
      <c r="BF17" s="63"/>
      <c r="BG17" s="70"/>
      <c r="BI17" s="6" t="s">
        <v>1080</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986</v>
      </c>
      <c r="D18" s="94"/>
      <c r="E18" s="94"/>
      <c r="F18" s="94"/>
      <c r="G18" s="94"/>
      <c r="H18" s="94"/>
      <c r="I18" s="94"/>
      <c r="J18" s="94"/>
      <c r="K18" s="94" t="s">
        <v>1047</v>
      </c>
      <c r="L18" s="161">
        <v>1</v>
      </c>
      <c r="M18" s="94"/>
      <c r="P18" s="94"/>
      <c r="Q18" s="94"/>
      <c r="R18" s="94"/>
      <c r="S18" s="94"/>
      <c r="T18" s="94"/>
      <c r="U18" s="94"/>
      <c r="V18" s="94"/>
      <c r="W18" s="94"/>
      <c r="X18" s="94"/>
      <c r="Z18" s="1" t="s">
        <v>1040</v>
      </c>
      <c r="AA18" s="1" t="s">
        <v>1238</v>
      </c>
      <c r="AB18" s="1" t="s">
        <v>1342</v>
      </c>
      <c r="AC18" s="35"/>
      <c r="AD18" s="82" t="s">
        <v>1248</v>
      </c>
      <c r="AE18" s="64" t="s">
        <v>1249</v>
      </c>
      <c r="AF18" s="162">
        <f ca="1">SUMIF(Variante_D!$A$19:$A$157,AD18,Variante_D!$M$19:$M$157)</f>
        <v>0</v>
      </c>
      <c r="AG18" s="162"/>
      <c r="AH18" s="26">
        <f t="shared" ref="AH18:AH32" ca="1" si="6">(AF18-AG18)*$E$158</f>
        <v>0</v>
      </c>
      <c r="AI18" s="162">
        <f>SUMIF(Variante_D!$A$19:$A$157,AD18,Variante_D!$X$19:$X$157)</f>
        <v>0</v>
      </c>
      <c r="AJ18" s="162"/>
      <c r="AK18" s="26">
        <f t="shared" ref="AK18:AK32" si="7">(AI18-AJ18)*$E$158</f>
        <v>0</v>
      </c>
      <c r="AL18" s="69"/>
      <c r="AO18" s="7" t="s">
        <v>1260</v>
      </c>
      <c r="AP18" s="335" t="s">
        <v>303</v>
      </c>
      <c r="AQ18" s="336" t="s">
        <v>1261</v>
      </c>
      <c r="AR18" s="337" t="s">
        <v>1257</v>
      </c>
      <c r="AS18" s="337" t="s">
        <v>186</v>
      </c>
      <c r="AT18" s="337" t="s">
        <v>1012</v>
      </c>
      <c r="AU18" s="337" t="s">
        <v>948</v>
      </c>
      <c r="AV18" s="338" t="s">
        <v>677</v>
      </c>
      <c r="AW18" s="339" t="s">
        <v>1073</v>
      </c>
      <c r="AX18" s="658" t="s">
        <v>203</v>
      </c>
      <c r="AY18" s="659"/>
      <c r="AZ18" s="658" t="s">
        <v>193</v>
      </c>
      <c r="BA18" s="660"/>
      <c r="BB18" s="660"/>
      <c r="BC18" s="660"/>
      <c r="BD18" s="659"/>
      <c r="BE18" s="658" t="s">
        <v>1075</v>
      </c>
      <c r="BF18" s="659"/>
      <c r="BG18" s="346" t="s">
        <v>1067</v>
      </c>
      <c r="BI18" s="335" t="s">
        <v>303</v>
      </c>
      <c r="BJ18" s="336" t="s">
        <v>1261</v>
      </c>
      <c r="BK18" s="337" t="s">
        <v>1257</v>
      </c>
      <c r="BL18" s="337" t="s">
        <v>186</v>
      </c>
      <c r="BM18" s="337" t="s">
        <v>1012</v>
      </c>
      <c r="BN18" s="337" t="s">
        <v>948</v>
      </c>
      <c r="BO18" s="338" t="s">
        <v>677</v>
      </c>
      <c r="BP18" s="345" t="s">
        <v>1073</v>
      </c>
      <c r="BQ18" s="658" t="s">
        <v>203</v>
      </c>
      <c r="BR18" s="659"/>
      <c r="BS18" s="658" t="s">
        <v>193</v>
      </c>
      <c r="BT18" s="660"/>
      <c r="BU18" s="660"/>
      <c r="BV18" s="660"/>
      <c r="BW18" s="659"/>
      <c r="BX18" s="658" t="s">
        <v>1075</v>
      </c>
      <c r="BY18" s="659"/>
      <c r="BZ18" s="346" t="s">
        <v>1067</v>
      </c>
    </row>
    <row r="19" spans="1:78" ht="13.5" thickBot="1">
      <c r="A19" s="304" t="s">
        <v>1217</v>
      </c>
      <c r="B19" s="131" t="s">
        <v>1242</v>
      </c>
      <c r="C19" s="131" t="s">
        <v>244</v>
      </c>
      <c r="D19" s="162" t="str" cm="1">
        <f t="array" aca="1" ref="D19" ca="1">INDIRECT("Vergleich!"&amp;$G$2&amp;Z19)</f>
        <v>mittel</v>
      </c>
      <c r="E19" s="162" cm="1">
        <f t="array" aca="1" ref="E19" ca="1">INDIRECT("Investition_gewählt!"&amp;$I$5&amp;AA19)</f>
        <v>1500</v>
      </c>
      <c r="F19" s="25" cm="1">
        <f t="array" aca="1" ref="F19" ca="1">IF($C$5=0,0,INDEX(Faktoren!E5:GQ5,1,VLOOKUP($F$5,$L$2:$O$14,4,FALSE)+$C$9*5+VLOOKUP(D19,Auswahllisten!$E$25:$F$29,2,FALSE)))</f>
        <v>0</v>
      </c>
      <c r="G19" s="162">
        <f ca="1">E19*F19</f>
        <v>0</v>
      </c>
      <c r="H19" s="162" cm="1">
        <f t="array" aca="1" ref="H19" ca="1">INDIRECT("Investition_gewählt!"&amp;$I$6&amp;AA19)</f>
        <v>1500</v>
      </c>
      <c r="I19" s="25" cm="1">
        <f t="array" aca="1" ref="I19" ca="1">IF($C$5=0,0,INDEX(Faktoren!E5:GQ5,1,VLOOKUP($F$6,$L$2:$O$14,4,FALSE)+$C$9*5+VLOOKUP(D19,Auswahllisten!$E$25:$F$29,2,FALSE)))</f>
        <v>0</v>
      </c>
      <c r="J19" s="162">
        <f ca="1">H19*I19</f>
        <v>0</v>
      </c>
      <c r="K19" s="162">
        <f ca="1">IF($C$5=0,0,G19+(J19-G19)*($C$6-$F$5)/($F$6-$F$5))</f>
        <v>0</v>
      </c>
      <c r="L19" s="25" t="b">
        <f ca="1">($C$5=$L$18)</f>
        <v>0</v>
      </c>
      <c r="M19" s="162">
        <f ca="1">IFERROR(ROUND(K19*L19,AB19),0)</f>
        <v>0</v>
      </c>
      <c r="O19" s="25" t="str" cm="1">
        <f t="array" aca="1" ref="O19" ca="1">INDIRECT("Vergleich!"&amp;$Y$2&amp;Z19)</f>
        <v>gering</v>
      </c>
      <c r="P19" s="162" cm="1">
        <f t="array" aca="1" ref="P19" ca="1">INDIRECT("Investition_gewählt!"&amp;$AA$5&amp;AA19)</f>
        <v>1500</v>
      </c>
      <c r="Q19" s="25" cm="1">
        <f t="array" aca="1" ref="Q19" ca="1">IF($U$5=0,0,INDEX(Faktoren!E5:GQ5,1,VLOOKUP($X$5,$L$2:$O$14,4,FALSE)+$U$9*5+VLOOKUP(O19,Auswahllisten!$E$25:$F$29,2,FALSE)))</f>
        <v>0</v>
      </c>
      <c r="R19" s="162">
        <f ca="1">P19*Q19</f>
        <v>0</v>
      </c>
      <c r="S19" s="162" cm="1">
        <f t="array" aca="1" ref="S19" ca="1">INDIRECT("Investition_gewählt!"&amp;$AA$6&amp;AA19)</f>
        <v>1500</v>
      </c>
      <c r="T19" s="25" cm="1">
        <f t="array" aca="1" ref="T19" ca="1">IF($U$5=0,0,INDEX(Faktoren!E5:QG5,1,VLOOKUP($X$6,$L$3:$O$14,4,FALSE)+$U$9*5+VLOOKUP(O19,Auswahllisten!$E$25:$F$29,2,FALSE)))</f>
        <v>0</v>
      </c>
      <c r="U19" s="162">
        <f ca="1">S19*T19</f>
        <v>0</v>
      </c>
      <c r="V19" s="162">
        <f ca="1">IF($U$5=0,0,R19+(U19-R19)*($U$6-$X$5)/($X$6-$X$5))</f>
        <v>0</v>
      </c>
      <c r="W19" s="25" t="b">
        <f ca="1">($U$5=$L$18)</f>
        <v>0</v>
      </c>
      <c r="X19" s="162">
        <f ca="1">IFERROR(ROUND(V19*W19,AB19),0)</f>
        <v>0</v>
      </c>
      <c r="Z19" s="1">
        <v>39</v>
      </c>
      <c r="AA19" s="1">
        <v>5</v>
      </c>
      <c r="AB19" s="1">
        <v>-2</v>
      </c>
      <c r="AC19" s="35"/>
      <c r="AD19" s="82" t="s">
        <v>1230</v>
      </c>
      <c r="AE19" s="64" t="s">
        <v>1247</v>
      </c>
      <c r="AF19" s="26">
        <f ca="1">SUMIF(Variante_D!$A$19:$A$157,AD19,Variante_D!$M$19:$M$157)</f>
        <v>0</v>
      </c>
      <c r="AG19" s="162"/>
      <c r="AH19" s="26">
        <f t="shared" ca="1" si="6"/>
        <v>0</v>
      </c>
      <c r="AI19" s="26">
        <f ca="1">SUMIF(Variante_D!$A$19:$A$157,AD19,Variante_D!$X$19:$X$157)</f>
        <v>0</v>
      </c>
      <c r="AJ19" s="26"/>
      <c r="AK19" s="26">
        <f t="shared" ca="1" si="7"/>
        <v>0</v>
      </c>
      <c r="AL19" s="69"/>
      <c r="AO19" s="7" t="s">
        <v>1074</v>
      </c>
      <c r="AP19" s="340"/>
      <c r="AQ19" s="18"/>
      <c r="AR19" s="18"/>
      <c r="AS19" s="18"/>
      <c r="AT19" s="18"/>
      <c r="AU19" s="20"/>
      <c r="AV19" s="312"/>
      <c r="AW19" s="253" t="s">
        <v>869</v>
      </c>
      <c r="AX19" s="341" t="s">
        <v>1305</v>
      </c>
      <c r="AY19" s="344" t="s">
        <v>1192</v>
      </c>
      <c r="AZ19" s="341" t="s">
        <v>1672</v>
      </c>
      <c r="BA19" s="458" t="s">
        <v>1648</v>
      </c>
      <c r="BB19" s="458" t="s">
        <v>1650</v>
      </c>
      <c r="BC19" s="458" t="s">
        <v>172</v>
      </c>
      <c r="BD19" s="344" t="s">
        <v>1192</v>
      </c>
      <c r="BE19" s="341" t="s">
        <v>1305</v>
      </c>
      <c r="BF19" s="344" t="s">
        <v>1192</v>
      </c>
      <c r="BG19" s="347" t="s">
        <v>1076</v>
      </c>
      <c r="BI19" s="340"/>
      <c r="BJ19" s="18"/>
      <c r="BK19" s="18"/>
      <c r="BL19" s="18"/>
      <c r="BM19" s="18"/>
      <c r="BN19" s="20"/>
      <c r="BO19" s="20"/>
      <c r="BP19" s="253" t="s">
        <v>869</v>
      </c>
      <c r="BQ19" s="341" t="s">
        <v>1305</v>
      </c>
      <c r="BR19" s="344" t="s">
        <v>1192</v>
      </c>
      <c r="BS19" s="341" t="s">
        <v>1672</v>
      </c>
      <c r="BT19" s="458" t="s">
        <v>1648</v>
      </c>
      <c r="BU19" s="458" t="s">
        <v>1650</v>
      </c>
      <c r="BV19" s="458" t="s">
        <v>172</v>
      </c>
      <c r="BW19" s="344" t="s">
        <v>1192</v>
      </c>
      <c r="BX19" s="341" t="s">
        <v>1305</v>
      </c>
      <c r="BY19" s="344" t="s">
        <v>1192</v>
      </c>
      <c r="BZ19" s="347" t="s">
        <v>1076</v>
      </c>
    </row>
    <row r="20" spans="1:78" ht="14.25" thickTop="1" thickBot="1">
      <c r="A20" s="305" t="s">
        <v>1215</v>
      </c>
      <c r="B20" s="126" t="s">
        <v>303</v>
      </c>
      <c r="C20" s="126" t="s">
        <v>988</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IF($C$5=0,0,INDEX(Faktoren!E6:GQ6,1,VLOOKUP($F$5,$L$2:$O$14,4,FALSE)+$C$9*5+VLOOKUP(D20,Auswahllisten!$E$25:$F$29,2,FALSE)))</f>
        <v>0</v>
      </c>
      <c r="G20" s="26">
        <f t="shared" ref="G20:G23" ca="1" si="8">E20*F20</f>
        <v>0</v>
      </c>
      <c r="H20" s="26" cm="1">
        <f t="array" aca="1" ref="H20" ca="1">INDIRECT("Investition_gewählt!"&amp;$I$6&amp;AA20)</f>
        <v>9400</v>
      </c>
      <c r="I20" s="25" cm="1">
        <f t="array" aca="1" ref="I20" ca="1">IF($C$5=0,0,INDEX(Faktoren!E6:GQ6,1,VLOOKUP($F$6,$L$2:$O$14,4,FALSE)+$C$9*5+VLOOKUP(D20,Auswahllisten!$E$25:$F$29,2,FALSE)))</f>
        <v>0</v>
      </c>
      <c r="J20" s="26">
        <f t="shared" ref="J20:J23" ca="1" si="9">H20*I20</f>
        <v>0</v>
      </c>
      <c r="K20" s="26">
        <f t="shared" ref="K20:K23" ca="1" si="10">IF($C$5=0,0,G20+(J20-G20)*($C$6-$F$5)/($F$6-$F$5))</f>
        <v>0</v>
      </c>
      <c r="L20" s="16" t="b">
        <f ca="1">($C$5=$L$18)</f>
        <v>0</v>
      </c>
      <c r="M20" s="26">
        <f t="shared" ref="M20:M23"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IF($U$5=0,0,INDEX(Faktoren!E6:GQ6,1,VLOOKUP($X$5,$L$2:$O$14,4,FALSE)+$U$9*5+VLOOKUP(O20,Auswahllisten!$E$25:$F$29,2,FALSE)))</f>
        <v>0</v>
      </c>
      <c r="R20" s="26">
        <f t="shared" ref="R20:R23" ca="1" si="12">P20*Q20</f>
        <v>0</v>
      </c>
      <c r="S20" s="26" cm="1">
        <f t="array" aca="1" ref="S20" ca="1">INDIRECT("Investition_gewählt!"&amp;$AA$6&amp;AA20)</f>
        <v>9400</v>
      </c>
      <c r="T20" s="16" cm="1">
        <f t="array" aca="1" ref="T20" ca="1">IF($U$5=0,0,INDEX(Faktoren!E6:QG6,1,VLOOKUP($X$6,$L$3:$O$14,4,FALSE)+$U$9*5+VLOOKUP(O20,Auswahllisten!$E$25:$F$29,2,FALSE)))</f>
        <v>0</v>
      </c>
      <c r="U20" s="26">
        <f t="shared" ref="U20:U23" ca="1" si="13">S20*T20</f>
        <v>0</v>
      </c>
      <c r="V20" s="26">
        <f t="shared" ref="V20:V83" ca="1" si="14">IF($U$5=0,0,R20+(U20-R20)*($U$6-$X$5)/($X$6-$X$5))</f>
        <v>0</v>
      </c>
      <c r="W20" s="16" t="b">
        <f t="shared" ref="W20:W23" ca="1" si="15">($U$5=$L$18)</f>
        <v>0</v>
      </c>
      <c r="X20" s="26">
        <f t="shared" ref="X20:X23" ca="1" si="16">IFERROR(ROUND(V20*W20,AB20),0)</f>
        <v>0</v>
      </c>
      <c r="Z20" s="1">
        <v>40</v>
      </c>
      <c r="AA20" s="1">
        <v>6</v>
      </c>
      <c r="AB20" s="1">
        <v>-2</v>
      </c>
      <c r="AC20" s="35"/>
      <c r="AD20" s="35" t="s">
        <v>1223</v>
      </c>
      <c r="AE20" s="1" t="s">
        <v>1251</v>
      </c>
      <c r="AF20" s="26">
        <f ca="1">SUMIF(Variante_D!$A$19:$A$157,AD20,Variante_D!$M$19:$M$157)</f>
        <v>0</v>
      </c>
      <c r="AG20" s="162">
        <f ca="1">IF($C$5=0,0,E150)</f>
        <v>0</v>
      </c>
      <c r="AH20" s="26">
        <f t="shared" ca="1" si="6"/>
        <v>0</v>
      </c>
      <c r="AI20" s="26">
        <f>SUMIF(Variante_D!$A$19:$A$157,AD20,Variante_D!$X$19:$X$157)</f>
        <v>0</v>
      </c>
      <c r="AJ20" s="26"/>
      <c r="AK20" s="26">
        <f t="shared" si="7"/>
        <v>0</v>
      </c>
      <c r="AL20" s="69"/>
      <c r="AO20" s="7" t="s">
        <v>1077</v>
      </c>
      <c r="AP20" s="341">
        <f ca="1">ROUND(VLOOKUP(C5,Standardwerte!$C$35:$M$49,3,FALSE),0)</f>
        <v>0</v>
      </c>
      <c r="AQ20" s="342">
        <f ca="1">ROUND(VLOOKUP(C5,Standardwerte!$C$35:$M$49,5,FALSE),0)</f>
        <v>0</v>
      </c>
      <c r="AR20" s="342">
        <f>ROUND(Standardwerte!$I$54,0)</f>
        <v>20</v>
      </c>
      <c r="AS20" s="342">
        <f ca="1">ROUND(VLOOKUP(C5,Standardwerte!$C$35:$M$49,4,FALSE),0)</f>
        <v>0</v>
      </c>
      <c r="AT20" s="342">
        <f ca="1">ROUND(VLOOKUP(C5,Standardwerte!$C$35:$M$49,10,FALSE),0)</f>
        <v>0</v>
      </c>
      <c r="AU20" s="342">
        <f ca="1">ROUND(VLOOKUP(C5,Standardwerte!$C$35:$M$49,11,FALSE),0)</f>
        <v>0</v>
      </c>
      <c r="AV20" s="343">
        <f>ROUND(Standardwerte!$O$54,0)</f>
        <v>20</v>
      </c>
      <c r="AW20" s="344"/>
      <c r="AY20" s="7"/>
      <c r="AZ20" s="445"/>
      <c r="BA20" s="445"/>
      <c r="BB20" s="445"/>
      <c r="BC20" s="445"/>
      <c r="BI20" s="341">
        <f ca="1">ROUND(VLOOKUP(U5,Standardwerte!$C$35:$M$49,3,FALSE),0)</f>
        <v>0</v>
      </c>
      <c r="BJ20" s="342">
        <f ca="1">ROUND(VLOOKUP(U5,Standardwerte!$C$35:$M$49,5,FALSE),0)</f>
        <v>0</v>
      </c>
      <c r="BK20" s="342">
        <f>ROUND(Standardwerte!$I$54,0)</f>
        <v>20</v>
      </c>
      <c r="BL20" s="342">
        <f ca="1">ROUND(VLOOKUP(U5,Standardwerte!$C$35:$M$49,4,FALSE),0)</f>
        <v>0</v>
      </c>
      <c r="BM20" s="342">
        <f ca="1">ROUND(VLOOKUP(U5,Standardwerte!$C$35:$M$49,10,FALSE),0)</f>
        <v>0</v>
      </c>
      <c r="BN20" s="342">
        <f ca="1">ROUND(VLOOKUP(U5,Standardwerte!$C$35:$M$49,11,FALSE),0)</f>
        <v>0</v>
      </c>
      <c r="BO20" s="342">
        <f>ROUND(Standardwerte!$O$54,0)</f>
        <v>20</v>
      </c>
      <c r="BP20" s="344"/>
      <c r="BR20" s="7"/>
      <c r="BS20" s="445"/>
      <c r="BT20" s="445"/>
      <c r="BU20" s="445"/>
      <c r="BV20" s="445"/>
      <c r="BX20" s="69"/>
    </row>
    <row r="21" spans="1:78" ht="13.5" thickTop="1">
      <c r="A21" s="305" t="s">
        <v>1215</v>
      </c>
      <c r="B21" s="126" t="s">
        <v>303</v>
      </c>
      <c r="C21" s="126" t="s">
        <v>965</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IF($C$5=0,0,INDEX(Faktoren!E7:GQ7,1,VLOOKUP($F$5,$L$2:$O$14,4,FALSE)+$C$9*5+VLOOKUP(D21,Auswahllisten!$E$25:$F$29,2,FALSE)))</f>
        <v>0</v>
      </c>
      <c r="G21" s="26">
        <f t="shared" ca="1" si="8"/>
        <v>0</v>
      </c>
      <c r="H21" s="26" cm="1">
        <f t="array" aca="1" ref="H21" ca="1">INDIRECT("Investition_gewählt!"&amp;$I$6&amp;AA21)</f>
        <v>3500</v>
      </c>
      <c r="I21" s="25" cm="1">
        <f t="array" aca="1" ref="I21" ca="1">IF($C$5=0,0,INDEX(Faktoren!E7:GQ7,1,VLOOKUP($F$6,$L$2:$O$14,4,FALSE)+$C$9*5+VLOOKUP(D21,Auswahllisten!$E$25:$F$29,2,FALSE)))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IF($U$5=0,0,INDEX(Faktoren!E7:GQ7,1,VLOOKUP($X$5,$L$2:$O$14,4,FALSE)+$U$9*5+VLOOKUP(O21,Auswahllisten!$E$25:$F$29,2,FALSE)))</f>
        <v>0</v>
      </c>
      <c r="R21" s="26">
        <f t="shared" ca="1" si="12"/>
        <v>0</v>
      </c>
      <c r="S21" s="26" cm="1">
        <f t="array" aca="1" ref="S21" ca="1">INDIRECT("Investition_gewählt!"&amp;$AA$6&amp;AA21)</f>
        <v>3500</v>
      </c>
      <c r="T21" s="16" cm="1">
        <f t="array" aca="1" ref="T21" ca="1">IF($U$5=0,0,INDEX(Faktoren!E7:QG7,1,VLOOKUP($X$6,$L$3:$O$14,4,FALSE)+$U$9*5+VLOOKUP(O21,Auswahllisten!$E$25:$F$29,2,FALSE)))</f>
        <v>0</v>
      </c>
      <c r="U21" s="26">
        <f t="shared" ca="1" si="13"/>
        <v>0</v>
      </c>
      <c r="V21" s="26">
        <f t="shared" ca="1" si="14"/>
        <v>0</v>
      </c>
      <c r="W21" s="16" t="b">
        <f t="shared" ca="1" si="15"/>
        <v>0</v>
      </c>
      <c r="X21" s="26">
        <f t="shared" ca="1" si="16"/>
        <v>0</v>
      </c>
      <c r="Z21" s="1">
        <v>42</v>
      </c>
      <c r="AA21" s="1">
        <v>7</v>
      </c>
      <c r="AB21" s="1">
        <v>-2</v>
      </c>
      <c r="AC21" s="35"/>
      <c r="AD21" s="82" t="s">
        <v>1244</v>
      </c>
      <c r="AE21" s="64" t="s">
        <v>1245</v>
      </c>
      <c r="AF21" s="26">
        <f ca="1">SUMIF(Variante_D!$A$19:$A$157,AD21,Variante_D!$M$19:$M$157)</f>
        <v>0</v>
      </c>
      <c r="AG21" s="162"/>
      <c r="AH21" s="26">
        <f t="shared" ca="1" si="6"/>
        <v>0</v>
      </c>
      <c r="AI21" s="26">
        <f ca="1">SUMIF(Variante_D!$A$19:$A$157,AD21,Variante_D!$X$19:$X$157)</f>
        <v>0</v>
      </c>
      <c r="AJ21" s="26"/>
      <c r="AK21" s="26">
        <f t="shared" ca="1" si="7"/>
        <v>0</v>
      </c>
      <c r="AL21" s="69"/>
      <c r="AO21" s="7"/>
      <c r="BY21" s="69"/>
      <c r="BZ21" s="69"/>
    </row>
    <row r="22" spans="1:78">
      <c r="A22" s="305" t="s">
        <v>1215</v>
      </c>
      <c r="B22" s="126" t="s">
        <v>303</v>
      </c>
      <c r="C22" s="126" t="s">
        <v>966</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IF($C$5=0,0,INDEX(Faktoren!E8:GQ8,1,VLOOKUP($F$5,$L$2:$O$14,4,FALSE)+$C$9*5+VLOOKUP(D22,Auswahllisten!$E$25:$F$29,2,FALSE)))</f>
        <v>0</v>
      </c>
      <c r="G22" s="26">
        <f t="shared" ca="1" si="8"/>
        <v>0</v>
      </c>
      <c r="H22" s="26" cm="1">
        <f t="array" aca="1" ref="H22" ca="1">INDIRECT("Investition_gewählt!"&amp;$I$6&amp;AA22)</f>
        <v>8500</v>
      </c>
      <c r="I22" s="25" cm="1">
        <f t="array" aca="1" ref="I22" ca="1">IF($C$5=0,0,INDEX(Faktoren!E8:GQ8,1,VLOOKUP($F$6,$L$2:$O$14,4,FALSE)+$C$9*5+VLOOKUP(D22,Auswahllisten!$E$25:$F$29,2,FALSE)))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IF($U$5=0,0,INDEX(Faktoren!E8:GQ8,1,VLOOKUP($X$5,$L$2:$O$14,4,FALSE)+$U$9*5+VLOOKUP(O22,Auswahllisten!$E$25:$F$29,2,FALSE)))</f>
        <v>0</v>
      </c>
      <c r="R22" s="26">
        <f t="shared" ca="1" si="12"/>
        <v>0</v>
      </c>
      <c r="S22" s="26" cm="1">
        <f t="array" aca="1" ref="S22" ca="1">INDIRECT("Investition_gewählt!"&amp;$AA$6&amp;AA22)</f>
        <v>8500</v>
      </c>
      <c r="T22" s="16" cm="1">
        <f t="array" aca="1" ref="T22" ca="1">IF($U$5=0,0,INDEX(Faktoren!E8:QG8,1,VLOOKUP($X$6,$L$3:$O$14,4,FALSE)+$U$9*5+VLOOKUP(O22,Auswahllisten!$E$25:$F$29,2,FALSE)))</f>
        <v>0</v>
      </c>
      <c r="U22" s="26">
        <f t="shared" ca="1" si="13"/>
        <v>0</v>
      </c>
      <c r="V22" s="26">
        <f t="shared" ca="1" si="14"/>
        <v>0</v>
      </c>
      <c r="W22" s="16" t="b">
        <f t="shared" ca="1" si="15"/>
        <v>0</v>
      </c>
      <c r="X22" s="26">
        <f t="shared" ca="1" si="16"/>
        <v>0</v>
      </c>
      <c r="Z22" s="1">
        <v>47</v>
      </c>
      <c r="AA22" s="1">
        <v>8</v>
      </c>
      <c r="AB22" s="1">
        <v>-2</v>
      </c>
      <c r="AC22" s="35"/>
      <c r="AD22" s="82" t="s">
        <v>1228</v>
      </c>
      <c r="AE22" s="64" t="s">
        <v>1013</v>
      </c>
      <c r="AF22" s="26">
        <f ca="1">SUMIF(Variante_D!$A$19:$A$157,AD22,Variante_D!$M$19:$M$157)</f>
        <v>0</v>
      </c>
      <c r="AG22" s="162"/>
      <c r="AH22" s="26">
        <f t="shared" ca="1" si="6"/>
        <v>0</v>
      </c>
      <c r="AI22" s="26">
        <f>SUMIF(Variante_D!$A$19:$A$157,AD22,Variante_D!$X$19:$X$157)</f>
        <v>0</v>
      </c>
      <c r="AJ22" s="26"/>
      <c r="AK22" s="26">
        <f t="shared" si="7"/>
        <v>0</v>
      </c>
      <c r="AL22" s="69"/>
      <c r="AO22" s="7" t="s">
        <v>1078</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06" t="s">
        <v>1256</v>
      </c>
      <c r="B23" s="297" t="s">
        <v>303</v>
      </c>
      <c r="C23" s="134" t="s">
        <v>186</v>
      </c>
      <c r="D23" s="163" t="str" cm="1">
        <f t="array" aca="1" ref="D23" ca="1">INDIRECT("Vergleich!"&amp;$G$2&amp;Z23)</f>
        <v>mittel</v>
      </c>
      <c r="E23" s="163" cm="1">
        <f t="array" aca="1" ref="E23" ca="1">INDIRECT("Investition_gewählt!"&amp;$I$5&amp;AA23)</f>
        <v>4000</v>
      </c>
      <c r="F23" s="61" cm="1">
        <f t="array" aca="1" ref="F23" ca="1">IF($C$5=0,0,INDEX(Faktoren!E9:GQ9,1,VLOOKUP($F$5,$L$2:$O$14,4,FALSE)+$C$9*5+VLOOKUP(D23,Auswahllisten!$E$25:$F$29,2,FALSE)))</f>
        <v>0</v>
      </c>
      <c r="G23" s="296">
        <f t="shared" ca="1" si="8"/>
        <v>0</v>
      </c>
      <c r="H23" s="296" cm="1">
        <f t="array" aca="1" ref="H23" ca="1">INDIRECT("Investition_gewählt!"&amp;$I$6&amp;AA23)</f>
        <v>4000</v>
      </c>
      <c r="I23" s="61" cm="1">
        <f t="array" aca="1" ref="I23" ca="1">IF($C$5=0,0,INDEX(Faktoren!E9:GQ9,1,VLOOKUP($F$6,$L$2:$O$14,4,FALSE)+$C$9*5+VLOOKUP(D23,Auswahllisten!$E$25:$F$29,2,FALSE)))</f>
        <v>0</v>
      </c>
      <c r="J23" s="163">
        <f t="shared" ca="1" si="9"/>
        <v>0</v>
      </c>
      <c r="K23" s="163">
        <f t="shared" ca="1" si="10"/>
        <v>0</v>
      </c>
      <c r="L23" s="93" t="b">
        <f ca="1">($C$5=$L$18)</f>
        <v>0</v>
      </c>
      <c r="M23" s="163">
        <f t="shared" ca="1" si="11"/>
        <v>0</v>
      </c>
      <c r="O23" s="93" t="str" cm="1">
        <f t="array" aca="1" ref="O23" ca="1">INDIRECT("Vergleich!"&amp;$Y$2&amp;Z23)</f>
        <v>gering</v>
      </c>
      <c r="P23" s="163" cm="1">
        <f t="array" aca="1" ref="P23" ca="1">INDIRECT("Investition_gewählt!"&amp;$AA$5&amp;AA23)</f>
        <v>4000</v>
      </c>
      <c r="Q23" s="93" cm="1">
        <f t="array" aca="1" ref="Q23" ca="1">IF($U$5=0,0,INDEX(Faktoren!E9:GQ9,1,VLOOKUP($X$5,$L$2:$O$14,4,FALSE)+$U$9*5+VLOOKUP(O23,Auswahllisten!$E$25:$F$29,2,FALSE)))</f>
        <v>0</v>
      </c>
      <c r="R23" s="163">
        <f t="shared" ca="1" si="12"/>
        <v>0</v>
      </c>
      <c r="S23" s="163" cm="1">
        <f t="array" aca="1" ref="S23" ca="1">INDIRECT("Investition_gewählt!"&amp;$AA$6&amp;AA23)</f>
        <v>4000</v>
      </c>
      <c r="T23" s="93" cm="1">
        <f t="array" aca="1" ref="T23" ca="1">IF($U$5=0,0,INDEX(Faktoren!E9:QG9,1,VLOOKUP($X$6,$L$3:$O$14,4,FALSE)+$U$9*5+VLOOKUP(O23,Auswahllisten!$E$25:$F$29,2,FALSE)))</f>
        <v>0</v>
      </c>
      <c r="U23" s="163">
        <f t="shared" ca="1" si="13"/>
        <v>0</v>
      </c>
      <c r="V23" s="163">
        <f t="shared" ca="1" si="14"/>
        <v>0</v>
      </c>
      <c r="W23" s="93" t="b">
        <f t="shared" ca="1" si="15"/>
        <v>0</v>
      </c>
      <c r="X23" s="163">
        <f t="shared" ca="1" si="16"/>
        <v>0</v>
      </c>
      <c r="Z23" s="1">
        <v>48</v>
      </c>
      <c r="AA23" s="1">
        <v>9</v>
      </c>
      <c r="AB23" s="1">
        <v>-2</v>
      </c>
      <c r="AC23" s="35"/>
      <c r="AD23" s="82" t="s">
        <v>1217</v>
      </c>
      <c r="AE23" s="64" t="s">
        <v>1242</v>
      </c>
      <c r="AF23" s="26">
        <f ca="1">SUMIF(Variante_D!$A$19:$A$157,AD23,Variante_D!$M$19:$M$157)</f>
        <v>0</v>
      </c>
      <c r="AG23" s="162"/>
      <c r="AH23" s="26">
        <f t="shared" ca="1" si="6"/>
        <v>0</v>
      </c>
      <c r="AI23" s="26">
        <f ca="1">SUMIF(Variante_D!$A$19:$A$157,AD23,Variante_D!$X$19:$X$157)</f>
        <v>0</v>
      </c>
      <c r="AJ23" s="26"/>
      <c r="AK23" s="26">
        <f t="shared" ca="1" si="7"/>
        <v>0</v>
      </c>
      <c r="AL23" s="69"/>
    </row>
    <row r="24" spans="1:78">
      <c r="D24" s="69"/>
      <c r="E24" s="69"/>
      <c r="G24" s="69"/>
      <c r="H24" s="69"/>
      <c r="M24" s="69"/>
      <c r="P24" s="69"/>
      <c r="R24" s="69"/>
      <c r="S24" s="69"/>
      <c r="U24" s="69"/>
      <c r="V24" s="69"/>
      <c r="X24" s="69"/>
      <c r="AA24" s="1">
        <v>10</v>
      </c>
      <c r="AB24" s="1">
        <v>-2</v>
      </c>
      <c r="AC24" s="35"/>
      <c r="AD24" s="82" t="s">
        <v>1215</v>
      </c>
      <c r="AE24" s="64" t="s">
        <v>303</v>
      </c>
      <c r="AF24" s="26">
        <f ca="1">SUMIF(Variante_D!$A$19:$A$157,AD24,Variante_D!$M$19:$M$157)</f>
        <v>0</v>
      </c>
      <c r="AG24" s="162">
        <f ca="1">IF($C$5=0,0,E109)</f>
        <v>0</v>
      </c>
      <c r="AH24" s="26">
        <f t="shared" ca="1" si="6"/>
        <v>0</v>
      </c>
      <c r="AI24" s="26">
        <f ca="1">SUMIF(Variante_D!$A$19:$A$157,AD24,Variante_D!$X$19:$X$157)</f>
        <v>0</v>
      </c>
      <c r="AJ24" s="26">
        <f ca="1">IF($U$5=0,0,Variante_D!P109)</f>
        <v>0</v>
      </c>
      <c r="AK24" s="26">
        <f t="shared" ca="1" si="7"/>
        <v>0</v>
      </c>
      <c r="AL24" s="69"/>
      <c r="AN24" s="164" t="s">
        <v>271</v>
      </c>
      <c r="AO24" s="164" t="s">
        <v>348</v>
      </c>
      <c r="AP24" s="164"/>
      <c r="AQ24" s="164"/>
      <c r="AR24" s="164"/>
      <c r="AS24" s="164"/>
      <c r="AT24" s="164"/>
      <c r="AU24" s="164"/>
      <c r="AV24" s="164"/>
      <c r="AW24" s="164"/>
      <c r="AX24" s="164"/>
      <c r="AY24" s="164"/>
      <c r="AZ24" s="164"/>
      <c r="BA24" s="164"/>
      <c r="BB24" s="164"/>
      <c r="BC24" s="164"/>
      <c r="BD24" s="164"/>
      <c r="BE24" s="164"/>
      <c r="BF24" s="164"/>
      <c r="BG24" s="164"/>
      <c r="BI24" s="164"/>
      <c r="BJ24" s="164"/>
      <c r="BK24" s="164"/>
      <c r="BL24" s="164"/>
      <c r="BM24" s="164"/>
      <c r="BN24" s="164"/>
      <c r="BO24" s="164"/>
      <c r="BP24" s="164"/>
      <c r="BQ24" s="164"/>
      <c r="BR24" s="164"/>
      <c r="BS24" s="164"/>
      <c r="BT24" s="164"/>
      <c r="BU24" s="164"/>
      <c r="BV24" s="164"/>
      <c r="BW24" s="164"/>
      <c r="BX24" s="164"/>
      <c r="BY24" s="164"/>
      <c r="BZ24" s="164"/>
    </row>
    <row r="25" spans="1:78">
      <c r="A25" s="125" t="s">
        <v>990</v>
      </c>
      <c r="B25" s="125" t="s">
        <v>14</v>
      </c>
      <c r="C25" s="64"/>
      <c r="D25" s="69"/>
      <c r="E25" s="69"/>
      <c r="G25" s="69"/>
      <c r="H25" s="69"/>
      <c r="L25" s="155">
        <v>2</v>
      </c>
      <c r="M25" s="69"/>
      <c r="P25" s="69"/>
      <c r="R25" s="69"/>
      <c r="S25" s="69"/>
      <c r="U25" s="69"/>
      <c r="V25" s="69"/>
      <c r="X25" s="69"/>
      <c r="AA25" s="1">
        <v>11</v>
      </c>
      <c r="AB25" s="1">
        <v>-2</v>
      </c>
      <c r="AC25" s="35"/>
      <c r="AD25" s="82" t="s">
        <v>1254</v>
      </c>
      <c r="AE25" s="64" t="s">
        <v>1257</v>
      </c>
      <c r="AF25" s="26">
        <f ca="1">SUMIF(Variante_D!$A$19:$A$157,AD25,Variante_D!$M$19:$M$157)</f>
        <v>0</v>
      </c>
      <c r="AG25" s="162">
        <f ca="1">IF($C$5=0,0,E143)</f>
        <v>0</v>
      </c>
      <c r="AH25" s="26">
        <f t="shared" ca="1" si="6"/>
        <v>0</v>
      </c>
      <c r="AI25" s="26">
        <f>SUMIF(Variante_D!$A$19:$A$157,AD25,Variante_D!$X$19:$X$157)</f>
        <v>0</v>
      </c>
      <c r="AJ25" s="26"/>
      <c r="AK25" s="26">
        <f t="shared" si="7"/>
        <v>0</v>
      </c>
      <c r="AL25" s="69"/>
      <c r="AN25" s="55">
        <v>0</v>
      </c>
      <c r="AO25" s="55"/>
      <c r="AP25" s="165">
        <f ca="1">-(AF35+AH35)</f>
        <v>0</v>
      </c>
      <c r="AQ25" s="165">
        <f ca="1">-(AF36+AH36)</f>
        <v>0</v>
      </c>
      <c r="AR25" s="165">
        <f ca="1">-(AF37+AH37)</f>
        <v>0</v>
      </c>
      <c r="AS25" s="165">
        <f ca="1">-(AF38+AH38)</f>
        <v>0</v>
      </c>
      <c r="AT25" s="165">
        <f ca="1">-(AF39+AH39)</f>
        <v>0</v>
      </c>
      <c r="AU25" s="165">
        <f ca="1">-(AF40+AH40)</f>
        <v>0</v>
      </c>
      <c r="AV25" s="165">
        <f ca="1">-(AF41+AH41)</f>
        <v>0</v>
      </c>
      <c r="AW25" s="165"/>
      <c r="AX25" s="165">
        <f ca="1">-(SUM(M163:M214)*(1+E158))</f>
        <v>0</v>
      </c>
      <c r="AY25" s="165"/>
      <c r="AZ25" s="165" cm="1">
        <f t="array" aca="1" ref="AZ25" ca="1">-(INDIRECT("Energie!"&amp;$G$10&amp;AZ14)*(1+$E$158))</f>
        <v>0</v>
      </c>
      <c r="BA25" s="165" cm="1">
        <f t="array" aca="1" ref="BA25" ca="1">-(INDIRECT("Energie!"&amp;$G$10&amp;BA14)*(1+$E$158))</f>
        <v>0</v>
      </c>
      <c r="BB25" s="165" cm="1">
        <f t="array" aca="1" ref="BB25" ca="1">-(INDIRECT("Energie!"&amp;$G$10&amp;BB14)*(1+$E$158))</f>
        <v>0</v>
      </c>
      <c r="BC25" s="165" cm="1">
        <f t="array" aca="1" ref="BC25" ca="1">-(INDIRECT("Energie!"&amp;$G$10&amp;BC14)*(1+$E$158))</f>
        <v>0</v>
      </c>
      <c r="BD25" s="165"/>
      <c r="BE25" s="165" cm="1">
        <f t="array" aca="1" ref="BE25" ca="1">(INDIRECT("Energie!"&amp;G10&amp;BE14)+INDIRECT("Energie!"&amp;G10&amp;BE14+1))</f>
        <v>0</v>
      </c>
      <c r="BF25" s="165"/>
      <c r="BG25" s="165">
        <f ca="1">SUM(AP25:AV25)</f>
        <v>0</v>
      </c>
      <c r="BI25" s="165">
        <f ca="1">-(AI35+AK35)</f>
        <v>0</v>
      </c>
      <c r="BJ25" s="165">
        <f ca="1">-(AI36+AK36)</f>
        <v>0</v>
      </c>
      <c r="BK25" s="165">
        <f>-(AI37+AK37)</f>
        <v>0</v>
      </c>
      <c r="BL25" s="165">
        <f ca="1">-(AI38+AK38)</f>
        <v>0</v>
      </c>
      <c r="BM25" s="165">
        <f>-(AI39+AK39)</f>
        <v>0</v>
      </c>
      <c r="BN25" s="165">
        <f>-(AI40+AK40)</f>
        <v>0</v>
      </c>
      <c r="BO25" s="165">
        <f>-(AI41+AK41)</f>
        <v>0</v>
      </c>
      <c r="BP25" s="165"/>
      <c r="BQ25" s="165">
        <f ca="1">-(SUM(X163:X214)*(1+E158))</f>
        <v>0</v>
      </c>
      <c r="BR25" s="165"/>
      <c r="BS25" s="165" cm="1">
        <f t="array" aca="1" ref="BS25" ca="1">-(INDIRECT("Energie!"&amp;$Y$10&amp;BS14)*(1+$E$158))</f>
        <v>0</v>
      </c>
      <c r="BT25" s="165" cm="1">
        <f t="array" aca="1" ref="BT25" ca="1">-(INDIRECT("Energie!"&amp;$Y$10&amp;BT14)*(1+$E$158))</f>
        <v>0</v>
      </c>
      <c r="BU25" s="165" cm="1">
        <f t="array" aca="1" ref="BU25" ca="1">-(INDIRECT("Energie!"&amp;$Y$10&amp;BU14)*(1+$E$158))</f>
        <v>0</v>
      </c>
      <c r="BV25" s="165" cm="1">
        <f t="array" aca="1" ref="BV25" ca="1">-(INDIRECT("Energie!"&amp;$Y$10&amp;BV14)*(1+$E$158))</f>
        <v>0</v>
      </c>
      <c r="BW25" s="165"/>
      <c r="BX25" s="165" cm="1">
        <f t="array" aca="1" ref="BX25" ca="1">(INDIRECT("Energie!"&amp;Y10&amp;BX14)+INDIRECT("Energie!"&amp;Y10&amp;BX14+1))</f>
        <v>0</v>
      </c>
      <c r="BZ25" s="69">
        <f ca="1">SUM(BI25:BO25)</f>
        <v>0</v>
      </c>
    </row>
    <row r="26" spans="1:78">
      <c r="A26" s="304" t="s">
        <v>1217</v>
      </c>
      <c r="B26" s="131" t="s">
        <v>1242</v>
      </c>
      <c r="C26" s="131" t="s">
        <v>206</v>
      </c>
      <c r="D26" s="162" t="str" cm="1">
        <f t="array" aca="1" ref="D26" ca="1">INDIRECT("Vergleich!"&amp;$G$2&amp;Z26)</f>
        <v>mittel</v>
      </c>
      <c r="E26" s="162" cm="1">
        <f t="array" aca="1" ref="E26" ca="1">INDIRECT("Investition_gewählt!"&amp;$I$5&amp;AA26)</f>
        <v>4000</v>
      </c>
      <c r="F26" s="25" cm="1">
        <f t="array" aca="1" ref="F26" ca="1">IF($C$5=0,0,INDEX(Faktoren!E12:GQ12,1,VLOOKUP($F$5,$L$2:$O$14,4,FALSE)+$C$9*5+VLOOKUP(D26,Auswahllisten!$E$25:$F$29,2,FALSE)))</f>
        <v>0</v>
      </c>
      <c r="G26" s="162">
        <f ca="1">E26*F26</f>
        <v>0</v>
      </c>
      <c r="H26" s="162" cm="1">
        <f t="array" aca="1" ref="H26" ca="1">INDIRECT("Investition_gewählt!"&amp;$I$6&amp;AA26)</f>
        <v>4000</v>
      </c>
      <c r="I26" s="25" cm="1">
        <f t="array" aca="1" ref="I26" ca="1">IF($C$5=0,0,INDEX(Faktoren!E12:GQ12,1,VLOOKUP($F$6,$L$2:$O$14,4,FALSE)+$C$9*5+VLOOKUP(D26,Auswahllisten!$E$25:$F$29,2,FALSE)))</f>
        <v>0</v>
      </c>
      <c r="J26" s="162">
        <f ca="1">H26*I26</f>
        <v>0</v>
      </c>
      <c r="K26" s="162">
        <f t="shared" ref="K26:K30" ca="1" si="19">IF($C$5=0,0,G26+(J26-G26)*($C$6-$F$5)/($F$6-$F$5))</f>
        <v>0</v>
      </c>
      <c r="L26" s="25" t="b">
        <f ca="1">($C$5=$L$25)</f>
        <v>0</v>
      </c>
      <c r="M26" s="162">
        <f t="shared" ref="M26:M30" ca="1" si="20">IFERROR(ROUND(K26*L26,AB26),0)</f>
        <v>0</v>
      </c>
      <c r="O26" s="25" t="str" cm="1">
        <f t="array" aca="1" ref="O26" ca="1">INDIRECT("Vergleich!"&amp;$Y$2&amp;Z26)</f>
        <v>gering</v>
      </c>
      <c r="P26" s="162" cm="1">
        <f t="array" aca="1" ref="P26" ca="1">INDIRECT("Investition_gewählt!"&amp;$AA$5&amp;AA26)</f>
        <v>4000</v>
      </c>
      <c r="Q26" s="25" cm="1">
        <f t="array" aca="1" ref="Q26" ca="1">IF($U$5=0,0,INDEX(Faktoren!E12:GQ12,1,VLOOKUP($X$5,$L$2:$O$14,4,FALSE)+$U$9*5+VLOOKUP(O26,Auswahllisten!$E$25:$F$29,2,FALSE)))</f>
        <v>0</v>
      </c>
      <c r="R26" s="162">
        <f t="shared" ref="R26:R30" ca="1" si="21">P26*Q26</f>
        <v>0</v>
      </c>
      <c r="S26" s="162" cm="1">
        <f t="array" aca="1" ref="S26" ca="1">INDIRECT("Investition_gewählt!"&amp;$AA$6&amp;AA26)</f>
        <v>4000</v>
      </c>
      <c r="T26" s="25" cm="1">
        <f t="array" aca="1" ref="T26" ca="1">IF($U$5=0,0,INDEX(Faktoren!E12:QG12,1,VLOOKUP($X$6,$L$3:$O$14,4,FALSE)+$U$9*5+VLOOKUP(O26,Auswahllisten!$E$25:$F$29,2,FALSE)))</f>
        <v>0</v>
      </c>
      <c r="U26" s="162">
        <f t="shared" ref="U26:U30" ca="1" si="22">S26*T26</f>
        <v>0</v>
      </c>
      <c r="V26" s="162">
        <f t="shared" ca="1" si="14"/>
        <v>0</v>
      </c>
      <c r="W26" s="25" t="b">
        <f ca="1">($U$5=$L$25)</f>
        <v>0</v>
      </c>
      <c r="X26" s="162">
        <f t="shared" ref="X26:X30" ca="1" si="23">IFERROR(ROUND(V26*W26,AB26),0)</f>
        <v>0</v>
      </c>
      <c r="Z26" s="1">
        <v>38</v>
      </c>
      <c r="AA26" s="1">
        <v>12</v>
      </c>
      <c r="AB26" s="1">
        <v>-2</v>
      </c>
      <c r="AC26" s="35"/>
      <c r="AD26" s="82" t="s">
        <v>1256</v>
      </c>
      <c r="AE26" s="64" t="s">
        <v>186</v>
      </c>
      <c r="AF26" s="26">
        <f ca="1">SUMIF(Variante_D!$A$19:$A$157,AD26,Variante_D!$M$19:$M$157)</f>
        <v>0</v>
      </c>
      <c r="AG26" s="162"/>
      <c r="AH26" s="26">
        <f t="shared" ca="1" si="6"/>
        <v>0</v>
      </c>
      <c r="AI26" s="26">
        <f ca="1">SUMIF(Variante_D!$A$19:$A$157,AD26,Variante_D!$X$19:$X$157)</f>
        <v>0</v>
      </c>
      <c r="AJ26" s="26"/>
      <c r="AK26" s="26">
        <f t="shared" ca="1" si="7"/>
        <v>0</v>
      </c>
      <c r="AL26" s="315"/>
      <c r="AN26" s="1">
        <v>1</v>
      </c>
      <c r="AO26" s="1">
        <f t="shared" ref="AO26:AO89" si="24">IF($AS$3&lt;AN26,0,1)</f>
        <v>1</v>
      </c>
      <c r="AP26" s="69">
        <f t="shared" ref="AP26:AV41" ca="1" si="25">IFERROR($AO26*IF(MOD($AN26,AP$20)=0,AP$25,0)*(1+$AS$10)^$AN26*IF($AS$3=$AN26,0,1),0)</f>
        <v>0</v>
      </c>
      <c r="AQ26" s="69">
        <f t="shared" ca="1" si="25"/>
        <v>0</v>
      </c>
      <c r="AR26" s="69">
        <f t="shared" si="25"/>
        <v>0</v>
      </c>
      <c r="AS26" s="69">
        <f t="shared" ca="1" si="25"/>
        <v>0</v>
      </c>
      <c r="AT26" s="69">
        <f t="shared" ca="1" si="25"/>
        <v>0</v>
      </c>
      <c r="AU26" s="69">
        <f t="shared" ca="1" si="25"/>
        <v>0</v>
      </c>
      <c r="AV26" s="69">
        <f t="shared" si="25"/>
        <v>0</v>
      </c>
      <c r="AW26" s="69">
        <f ca="1">SUM(AP26:AV26)/(1+$AS$11)^AN26</f>
        <v>0</v>
      </c>
      <c r="AX26" s="69">
        <f ca="1">$AO26*AX$25*(1+$AS$9)^$AN26</f>
        <v>0</v>
      </c>
      <c r="AY26" s="69">
        <f ca="1">SUM(AX26)/(1+$AS$11)^AN26</f>
        <v>0</v>
      </c>
      <c r="AZ26" s="69">
        <f ca="1">$AO26*IF(Auswahllisten!$G$150,AZ$25+AZ$25*AZ$13*$AN26,AZ$25*(1+AZ$13)^$AN26)</f>
        <v>0</v>
      </c>
      <c r="BA26" s="69">
        <f ca="1">$AO26*IF(Auswahllisten!$G$150,BA$25+BA$25*BA$13*$AN26,BA$25*(1+BA$13)^$AN26)</f>
        <v>0</v>
      </c>
      <c r="BB26" s="69">
        <f ca="1">$AO26*IF(Auswahllisten!$G$150,BB$25+BB$25*BB$13*$AN26,BB$25*(1+BB$13)^$AN26)</f>
        <v>0</v>
      </c>
      <c r="BC26" s="69">
        <f ca="1">$AO26*IF(Auswahllisten!$G$150,BC$25+BC$25*BC$13*$AN26,BC$25*(1+BC$13)^$AN26)</f>
        <v>0</v>
      </c>
      <c r="BD26" s="69">
        <f ca="1">SUM(AZ26:BC26)/(1+$AS$11)^AN26</f>
        <v>0</v>
      </c>
      <c r="BE26" s="69">
        <f ca="1">AO26*$BE$25*(1+$AS$8)^AN26</f>
        <v>0</v>
      </c>
      <c r="BF26" s="69">
        <f ca="1">BE26/(1+$AS$11)^AN26</f>
        <v>0</v>
      </c>
      <c r="BG26" s="69">
        <f ca="1">BG25+AW26+AY26+BD26+BF26+IF(AN26=$AS$3,$BF$22,0)</f>
        <v>0</v>
      </c>
      <c r="BI26" s="69">
        <f t="shared" ref="BI26:BO41" ca="1" si="26">IFERROR($AO26*IF(MOD($AN26,BI$20)=0,BI$25,0)*(1+$AS$10)^$AN26*IF($AS$3=$AN26,0,1),0)</f>
        <v>0</v>
      </c>
      <c r="BJ26" s="69">
        <f t="shared" ca="1" si="26"/>
        <v>0</v>
      </c>
      <c r="BK26" s="69">
        <f t="shared" si="26"/>
        <v>0</v>
      </c>
      <c r="BL26" s="69">
        <f t="shared" ca="1" si="26"/>
        <v>0</v>
      </c>
      <c r="BM26" s="69">
        <f t="shared" ca="1" si="26"/>
        <v>0</v>
      </c>
      <c r="BN26" s="69">
        <f t="shared" ca="1" si="26"/>
        <v>0</v>
      </c>
      <c r="BO26" s="69">
        <f t="shared" si="26"/>
        <v>0</v>
      </c>
      <c r="BP26" s="69">
        <f t="shared" ref="BP26:BP57" ca="1" si="27">SUM(BI26:BO26)/(1+$AS$11)^AN26</f>
        <v>0</v>
      </c>
      <c r="BQ26" s="69">
        <f ca="1">$AO26*BQ$25*(1+$AS$9)^$AN26</f>
        <v>0</v>
      </c>
      <c r="BR26" s="69">
        <f t="shared" ref="BR26:BR57" ca="1" si="28">SUM(BQ26)/(1+$AS$11)^AN26</f>
        <v>0</v>
      </c>
      <c r="BS26" s="69">
        <f ca="1">$AO26*IF(Auswahllisten!$G$150,BS$25+BS$25*BS$13*$AN26,BS$25*(1+BS$13)^$AN26)</f>
        <v>0</v>
      </c>
      <c r="BT26" s="69">
        <f ca="1">$AO26*IF(Auswahllisten!$G$150,BT$25+BT$25*BT$13*$AN26,BT$25*(1+BT$13)^$AN26)</f>
        <v>0</v>
      </c>
      <c r="BU26" s="69">
        <f ca="1">$AO26*IF(Auswahllisten!$G$150,BU$25+BU$25*BU$13*$AN26,BU$25*(1+BU$13)^$AN26)</f>
        <v>0</v>
      </c>
      <c r="BV26" s="69">
        <f ca="1">$AO26*IF(Auswahllisten!$G$150,BV$25+BV$25*BV$13*$AN26,BV$25*(1+BV$13)^$AN26)</f>
        <v>0</v>
      </c>
      <c r="BW26" s="69">
        <f ca="1">SUM(BS26:BV26)/(1+$AS$11)^AN26</f>
        <v>0</v>
      </c>
      <c r="BX26" s="69">
        <f ca="1">AO26*$BX$25*(1+$AS$8)^AN26</f>
        <v>0</v>
      </c>
      <c r="BY26" s="224">
        <f t="shared" ref="BY26:BY89" ca="1" si="29">BX26/(1+$AS$11)^AN26</f>
        <v>0</v>
      </c>
      <c r="BZ26" s="224">
        <f t="shared" ref="BZ26:BZ89" ca="1" si="30">BZ25+BP26+BR26+BW26+BY26+IF(AN26=$AS$3,$BY$22,0)</f>
        <v>0</v>
      </c>
    </row>
    <row r="27" spans="1:78">
      <c r="A27" s="305" t="s">
        <v>1215</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IF($C$5=0,0,INDEX(Faktoren!E13:GQ13,1,VLOOKUP($F$5,$L$2:$O$14,4,FALSE)+$C$9*5+VLOOKUP(D27,Auswahllisten!$E$25:$F$29,2,FALSE)))</f>
        <v>0</v>
      </c>
      <c r="G27" s="26">
        <f t="shared" ref="G27:G30" ca="1" si="31">E27*F27</f>
        <v>0</v>
      </c>
      <c r="H27" s="26" cm="1">
        <f t="array" aca="1" ref="H27" ca="1">INDIRECT("Investition_gewählt!"&amp;$I$6&amp;AA27)</f>
        <v>5100</v>
      </c>
      <c r="I27" s="25" cm="1">
        <f t="array" aca="1" ref="I27" ca="1">IF($C$5=0,0,INDEX(Faktoren!E13:GQ13,1,VLOOKUP($F$6,$L$2:$O$14,4,FALSE)+$C$9*5+VLOOKUP(D27,Auswahllisten!$E$25:$F$29,2,FALSE)))</f>
        <v>0</v>
      </c>
      <c r="J27" s="26">
        <f t="shared" ref="J27:J30" ca="1" si="32">H27*I27</f>
        <v>0</v>
      </c>
      <c r="K27" s="26">
        <f t="shared" ca="1" si="19"/>
        <v>0</v>
      </c>
      <c r="L27" s="16" t="b">
        <f ca="1">($C$5=$L$25)</f>
        <v>0</v>
      </c>
      <c r="M27" s="26">
        <f t="shared" ca="1" si="20"/>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IF($U$5=0,0,INDEX(Faktoren!E13:GQ13,1,VLOOKUP($X$5,$L$2:$O$14,4,FALSE)+$U$9*5+VLOOKUP(O27,Auswahllisten!$E$25:$F$29,2,FALSE)))</f>
        <v>0</v>
      </c>
      <c r="R27" s="26">
        <f t="shared" ca="1" si="21"/>
        <v>0</v>
      </c>
      <c r="S27" s="26" cm="1">
        <f t="array" aca="1" ref="S27" ca="1">INDIRECT("Investition_gewählt!"&amp;$AA$6&amp;AA27)</f>
        <v>5100</v>
      </c>
      <c r="T27" s="16" cm="1">
        <f t="array" aca="1" ref="T27" ca="1">IF($U$5=0,0,INDEX(Faktoren!E13:QG13,1,VLOOKUP($X$6,$L$3:$O$14,4,FALSE)+$U$9*5+VLOOKUP(O27,Auswahllisten!$E$25:$F$29,2,FALSE)))</f>
        <v>0</v>
      </c>
      <c r="U27" s="26">
        <f t="shared" ca="1" si="22"/>
        <v>0</v>
      </c>
      <c r="V27" s="26">
        <f t="shared" ca="1" si="14"/>
        <v>0</v>
      </c>
      <c r="W27" s="25" t="b">
        <f t="shared" ref="W27:W30" ca="1" si="33">($U$5=$L$25)</f>
        <v>0</v>
      </c>
      <c r="X27" s="26">
        <f t="shared" ca="1" si="23"/>
        <v>0</v>
      </c>
      <c r="Z27" s="1">
        <v>40</v>
      </c>
      <c r="AA27" s="1">
        <v>13</v>
      </c>
      <c r="AB27" s="1">
        <v>-2</v>
      </c>
      <c r="AC27" s="35"/>
      <c r="AD27" s="82" t="s">
        <v>1218</v>
      </c>
      <c r="AE27" s="64" t="s">
        <v>1243</v>
      </c>
      <c r="AF27" s="26">
        <f ca="1">SUMIF(Variante_D!$A$19:$A$157,AD27,Variante_D!$M$19:$M$157)</f>
        <v>0</v>
      </c>
      <c r="AG27" s="162"/>
      <c r="AH27" s="26">
        <f t="shared" ca="1" si="6"/>
        <v>0</v>
      </c>
      <c r="AI27" s="26">
        <f ca="1">SUMIF(Variante_D!$A$19:$A$157,AD27,Variante_D!$X$19:$X$157)</f>
        <v>0</v>
      </c>
      <c r="AJ27" s="26"/>
      <c r="AK27" s="26">
        <f t="shared" ca="1" si="7"/>
        <v>0</v>
      </c>
      <c r="AL27" s="69"/>
      <c r="AN27" s="1">
        <v>2</v>
      </c>
      <c r="AO27" s="1">
        <f t="shared" si="24"/>
        <v>1</v>
      </c>
      <c r="AP27" s="69">
        <f t="shared" ca="1" si="25"/>
        <v>0</v>
      </c>
      <c r="AQ27" s="69">
        <f t="shared" ca="1" si="25"/>
        <v>0</v>
      </c>
      <c r="AR27" s="69">
        <f t="shared" si="25"/>
        <v>0</v>
      </c>
      <c r="AS27" s="69">
        <f t="shared" ca="1" si="25"/>
        <v>0</v>
      </c>
      <c r="AT27" s="69">
        <f t="shared" ca="1" si="25"/>
        <v>0</v>
      </c>
      <c r="AU27" s="69">
        <f t="shared" ca="1" si="25"/>
        <v>0</v>
      </c>
      <c r="AV27" s="69">
        <f t="shared" si="25"/>
        <v>0</v>
      </c>
      <c r="AW27" s="69">
        <f t="shared" ref="AW27:AW44" ca="1" si="34">SUM(AP27:AV27)/(1+$AS$11)^AN27</f>
        <v>0</v>
      </c>
      <c r="AX27" s="69">
        <f t="shared" ref="AX27:AX90" ca="1" si="35">$AO27*AX$25*(1+$AS$9)^$AN27</f>
        <v>0</v>
      </c>
      <c r="AY27" s="69">
        <f t="shared" ref="AY27:AY90" ca="1" si="36">SUM(AX27)/(1+$AS$11)^AN27</f>
        <v>0</v>
      </c>
      <c r="AZ27" s="69">
        <f ca="1">$AO27*IF(Auswahllisten!$G$150,AZ$25+AZ$25*AZ$13*$AN27,AZ$25*(1+AZ$13)^$AN27)</f>
        <v>0</v>
      </c>
      <c r="BA27" s="69">
        <f ca="1">$AO27*IF(Auswahllisten!$G$150,BA$25+BA$25*BA$13*$AN27,BA$25*(1+BA$13)^$AN27)</f>
        <v>0</v>
      </c>
      <c r="BB27" s="69">
        <f ca="1">$AO27*IF(Auswahllisten!$G$150,BB$25+BB$25*BB$13*$AN27,BB$25*(1+BB$13)^$AN27)</f>
        <v>0</v>
      </c>
      <c r="BC27" s="69">
        <f ca="1">$AO27*IF(Auswahllisten!$G$150,BC$25+BC$25*BC$13*$AN27,BC$25*(1+BC$13)^$AN27)</f>
        <v>0</v>
      </c>
      <c r="BD27" s="69">
        <f t="shared" ref="BD27:BD90" ca="1" si="37">SUM(AZ27:BC27)/(1+$AS$11)^AN27</f>
        <v>0</v>
      </c>
      <c r="BE27" s="69">
        <f t="shared" ref="BE27:BE90" ca="1" si="38">AO27*$BE$25*(1+$AS$8)^AN27</f>
        <v>0</v>
      </c>
      <c r="BF27" s="69">
        <f t="shared" ref="BF27:BF90" ca="1" si="39">BE27/(1+$AS$11)^AN27</f>
        <v>0</v>
      </c>
      <c r="BG27" s="69">
        <f t="shared" ref="BG27:BG90" ca="1" si="40">BG26+AW27+AY27+BD27+BF27+IF(AN27=$AS$3,$BF$22,0)</f>
        <v>0</v>
      </c>
      <c r="BI27" s="69">
        <f t="shared" ca="1" si="26"/>
        <v>0</v>
      </c>
      <c r="BJ27" s="69">
        <f t="shared" ca="1" si="26"/>
        <v>0</v>
      </c>
      <c r="BK27" s="69">
        <f t="shared" si="26"/>
        <v>0</v>
      </c>
      <c r="BL27" s="69">
        <f t="shared" ca="1" si="26"/>
        <v>0</v>
      </c>
      <c r="BM27" s="69">
        <f t="shared" ca="1" si="26"/>
        <v>0</v>
      </c>
      <c r="BN27" s="69">
        <f t="shared" ca="1" si="26"/>
        <v>0</v>
      </c>
      <c r="BO27" s="69">
        <f t="shared" si="26"/>
        <v>0</v>
      </c>
      <c r="BP27" s="69">
        <f t="shared" ca="1" si="27"/>
        <v>0</v>
      </c>
      <c r="BQ27" s="69">
        <f t="shared" ref="BQ27:BQ90" ca="1" si="41">$AO27*BQ$25*(1+$AS$9)^$AN27</f>
        <v>0</v>
      </c>
      <c r="BR27" s="69">
        <f t="shared" ca="1" si="28"/>
        <v>0</v>
      </c>
      <c r="BS27" s="69">
        <f ca="1">$AO27*IF(Auswahllisten!$G$150,BS$25+BS$25*BS$13*$AN27,BS$25*(1+BS$13)^$AN27)</f>
        <v>0</v>
      </c>
      <c r="BT27" s="69">
        <f ca="1">$AO27*IF(Auswahllisten!$G$150,BT$25+BT$25*BT$13*$AN27,BT$25*(1+BT$13)^$AN27)</f>
        <v>0</v>
      </c>
      <c r="BU27" s="69">
        <f ca="1">$AO27*IF(Auswahllisten!$G$150,BU$25+BU$25*BU$13*$AN27,BU$25*(1+BU$13)^$AN27)</f>
        <v>0</v>
      </c>
      <c r="BV27" s="69">
        <f ca="1">$AO27*IF(Auswahllisten!$G$150,BV$25+BV$25*BV$13*$AN27,BV$25*(1+BV$13)^$AN27)</f>
        <v>0</v>
      </c>
      <c r="BW27" s="69">
        <f t="shared" ref="BW27:BW90" ca="1" si="42">SUM(BS27:BV27)/(1+$AS$11)^AN27</f>
        <v>0</v>
      </c>
      <c r="BX27" s="69">
        <f t="shared" ref="BX27:BX90" ca="1" si="43">AO27*$BX$25*(1+$AS$8)^AN27</f>
        <v>0</v>
      </c>
      <c r="BY27" s="69">
        <f t="shared" ca="1" si="29"/>
        <v>0</v>
      </c>
      <c r="BZ27" s="69">
        <f t="shared" ca="1" si="30"/>
        <v>0</v>
      </c>
    </row>
    <row r="28" spans="1:78">
      <c r="A28" s="305" t="s">
        <v>1215</v>
      </c>
      <c r="B28" s="126" t="s">
        <v>303</v>
      </c>
      <c r="C28" s="126" t="s">
        <v>965</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IF($C$5=0,0,INDEX(Faktoren!E14:GQ14,1,VLOOKUP($F$5,$L$2:$O$14,4,FALSE)+$C$9*5+VLOOKUP(D28,Auswahllisten!$E$25:$F$29,2,FALSE)))</f>
        <v>0</v>
      </c>
      <c r="G28" s="26">
        <f t="shared" ca="1" si="31"/>
        <v>0</v>
      </c>
      <c r="H28" s="26" cm="1">
        <f t="array" aca="1" ref="H28" ca="1">INDIRECT("Investition_gewählt!"&amp;$I$6&amp;AA28)</f>
        <v>3600</v>
      </c>
      <c r="I28" s="25" cm="1">
        <f t="array" aca="1" ref="I28" ca="1">IF($C$5=0,0,INDEX(Faktoren!E14:GQ14,1,VLOOKUP($F$6,$L$2:$O$14,4,FALSE)+$C$9*5+VLOOKUP(D28,Auswahllisten!$E$25:$F$29,2,FALSE)))</f>
        <v>0</v>
      </c>
      <c r="J28" s="26">
        <f t="shared" ca="1" si="32"/>
        <v>0</v>
      </c>
      <c r="K28" s="26">
        <f t="shared" ca="1" si="19"/>
        <v>0</v>
      </c>
      <c r="L28" s="16" t="b">
        <f ca="1">($C$5=$L$25)</f>
        <v>0</v>
      </c>
      <c r="M28" s="26">
        <f t="shared" ca="1" si="20"/>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IF($U$5=0,0,INDEX(Faktoren!E14:GQ14,1,VLOOKUP($X$5,$L$2:$O$14,4,FALSE)+$U$9*5+VLOOKUP(O28,Auswahllisten!$E$25:$F$29,2,FALSE)))</f>
        <v>0</v>
      </c>
      <c r="R28" s="26">
        <f t="shared" ca="1" si="21"/>
        <v>0</v>
      </c>
      <c r="S28" s="26" cm="1">
        <f t="array" aca="1" ref="S28" ca="1">INDIRECT("Investition_gewählt!"&amp;$AA$6&amp;AA28)</f>
        <v>3600</v>
      </c>
      <c r="T28" s="16" cm="1">
        <f t="array" aca="1" ref="T28" ca="1">IF($U$5=0,0,INDEX(Faktoren!E14:QG14,1,VLOOKUP($X$6,$L$3:$O$14,4,FALSE)+$U$9*5+VLOOKUP(O28,Auswahllisten!$E$25:$F$29,2,FALSE)))</f>
        <v>0</v>
      </c>
      <c r="U28" s="26">
        <f t="shared" ca="1" si="22"/>
        <v>0</v>
      </c>
      <c r="V28" s="26">
        <f t="shared" ca="1" si="14"/>
        <v>0</v>
      </c>
      <c r="W28" s="25" t="b">
        <f t="shared" ca="1" si="33"/>
        <v>0</v>
      </c>
      <c r="X28" s="26">
        <f t="shared" ca="1" si="23"/>
        <v>0</v>
      </c>
      <c r="Z28" s="1">
        <v>42</v>
      </c>
      <c r="AA28" s="1">
        <v>14</v>
      </c>
      <c r="AB28" s="1">
        <v>-2</v>
      </c>
      <c r="AC28" s="35"/>
      <c r="AD28" s="82" t="s">
        <v>1219</v>
      </c>
      <c r="AE28" s="64" t="s">
        <v>1012</v>
      </c>
      <c r="AF28" s="26">
        <f ca="1">SUMIF(Variante_D!$A$19:$A$157,AD28,Variante_D!$M$19:$M$157)</f>
        <v>0</v>
      </c>
      <c r="AG28" s="162"/>
      <c r="AH28" s="26">
        <f t="shared" ca="1" si="6"/>
        <v>0</v>
      </c>
      <c r="AI28" s="26">
        <f>SUMIF(Variante_D!$A$19:$A$157,AD28,Variante_D!$X$19:$X$157)</f>
        <v>0</v>
      </c>
      <c r="AJ28" s="26"/>
      <c r="AK28" s="26">
        <f t="shared" si="7"/>
        <v>0</v>
      </c>
      <c r="AL28" s="69"/>
      <c r="AN28" s="1">
        <v>3</v>
      </c>
      <c r="AO28" s="1">
        <f t="shared" si="24"/>
        <v>1</v>
      </c>
      <c r="AP28" s="69">
        <f t="shared" ca="1" si="25"/>
        <v>0</v>
      </c>
      <c r="AQ28" s="69">
        <f t="shared" ca="1" si="25"/>
        <v>0</v>
      </c>
      <c r="AR28" s="69">
        <f t="shared" si="25"/>
        <v>0</v>
      </c>
      <c r="AS28" s="69">
        <f t="shared" ca="1" si="25"/>
        <v>0</v>
      </c>
      <c r="AT28" s="69">
        <f t="shared" ca="1" si="25"/>
        <v>0</v>
      </c>
      <c r="AU28" s="69">
        <f t="shared" ca="1" si="25"/>
        <v>0</v>
      </c>
      <c r="AV28" s="69">
        <f t="shared" si="25"/>
        <v>0</v>
      </c>
      <c r="AW28" s="69">
        <f t="shared" ca="1" si="34"/>
        <v>0</v>
      </c>
      <c r="AX28" s="69">
        <f t="shared" ca="1" si="35"/>
        <v>0</v>
      </c>
      <c r="AY28" s="69">
        <f t="shared" ca="1" si="36"/>
        <v>0</v>
      </c>
      <c r="AZ28" s="69">
        <f ca="1">$AO28*IF(Auswahllisten!$G$150,AZ$25+AZ$25*AZ$13*$AN28,AZ$25*(1+AZ$13)^$AN28)</f>
        <v>0</v>
      </c>
      <c r="BA28" s="69">
        <f ca="1">$AO28*IF(Auswahllisten!$G$150,BA$25+BA$25*BA$13*$AN28,BA$25*(1+BA$13)^$AN28)</f>
        <v>0</v>
      </c>
      <c r="BB28" s="69">
        <f ca="1">$AO28*IF(Auswahllisten!$G$150,BB$25+BB$25*BB$13*$AN28,BB$25*(1+BB$13)^$AN28)</f>
        <v>0</v>
      </c>
      <c r="BC28" s="69">
        <f ca="1">$AO28*IF(Auswahllisten!$G$150,BC$25+BC$25*BC$13*$AN28,BC$25*(1+BC$13)^$AN28)</f>
        <v>0</v>
      </c>
      <c r="BD28" s="69">
        <f t="shared" ca="1" si="37"/>
        <v>0</v>
      </c>
      <c r="BE28" s="69">
        <f t="shared" ca="1" si="38"/>
        <v>0</v>
      </c>
      <c r="BF28" s="69">
        <f t="shared" ca="1" si="39"/>
        <v>0</v>
      </c>
      <c r="BG28" s="69">
        <f t="shared" ca="1" si="40"/>
        <v>0</v>
      </c>
      <c r="BI28" s="69">
        <f t="shared" ca="1" si="26"/>
        <v>0</v>
      </c>
      <c r="BJ28" s="69">
        <f t="shared" ca="1" si="26"/>
        <v>0</v>
      </c>
      <c r="BK28" s="69">
        <f t="shared" si="26"/>
        <v>0</v>
      </c>
      <c r="BL28" s="69">
        <f t="shared" ca="1" si="26"/>
        <v>0</v>
      </c>
      <c r="BM28" s="69">
        <f t="shared" ca="1" si="26"/>
        <v>0</v>
      </c>
      <c r="BN28" s="69">
        <f t="shared" ca="1" si="26"/>
        <v>0</v>
      </c>
      <c r="BO28" s="69">
        <f t="shared" si="26"/>
        <v>0</v>
      </c>
      <c r="BP28" s="69">
        <f t="shared" ca="1" si="27"/>
        <v>0</v>
      </c>
      <c r="BQ28" s="69">
        <f t="shared" ca="1" si="41"/>
        <v>0</v>
      </c>
      <c r="BR28" s="69">
        <f t="shared" ca="1" si="28"/>
        <v>0</v>
      </c>
      <c r="BS28" s="69">
        <f ca="1">$AO28*IF(Auswahllisten!$G$150,BS$25+BS$25*BS$13*$AN28,BS$25*(1+BS$13)^$AN28)</f>
        <v>0</v>
      </c>
      <c r="BT28" s="69">
        <f ca="1">$AO28*IF(Auswahllisten!$G$150,BT$25+BT$25*BT$13*$AN28,BT$25*(1+BT$13)^$AN28)</f>
        <v>0</v>
      </c>
      <c r="BU28" s="69">
        <f ca="1">$AO28*IF(Auswahllisten!$G$150,BU$25+BU$25*BU$13*$AN28,BU$25*(1+BU$13)^$AN28)</f>
        <v>0</v>
      </c>
      <c r="BV28" s="69">
        <f ca="1">$AO28*IF(Auswahllisten!$G$150,BV$25+BV$25*BV$13*$AN28,BV$25*(1+BV$13)^$AN28)</f>
        <v>0</v>
      </c>
      <c r="BW28" s="69">
        <f t="shared" ca="1" si="42"/>
        <v>0</v>
      </c>
      <c r="BX28" s="69">
        <f t="shared" ca="1" si="43"/>
        <v>0</v>
      </c>
      <c r="BY28" s="69">
        <f t="shared" ca="1" si="29"/>
        <v>0</v>
      </c>
      <c r="BZ28" s="69">
        <f t="shared" ca="1" si="30"/>
        <v>0</v>
      </c>
    </row>
    <row r="29" spans="1:78">
      <c r="A29" s="305" t="s">
        <v>1215</v>
      </c>
      <c r="B29" s="126" t="s">
        <v>303</v>
      </c>
      <c r="C29" s="126" t="s">
        <v>966</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IF($C$5=0,0,INDEX(Faktoren!E15:GQ15,1,VLOOKUP($F$5,$L$2:$O$14,4,FALSE)+$C$9*5+VLOOKUP(D29,Auswahllisten!$E$25:$F$29,2,FALSE)))</f>
        <v>0</v>
      </c>
      <c r="G29" s="26">
        <f t="shared" ca="1" si="31"/>
        <v>0</v>
      </c>
      <c r="H29" s="26" cm="1">
        <f t="array" aca="1" ref="H29" ca="1">INDIRECT("Investition_gewählt!"&amp;$I$6&amp;AA29)</f>
        <v>6000</v>
      </c>
      <c r="I29" s="25" cm="1">
        <f t="array" aca="1" ref="I29" ca="1">IF($C$5=0,0,INDEX(Faktoren!E15:GQ15,1,VLOOKUP($F$6,$L$2:$O$14,4,FALSE)+$C$9*5+VLOOKUP(D29,Auswahllisten!$E$25:$F$29,2,FALSE)))</f>
        <v>0</v>
      </c>
      <c r="J29" s="26">
        <f t="shared" ca="1" si="32"/>
        <v>0</v>
      </c>
      <c r="K29" s="26">
        <f t="shared" ca="1" si="19"/>
        <v>0</v>
      </c>
      <c r="L29" s="16" t="b">
        <f ca="1">($C$5=$L$25)</f>
        <v>0</v>
      </c>
      <c r="M29" s="26">
        <f t="shared" ca="1" si="20"/>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IF($U$5=0,0,INDEX(Faktoren!E15:GQ15,1,VLOOKUP($X$5,$L$2:$O$14,4,FALSE)+$U$9*5+VLOOKUP(O29,Auswahllisten!$E$25:$F$29,2,FALSE)))</f>
        <v>0</v>
      </c>
      <c r="R29" s="26">
        <f t="shared" ca="1" si="21"/>
        <v>0</v>
      </c>
      <c r="S29" s="26" cm="1">
        <f t="array" aca="1" ref="S29" ca="1">INDIRECT("Investition_gewählt!"&amp;$AA$6&amp;AA29)</f>
        <v>6000</v>
      </c>
      <c r="T29" s="16" cm="1">
        <f t="array" aca="1" ref="T29" ca="1">IF($U$5=0,0,INDEX(Faktoren!E15:QG15,1,VLOOKUP($X$6,$L$3:$O$14,4,FALSE)+$U$9*5+VLOOKUP(O29,Auswahllisten!$E$25:$F$29,2,FALSE)))</f>
        <v>0</v>
      </c>
      <c r="U29" s="26">
        <f t="shared" ca="1" si="22"/>
        <v>0</v>
      </c>
      <c r="V29" s="26">
        <f t="shared" ca="1" si="14"/>
        <v>0</v>
      </c>
      <c r="W29" s="25" t="b">
        <f t="shared" ca="1" si="33"/>
        <v>0</v>
      </c>
      <c r="X29" s="26">
        <f t="shared" ca="1" si="23"/>
        <v>0</v>
      </c>
      <c r="Z29" s="1">
        <v>47</v>
      </c>
      <c r="AA29" s="1">
        <v>15</v>
      </c>
      <c r="AB29" s="1">
        <v>-2</v>
      </c>
      <c r="AC29" s="35"/>
      <c r="AD29" s="82" t="s">
        <v>1226</v>
      </c>
      <c r="AE29" s="64" t="s">
        <v>948</v>
      </c>
      <c r="AF29" s="26">
        <f ca="1">SUMIF(Variante_D!$A$19:$A$157,AD29,Variante_D!$M$19:$M$157)</f>
        <v>0</v>
      </c>
      <c r="AG29" s="162"/>
      <c r="AH29" s="26">
        <f t="shared" ca="1" si="6"/>
        <v>0</v>
      </c>
      <c r="AI29" s="26">
        <f>SUMIF(Variante_D!$A$19:$A$157,AD29,Variante_D!$X$19:$X$157)</f>
        <v>0</v>
      </c>
      <c r="AJ29" s="26"/>
      <c r="AK29" s="26">
        <f t="shared" si="7"/>
        <v>0</v>
      </c>
      <c r="AL29" s="69"/>
      <c r="AN29" s="1">
        <v>4</v>
      </c>
      <c r="AO29" s="1">
        <f t="shared" si="24"/>
        <v>1</v>
      </c>
      <c r="AP29" s="69">
        <f t="shared" ca="1" si="25"/>
        <v>0</v>
      </c>
      <c r="AQ29" s="69">
        <f t="shared" ca="1" si="25"/>
        <v>0</v>
      </c>
      <c r="AR29" s="69">
        <f t="shared" si="25"/>
        <v>0</v>
      </c>
      <c r="AS29" s="69">
        <f t="shared" ca="1" si="25"/>
        <v>0</v>
      </c>
      <c r="AT29" s="69">
        <f t="shared" ca="1" si="25"/>
        <v>0</v>
      </c>
      <c r="AU29" s="69">
        <f t="shared" ca="1" si="25"/>
        <v>0</v>
      </c>
      <c r="AV29" s="69">
        <f t="shared" si="25"/>
        <v>0</v>
      </c>
      <c r="AW29" s="69">
        <f t="shared" ca="1" si="34"/>
        <v>0</v>
      </c>
      <c r="AX29" s="69">
        <f t="shared" ca="1" si="35"/>
        <v>0</v>
      </c>
      <c r="AY29" s="69">
        <f t="shared" ca="1" si="36"/>
        <v>0</v>
      </c>
      <c r="AZ29" s="69">
        <f ca="1">$AO29*IF(Auswahllisten!$G$150,AZ$25+AZ$25*AZ$13*$AN29,AZ$25*(1+AZ$13)^$AN29)</f>
        <v>0</v>
      </c>
      <c r="BA29" s="69">
        <f ca="1">$AO29*IF(Auswahllisten!$G$150,BA$25+BA$25*BA$13*$AN29,BA$25*(1+BA$13)^$AN29)</f>
        <v>0</v>
      </c>
      <c r="BB29" s="69">
        <f ca="1">$AO29*IF(Auswahllisten!$G$150,BB$25+BB$25*BB$13*$AN29,BB$25*(1+BB$13)^$AN29)</f>
        <v>0</v>
      </c>
      <c r="BC29" s="69">
        <f ca="1">$AO29*IF(Auswahllisten!$G$150,BC$25+BC$25*BC$13*$AN29,BC$25*(1+BC$13)^$AN29)</f>
        <v>0</v>
      </c>
      <c r="BD29" s="69">
        <f t="shared" ca="1" si="37"/>
        <v>0</v>
      </c>
      <c r="BE29" s="69">
        <f t="shared" ca="1" si="38"/>
        <v>0</v>
      </c>
      <c r="BF29" s="69">
        <f t="shared" ca="1" si="39"/>
        <v>0</v>
      </c>
      <c r="BG29" s="69">
        <f t="shared" ca="1" si="40"/>
        <v>0</v>
      </c>
      <c r="BI29" s="69">
        <f t="shared" ca="1" si="26"/>
        <v>0</v>
      </c>
      <c r="BJ29" s="69">
        <f t="shared" ca="1" si="26"/>
        <v>0</v>
      </c>
      <c r="BK29" s="69">
        <f t="shared" si="26"/>
        <v>0</v>
      </c>
      <c r="BL29" s="69">
        <f t="shared" ca="1" si="26"/>
        <v>0</v>
      </c>
      <c r="BM29" s="69">
        <f t="shared" ca="1" si="26"/>
        <v>0</v>
      </c>
      <c r="BN29" s="69">
        <f t="shared" ca="1" si="26"/>
        <v>0</v>
      </c>
      <c r="BO29" s="69">
        <f t="shared" si="26"/>
        <v>0</v>
      </c>
      <c r="BP29" s="69">
        <f t="shared" ca="1" si="27"/>
        <v>0</v>
      </c>
      <c r="BQ29" s="69">
        <f t="shared" ca="1" si="41"/>
        <v>0</v>
      </c>
      <c r="BR29" s="69">
        <f t="shared" ca="1" si="28"/>
        <v>0</v>
      </c>
      <c r="BS29" s="69">
        <f ca="1">$AO29*IF(Auswahllisten!$G$150,BS$25+BS$25*BS$13*$AN29,BS$25*(1+BS$13)^$AN29)</f>
        <v>0</v>
      </c>
      <c r="BT29" s="69">
        <f ca="1">$AO29*IF(Auswahllisten!$G$150,BT$25+BT$25*BT$13*$AN29,BT$25*(1+BT$13)^$AN29)</f>
        <v>0</v>
      </c>
      <c r="BU29" s="69">
        <f ca="1">$AO29*IF(Auswahllisten!$G$150,BU$25+BU$25*BU$13*$AN29,BU$25*(1+BU$13)^$AN29)</f>
        <v>0</v>
      </c>
      <c r="BV29" s="69">
        <f ca="1">$AO29*IF(Auswahllisten!$G$150,BV$25+BV$25*BV$13*$AN29,BV$25*(1+BV$13)^$AN29)</f>
        <v>0</v>
      </c>
      <c r="BW29" s="69">
        <f t="shared" ca="1" si="42"/>
        <v>0</v>
      </c>
      <c r="BX29" s="69">
        <f t="shared" ca="1" si="43"/>
        <v>0</v>
      </c>
      <c r="BY29" s="69">
        <f t="shared" ca="1" si="29"/>
        <v>0</v>
      </c>
      <c r="BZ29" s="69">
        <f t="shared" ca="1" si="30"/>
        <v>0</v>
      </c>
    </row>
    <row r="30" spans="1:78">
      <c r="A30" s="306" t="s">
        <v>1256</v>
      </c>
      <c r="B30" s="297" t="s">
        <v>303</v>
      </c>
      <c r="C30" s="134" t="s">
        <v>186</v>
      </c>
      <c r="D30" s="163" t="str" cm="1">
        <f t="array" aca="1" ref="D30" ca="1">INDIRECT("Vergleich!"&amp;$G$2&amp;Z30)</f>
        <v>mittel</v>
      </c>
      <c r="E30" s="163" cm="1">
        <f t="array" aca="1" ref="E30" ca="1">INDIRECT("Investition_gewählt!"&amp;$I$5&amp;AA30)</f>
        <v>4000</v>
      </c>
      <c r="F30" s="61" cm="1">
        <f t="array" aca="1" ref="F30" ca="1">IF($C$5=0,0,INDEX(Faktoren!E16:GQ16,1,VLOOKUP($F$5,$L$2:$O$14,4,FALSE)+$C$9*5+VLOOKUP(D30,Auswahllisten!$E$25:$F$29,2,FALSE)))</f>
        <v>0</v>
      </c>
      <c r="G30" s="296">
        <f t="shared" ca="1" si="31"/>
        <v>0</v>
      </c>
      <c r="H30" s="296" cm="1">
        <f t="array" aca="1" ref="H30" ca="1">INDIRECT("Investition_gewählt!"&amp;$I$6&amp;AA30)</f>
        <v>4000</v>
      </c>
      <c r="I30" s="61" cm="1">
        <f t="array" aca="1" ref="I30" ca="1">IF($C$5=0,0,INDEX(Faktoren!E16:GQ16,1,VLOOKUP($F$6,$L$2:$O$14,4,FALSE)+$C$9*5+VLOOKUP(D30,Auswahllisten!$E$25:$F$29,2,FALSE)))</f>
        <v>0</v>
      </c>
      <c r="J30" s="163">
        <f t="shared" ca="1" si="32"/>
        <v>0</v>
      </c>
      <c r="K30" s="163">
        <f t="shared" ca="1" si="19"/>
        <v>0</v>
      </c>
      <c r="L30" s="93" t="b">
        <f ca="1">($C$5=$L$25)</f>
        <v>0</v>
      </c>
      <c r="M30" s="163">
        <f t="shared" ca="1" si="20"/>
        <v>0</v>
      </c>
      <c r="O30" s="93" t="str" cm="1">
        <f t="array" aca="1" ref="O30" ca="1">INDIRECT("Vergleich!"&amp;$Y$2&amp;Z30)</f>
        <v>gering</v>
      </c>
      <c r="P30" s="163" cm="1">
        <f t="array" aca="1" ref="P30" ca="1">INDIRECT("Investition_gewählt!"&amp;$AA$5&amp;AA30)</f>
        <v>4000</v>
      </c>
      <c r="Q30" s="93" cm="1">
        <f t="array" aca="1" ref="Q30" ca="1">IF($U$5=0,0,INDEX(Faktoren!E16:GQ16,1,VLOOKUP($X$5,$L$2:$O$14,4,FALSE)+$U$9*5+VLOOKUP(O30,Auswahllisten!$E$25:$F$29,2,FALSE)))</f>
        <v>0</v>
      </c>
      <c r="R30" s="163">
        <f t="shared" ca="1" si="21"/>
        <v>0</v>
      </c>
      <c r="S30" s="163" cm="1">
        <f t="array" aca="1" ref="S30" ca="1">INDIRECT("Investition_gewählt!"&amp;$AA$6&amp;AA30)</f>
        <v>4000</v>
      </c>
      <c r="T30" s="93" cm="1">
        <f t="array" aca="1" ref="T30" ca="1">IF($U$5=0,0,INDEX(Faktoren!E16:QG16,1,VLOOKUP($X$6,$L$3:$O$14,4,FALSE)+$U$9*5+VLOOKUP(O30,Auswahllisten!$E$25:$F$29,2,FALSE)))</f>
        <v>0</v>
      </c>
      <c r="U30" s="163">
        <f t="shared" ca="1" si="22"/>
        <v>0</v>
      </c>
      <c r="V30" s="163">
        <f t="shared" ca="1" si="14"/>
        <v>0</v>
      </c>
      <c r="W30" s="61" t="b">
        <f t="shared" ca="1" si="33"/>
        <v>0</v>
      </c>
      <c r="X30" s="163">
        <f t="shared" ca="1" si="23"/>
        <v>0</v>
      </c>
      <c r="Z30" s="1">
        <v>48</v>
      </c>
      <c r="AA30" s="1">
        <v>16</v>
      </c>
      <c r="AB30" s="1">
        <v>-2</v>
      </c>
      <c r="AC30" s="35"/>
      <c r="AD30" s="82" t="s">
        <v>1225</v>
      </c>
      <c r="AE30" s="64" t="s">
        <v>1250</v>
      </c>
      <c r="AF30" s="26">
        <f ca="1">SUMIF(Variante_D!$A$19:$A$157,AD30,Variante_D!$M$19:$M$157)</f>
        <v>0</v>
      </c>
      <c r="AG30" s="162"/>
      <c r="AH30" s="26">
        <f t="shared" ca="1" si="6"/>
        <v>0</v>
      </c>
      <c r="AI30" s="26">
        <f>SUMIF(Variante_D!$A$19:$A$157,AD30,Variante_D!$X$19:$X$157)</f>
        <v>0</v>
      </c>
      <c r="AJ30" s="26"/>
      <c r="AK30" s="26">
        <f t="shared" si="7"/>
        <v>0</v>
      </c>
      <c r="AL30" s="69"/>
      <c r="AN30" s="1">
        <v>5</v>
      </c>
      <c r="AO30" s="1">
        <f t="shared" si="24"/>
        <v>1</v>
      </c>
      <c r="AP30" s="69">
        <f t="shared" ca="1" si="25"/>
        <v>0</v>
      </c>
      <c r="AQ30" s="69">
        <f t="shared" ca="1" si="25"/>
        <v>0</v>
      </c>
      <c r="AR30" s="69">
        <f t="shared" si="25"/>
        <v>0</v>
      </c>
      <c r="AS30" s="69">
        <f t="shared" ca="1" si="25"/>
        <v>0</v>
      </c>
      <c r="AT30" s="69">
        <f t="shared" ca="1" si="25"/>
        <v>0</v>
      </c>
      <c r="AU30" s="69">
        <f t="shared" ca="1" si="25"/>
        <v>0</v>
      </c>
      <c r="AV30" s="69">
        <f t="shared" si="25"/>
        <v>0</v>
      </c>
      <c r="AW30" s="69">
        <f t="shared" ca="1" si="34"/>
        <v>0</v>
      </c>
      <c r="AX30" s="69">
        <f t="shared" ca="1" si="35"/>
        <v>0</v>
      </c>
      <c r="AY30" s="69">
        <f t="shared" ca="1" si="36"/>
        <v>0</v>
      </c>
      <c r="AZ30" s="69">
        <f ca="1">$AO30*IF(Auswahllisten!$G$150,AZ$25+AZ$25*AZ$13*$AN30,AZ$25*(1+AZ$13)^$AN30)</f>
        <v>0</v>
      </c>
      <c r="BA30" s="69">
        <f ca="1">$AO30*IF(Auswahllisten!$G$150,BA$25+BA$25*BA$13*$AN30,BA$25*(1+BA$13)^$AN30)</f>
        <v>0</v>
      </c>
      <c r="BB30" s="69">
        <f ca="1">$AO30*IF(Auswahllisten!$G$150,BB$25+BB$25*BB$13*$AN30,BB$25*(1+BB$13)^$AN30)</f>
        <v>0</v>
      </c>
      <c r="BC30" s="69">
        <f ca="1">$AO30*IF(Auswahllisten!$G$150,BC$25+BC$25*BC$13*$AN30,BC$25*(1+BC$13)^$AN30)</f>
        <v>0</v>
      </c>
      <c r="BD30" s="69">
        <f t="shared" ca="1" si="37"/>
        <v>0</v>
      </c>
      <c r="BE30" s="69">
        <f t="shared" ca="1" si="38"/>
        <v>0</v>
      </c>
      <c r="BF30" s="69">
        <f t="shared" ca="1" si="39"/>
        <v>0</v>
      </c>
      <c r="BG30" s="69">
        <f t="shared" ca="1" si="40"/>
        <v>0</v>
      </c>
      <c r="BI30" s="69">
        <f t="shared" ca="1" si="26"/>
        <v>0</v>
      </c>
      <c r="BJ30" s="69">
        <f t="shared" ca="1" si="26"/>
        <v>0</v>
      </c>
      <c r="BK30" s="69">
        <f t="shared" si="26"/>
        <v>0</v>
      </c>
      <c r="BL30" s="69">
        <f t="shared" ca="1" si="26"/>
        <v>0</v>
      </c>
      <c r="BM30" s="69">
        <f t="shared" ca="1" si="26"/>
        <v>0</v>
      </c>
      <c r="BN30" s="69">
        <f t="shared" ca="1" si="26"/>
        <v>0</v>
      </c>
      <c r="BO30" s="69">
        <f t="shared" si="26"/>
        <v>0</v>
      </c>
      <c r="BP30" s="69">
        <f t="shared" ca="1" si="27"/>
        <v>0</v>
      </c>
      <c r="BQ30" s="69">
        <f t="shared" ca="1" si="41"/>
        <v>0</v>
      </c>
      <c r="BR30" s="69">
        <f t="shared" ca="1" si="28"/>
        <v>0</v>
      </c>
      <c r="BS30" s="69">
        <f ca="1">$AO30*IF(Auswahllisten!$G$150,BS$25+BS$25*BS$13*$AN30,BS$25*(1+BS$13)^$AN30)</f>
        <v>0</v>
      </c>
      <c r="BT30" s="69">
        <f ca="1">$AO30*IF(Auswahllisten!$G$150,BT$25+BT$25*BT$13*$AN30,BT$25*(1+BT$13)^$AN30)</f>
        <v>0</v>
      </c>
      <c r="BU30" s="69">
        <f ca="1">$AO30*IF(Auswahllisten!$G$150,BU$25+BU$25*BU$13*$AN30,BU$25*(1+BU$13)^$AN30)</f>
        <v>0</v>
      </c>
      <c r="BV30" s="69">
        <f ca="1">$AO30*IF(Auswahllisten!$G$150,BV$25+BV$25*BV$13*$AN30,BV$25*(1+BV$13)^$AN30)</f>
        <v>0</v>
      </c>
      <c r="BW30" s="69">
        <f t="shared" ca="1" si="42"/>
        <v>0</v>
      </c>
      <c r="BX30" s="69">
        <f t="shared" ca="1" si="43"/>
        <v>0</v>
      </c>
      <c r="BY30" s="69">
        <f t="shared" ca="1" si="29"/>
        <v>0</v>
      </c>
      <c r="BZ30" s="69">
        <f t="shared" ca="1" si="30"/>
        <v>0</v>
      </c>
    </row>
    <row r="31" spans="1:78">
      <c r="A31" s="125"/>
      <c r="B31" s="64"/>
      <c r="C31" s="64"/>
      <c r="D31" s="157"/>
      <c r="E31" s="157"/>
      <c r="G31" s="69"/>
      <c r="H31" s="157"/>
      <c r="J31" s="8"/>
      <c r="K31" s="8"/>
      <c r="L31" s="8"/>
      <c r="M31" s="157"/>
      <c r="N31" s="8"/>
      <c r="P31" s="69"/>
      <c r="R31" s="69"/>
      <c r="S31" s="69"/>
      <c r="U31" s="69"/>
      <c r="V31" s="69"/>
      <c r="X31" s="69"/>
      <c r="AA31" s="1">
        <v>17</v>
      </c>
      <c r="AB31" s="1">
        <v>-2</v>
      </c>
      <c r="AC31" s="35"/>
      <c r="AD31" s="82" t="s">
        <v>1229</v>
      </c>
      <c r="AE31" s="64" t="s">
        <v>1246</v>
      </c>
      <c r="AF31" s="26">
        <f ca="1">SUMIF(Variante_D!$A$19:$A$157,AD31,Variante_D!$M$19:$M$157)</f>
        <v>0</v>
      </c>
      <c r="AG31" s="162"/>
      <c r="AH31" s="26">
        <f t="shared" ca="1" si="6"/>
        <v>0</v>
      </c>
      <c r="AI31" s="26">
        <f ca="1">SUMIF(Variante_D!$A$19:$A$157,AD31,Variante_D!$X$19:$X$157)</f>
        <v>0</v>
      </c>
      <c r="AJ31" s="26"/>
      <c r="AK31" s="26">
        <f t="shared" ca="1" si="7"/>
        <v>0</v>
      </c>
      <c r="AL31" s="69"/>
      <c r="AN31" s="1">
        <v>6</v>
      </c>
      <c r="AO31" s="1">
        <f t="shared" si="24"/>
        <v>1</v>
      </c>
      <c r="AP31" s="69">
        <f t="shared" ca="1" si="25"/>
        <v>0</v>
      </c>
      <c r="AQ31" s="69">
        <f t="shared" ca="1" si="25"/>
        <v>0</v>
      </c>
      <c r="AR31" s="69">
        <f t="shared" si="25"/>
        <v>0</v>
      </c>
      <c r="AS31" s="69">
        <f t="shared" ca="1" si="25"/>
        <v>0</v>
      </c>
      <c r="AT31" s="69">
        <f t="shared" ca="1" si="25"/>
        <v>0</v>
      </c>
      <c r="AU31" s="69">
        <f t="shared" ca="1" si="25"/>
        <v>0</v>
      </c>
      <c r="AV31" s="69">
        <f t="shared" si="25"/>
        <v>0</v>
      </c>
      <c r="AW31" s="69">
        <f t="shared" ca="1" si="34"/>
        <v>0</v>
      </c>
      <c r="AX31" s="69">
        <f t="shared" ca="1" si="35"/>
        <v>0</v>
      </c>
      <c r="AY31" s="69">
        <f t="shared" ca="1" si="36"/>
        <v>0</v>
      </c>
      <c r="AZ31" s="69">
        <f ca="1">$AO31*IF(Auswahllisten!$G$150,AZ$25+AZ$25*AZ$13*$AN31,AZ$25*(1+AZ$13)^$AN31)</f>
        <v>0</v>
      </c>
      <c r="BA31" s="69">
        <f ca="1">$AO31*IF(Auswahllisten!$G$150,BA$25+BA$25*BA$13*$AN31,BA$25*(1+BA$13)^$AN31)</f>
        <v>0</v>
      </c>
      <c r="BB31" s="69">
        <f ca="1">$AO31*IF(Auswahllisten!$G$150,BB$25+BB$25*BB$13*$AN31,BB$25*(1+BB$13)^$AN31)</f>
        <v>0</v>
      </c>
      <c r="BC31" s="69">
        <f ca="1">$AO31*IF(Auswahllisten!$G$150,BC$25+BC$25*BC$13*$AN31,BC$25*(1+BC$13)^$AN31)</f>
        <v>0</v>
      </c>
      <c r="BD31" s="69">
        <f t="shared" ca="1" si="37"/>
        <v>0</v>
      </c>
      <c r="BE31" s="69">
        <f t="shared" ca="1" si="38"/>
        <v>0</v>
      </c>
      <c r="BF31" s="69">
        <f t="shared" ca="1" si="39"/>
        <v>0</v>
      </c>
      <c r="BG31" s="69">
        <f t="shared" ca="1" si="40"/>
        <v>0</v>
      </c>
      <c r="BI31" s="69">
        <f t="shared" ca="1" si="26"/>
        <v>0</v>
      </c>
      <c r="BJ31" s="69">
        <f t="shared" ca="1" si="26"/>
        <v>0</v>
      </c>
      <c r="BK31" s="69">
        <f t="shared" si="26"/>
        <v>0</v>
      </c>
      <c r="BL31" s="69">
        <f t="shared" ca="1" si="26"/>
        <v>0</v>
      </c>
      <c r="BM31" s="69">
        <f t="shared" ca="1" si="26"/>
        <v>0</v>
      </c>
      <c r="BN31" s="69">
        <f t="shared" ca="1" si="26"/>
        <v>0</v>
      </c>
      <c r="BO31" s="69">
        <f t="shared" si="26"/>
        <v>0</v>
      </c>
      <c r="BP31" s="69">
        <f t="shared" ca="1" si="27"/>
        <v>0</v>
      </c>
      <c r="BQ31" s="69">
        <f t="shared" ca="1" si="41"/>
        <v>0</v>
      </c>
      <c r="BR31" s="69">
        <f t="shared" ca="1" si="28"/>
        <v>0</v>
      </c>
      <c r="BS31" s="69">
        <f ca="1">$AO31*IF(Auswahllisten!$G$150,BS$25+BS$25*BS$13*$AN31,BS$25*(1+BS$13)^$AN31)</f>
        <v>0</v>
      </c>
      <c r="BT31" s="69">
        <f ca="1">$AO31*IF(Auswahllisten!$G$150,BT$25+BT$25*BT$13*$AN31,BT$25*(1+BT$13)^$AN31)</f>
        <v>0</v>
      </c>
      <c r="BU31" s="69">
        <f ca="1">$AO31*IF(Auswahllisten!$G$150,BU$25+BU$25*BU$13*$AN31,BU$25*(1+BU$13)^$AN31)</f>
        <v>0</v>
      </c>
      <c r="BV31" s="69">
        <f ca="1">$AO31*IF(Auswahllisten!$G$150,BV$25+BV$25*BV$13*$AN31,BV$25*(1+BV$13)^$AN31)</f>
        <v>0</v>
      </c>
      <c r="BW31" s="69">
        <f t="shared" ca="1" si="42"/>
        <v>0</v>
      </c>
      <c r="BX31" s="69">
        <f t="shared" ca="1" si="43"/>
        <v>0</v>
      </c>
      <c r="BY31" s="69">
        <f t="shared" ca="1" si="29"/>
        <v>0</v>
      </c>
      <c r="BZ31" s="69">
        <f t="shared" ca="1" si="30"/>
        <v>0</v>
      </c>
    </row>
    <row r="32" spans="1:78">
      <c r="A32" s="125" t="s">
        <v>991</v>
      </c>
      <c r="B32" s="125" t="s">
        <v>1</v>
      </c>
      <c r="C32" s="125"/>
      <c r="D32" s="157"/>
      <c r="E32" s="157"/>
      <c r="G32" s="69"/>
      <c r="H32" s="157"/>
      <c r="J32" s="8"/>
      <c r="L32" s="155">
        <v>3</v>
      </c>
      <c r="M32" s="157"/>
      <c r="P32" s="69"/>
      <c r="R32" s="69"/>
      <c r="S32" s="69"/>
      <c r="U32" s="69"/>
      <c r="V32" s="69"/>
      <c r="X32" s="69"/>
      <c r="AA32" s="1">
        <v>18</v>
      </c>
      <c r="AB32" s="1">
        <v>-2</v>
      </c>
      <c r="AC32" s="35"/>
      <c r="AD32" s="35" t="s">
        <v>1221</v>
      </c>
      <c r="AE32" s="1" t="s">
        <v>1252</v>
      </c>
      <c r="AF32" s="26">
        <f ca="1">SUMIF(Variante_D!$A$19:$A$157,AD32,Variante_D!$M$19:$M$157)</f>
        <v>0</v>
      </c>
      <c r="AG32" s="162"/>
      <c r="AH32" s="26">
        <f t="shared" ca="1" si="6"/>
        <v>0</v>
      </c>
      <c r="AI32" s="26">
        <f>SUMIF(Variante_D!$A$19:$A$157,AD32,Variante_D!$X$19:$X$157)</f>
        <v>0</v>
      </c>
      <c r="AJ32" s="26"/>
      <c r="AK32" s="26">
        <f t="shared" si="7"/>
        <v>0</v>
      </c>
      <c r="AL32" s="69"/>
      <c r="AN32" s="1">
        <v>7</v>
      </c>
      <c r="AO32" s="1">
        <f t="shared" si="24"/>
        <v>1</v>
      </c>
      <c r="AP32" s="69">
        <f t="shared" ca="1" si="25"/>
        <v>0</v>
      </c>
      <c r="AQ32" s="69">
        <f t="shared" ca="1" si="25"/>
        <v>0</v>
      </c>
      <c r="AR32" s="69">
        <f t="shared" si="25"/>
        <v>0</v>
      </c>
      <c r="AS32" s="69">
        <f t="shared" ca="1" si="25"/>
        <v>0</v>
      </c>
      <c r="AT32" s="69">
        <f t="shared" ca="1" si="25"/>
        <v>0</v>
      </c>
      <c r="AU32" s="69">
        <f t="shared" ca="1" si="25"/>
        <v>0</v>
      </c>
      <c r="AV32" s="69">
        <f t="shared" si="25"/>
        <v>0</v>
      </c>
      <c r="AW32" s="69">
        <f t="shared" ca="1" si="34"/>
        <v>0</v>
      </c>
      <c r="AX32" s="69">
        <f t="shared" ca="1" si="35"/>
        <v>0</v>
      </c>
      <c r="AY32" s="69">
        <f t="shared" ca="1" si="36"/>
        <v>0</v>
      </c>
      <c r="AZ32" s="69">
        <f ca="1">$AO32*IF(Auswahllisten!$G$150,AZ$25+AZ$25*AZ$13*$AN32,AZ$25*(1+AZ$13)^$AN32)</f>
        <v>0</v>
      </c>
      <c r="BA32" s="69">
        <f ca="1">$AO32*IF(Auswahllisten!$G$150,BA$25+BA$25*BA$13*$AN32,BA$25*(1+BA$13)^$AN32)</f>
        <v>0</v>
      </c>
      <c r="BB32" s="69">
        <f ca="1">$AO32*IF(Auswahllisten!$G$150,BB$25+BB$25*BB$13*$AN32,BB$25*(1+BB$13)^$AN32)</f>
        <v>0</v>
      </c>
      <c r="BC32" s="69">
        <f ca="1">$AO32*IF(Auswahllisten!$G$150,BC$25+BC$25*BC$13*$AN32,BC$25*(1+BC$13)^$AN32)</f>
        <v>0</v>
      </c>
      <c r="BD32" s="69">
        <f t="shared" ca="1" si="37"/>
        <v>0</v>
      </c>
      <c r="BE32" s="69">
        <f t="shared" ca="1" si="38"/>
        <v>0</v>
      </c>
      <c r="BF32" s="69">
        <f t="shared" ca="1" si="39"/>
        <v>0</v>
      </c>
      <c r="BG32" s="69">
        <f t="shared" ca="1" si="40"/>
        <v>0</v>
      </c>
      <c r="BI32" s="69">
        <f t="shared" ca="1" si="26"/>
        <v>0</v>
      </c>
      <c r="BJ32" s="69">
        <f t="shared" ca="1" si="26"/>
        <v>0</v>
      </c>
      <c r="BK32" s="69">
        <f t="shared" si="26"/>
        <v>0</v>
      </c>
      <c r="BL32" s="69">
        <f t="shared" ca="1" si="26"/>
        <v>0</v>
      </c>
      <c r="BM32" s="69">
        <f t="shared" ca="1" si="26"/>
        <v>0</v>
      </c>
      <c r="BN32" s="69">
        <f t="shared" ca="1" si="26"/>
        <v>0</v>
      </c>
      <c r="BO32" s="69">
        <f t="shared" si="26"/>
        <v>0</v>
      </c>
      <c r="BP32" s="69">
        <f t="shared" ca="1" si="27"/>
        <v>0</v>
      </c>
      <c r="BQ32" s="69">
        <f t="shared" ca="1" si="41"/>
        <v>0</v>
      </c>
      <c r="BR32" s="69">
        <f t="shared" ca="1" si="28"/>
        <v>0</v>
      </c>
      <c r="BS32" s="69">
        <f ca="1">$AO32*IF(Auswahllisten!$G$150,BS$25+BS$25*BS$13*$AN32,BS$25*(1+BS$13)^$AN32)</f>
        <v>0</v>
      </c>
      <c r="BT32" s="69">
        <f ca="1">$AO32*IF(Auswahllisten!$G$150,BT$25+BT$25*BT$13*$AN32,BT$25*(1+BT$13)^$AN32)</f>
        <v>0</v>
      </c>
      <c r="BU32" s="69">
        <f ca="1">$AO32*IF(Auswahllisten!$G$150,BU$25+BU$25*BU$13*$AN32,BU$25*(1+BU$13)^$AN32)</f>
        <v>0</v>
      </c>
      <c r="BV32" s="69">
        <f ca="1">$AO32*IF(Auswahllisten!$G$150,BV$25+BV$25*BV$13*$AN32,BV$25*(1+BV$13)^$AN32)</f>
        <v>0</v>
      </c>
      <c r="BW32" s="69">
        <f t="shared" ca="1" si="42"/>
        <v>0</v>
      </c>
      <c r="BX32" s="69">
        <f t="shared" ca="1" si="43"/>
        <v>0</v>
      </c>
      <c r="BY32" s="69">
        <f t="shared" ca="1" si="29"/>
        <v>0</v>
      </c>
      <c r="BZ32" s="69">
        <f t="shared" ca="1" si="30"/>
        <v>0</v>
      </c>
    </row>
    <row r="33" spans="1:78">
      <c r="A33" s="304" t="s">
        <v>1217</v>
      </c>
      <c r="B33" s="131" t="s">
        <v>1242</v>
      </c>
      <c r="C33" s="131" t="s">
        <v>243</v>
      </c>
      <c r="D33" s="162" t="str" cm="1">
        <f t="array" aca="1" ref="D33" ca="1">INDIRECT("Vergleich!"&amp;$G$2&amp;Z33)</f>
        <v>mittel</v>
      </c>
      <c r="E33" s="162" cm="1">
        <f t="array" aca="1" ref="E33" ca="1">INDIRECT("Investition_gewählt!"&amp;$I$5&amp;AA33)</f>
        <v>3000</v>
      </c>
      <c r="F33" s="25" cm="1">
        <f t="array" aca="1" ref="F33" ca="1">IF($C$5=0,0,INDEX(Faktoren!E19:GQ19,1,VLOOKUP($F$5,$L$2:$O$14,4,FALSE)+$C$9*5+VLOOKUP(D33,Auswahllisten!$E$25:$F$29,2,FALSE)))</f>
        <v>0</v>
      </c>
      <c r="G33" s="162">
        <f ca="1">E33*F33</f>
        <v>0</v>
      </c>
      <c r="H33" s="162" cm="1">
        <f t="array" aca="1" ref="H33" ca="1">INDIRECT("Investition_gewählt!"&amp;$I$6&amp;AA33)</f>
        <v>3000</v>
      </c>
      <c r="I33" s="25" cm="1">
        <f t="array" aca="1" ref="I33" ca="1">IF($C$5=0,0,INDEX(Faktoren!E19:GQ19,1,VLOOKUP($F$6,$L$2:$O$14,4,FALSE)+$C$9*5+VLOOKUP(D33,Auswahllisten!$E$25:$F$29,2,FALSE)))</f>
        <v>0</v>
      </c>
      <c r="J33" s="25">
        <f ca="1">H33*I33</f>
        <v>0</v>
      </c>
      <c r="K33" s="25">
        <f t="shared" ref="K33:K39" ca="1" si="44">IF($C$5=0,0,G33+(J33-G33)*($C$6-$F$5)/($F$6-$F$5))</f>
        <v>0</v>
      </c>
      <c r="L33" s="25" t="b">
        <f t="shared" ref="L33:L39" ca="1" si="45">($C$5=$L$32)</f>
        <v>0</v>
      </c>
      <c r="M33" s="162">
        <f t="shared" ref="M33:M39" ca="1" si="46">IFERROR(ROUND(K33*L33,AB33),0)</f>
        <v>0</v>
      </c>
      <c r="O33" s="25" t="str" cm="1">
        <f t="array" aca="1" ref="O33" ca="1">INDIRECT("Vergleich!"&amp;$Y$2&amp;Z33)</f>
        <v>gering</v>
      </c>
      <c r="P33" s="162" cm="1">
        <f t="array" aca="1" ref="P33" ca="1">INDIRECT("Investition_gewählt!"&amp;$AA$5&amp;AA33)</f>
        <v>3000</v>
      </c>
      <c r="Q33" s="25" cm="1">
        <f t="array" aca="1" ref="Q33" ca="1">IF($U$5=0,0,INDEX(Faktoren!E19:GQ19,1,VLOOKUP($X$5,$L$2:$O$14,4,FALSE)+$U$9*5+VLOOKUP(O33,Auswahllisten!$E$25:$F$29,2,FALSE)))</f>
        <v>0</v>
      </c>
      <c r="R33" s="162">
        <f t="shared" ref="R33:R39" ca="1" si="47">P33*Q33</f>
        <v>0</v>
      </c>
      <c r="S33" s="162" cm="1">
        <f t="array" aca="1" ref="S33" ca="1">INDIRECT("Investition_gewählt!"&amp;$AA$6&amp;AA33)</f>
        <v>3000</v>
      </c>
      <c r="T33" s="25" cm="1">
        <f t="array" aca="1" ref="T33" ca="1">IF($U$5=0,0,INDEX(Faktoren!E19:QG19,1,VLOOKUP($X$6,$L$3:$O$14,4,FALSE)+$U$9*5+VLOOKUP(O33,Auswahllisten!$E$25:$F$29,2,FALSE)))</f>
        <v>0</v>
      </c>
      <c r="U33" s="162">
        <f t="shared" ref="U33:U39" ca="1" si="48">S33*T33</f>
        <v>0</v>
      </c>
      <c r="V33" s="162">
        <f t="shared" ca="1" si="14"/>
        <v>0</v>
      </c>
      <c r="W33" s="25" t="b">
        <f ca="1">($U$5=$L$32)</f>
        <v>0</v>
      </c>
      <c r="X33" s="162">
        <f t="shared" ref="X33:X39" ca="1" si="49">IFERROR(ROUND(V33*W33,AB33),0)</f>
        <v>0</v>
      </c>
      <c r="Z33" s="1">
        <v>34</v>
      </c>
      <c r="AA33" s="1">
        <v>19</v>
      </c>
      <c r="AB33" s="1">
        <v>-2</v>
      </c>
      <c r="AD33" s="82"/>
      <c r="AE33" s="311" t="s">
        <v>189</v>
      </c>
      <c r="AF33" s="316">
        <f ca="1">SUM(AF18:AF32)</f>
        <v>0</v>
      </c>
      <c r="AG33" s="316">
        <f ca="1">SUM(AG18:AG32)</f>
        <v>0</v>
      </c>
      <c r="AH33" s="316">
        <f t="shared" ref="AH33:AK33" ca="1" si="50">SUM(AH18:AH32)</f>
        <v>0</v>
      </c>
      <c r="AI33" s="316">
        <f t="shared" ca="1" si="50"/>
        <v>0</v>
      </c>
      <c r="AJ33" s="316">
        <f t="shared" ca="1" si="50"/>
        <v>0</v>
      </c>
      <c r="AK33" s="316">
        <f t="shared" ca="1" si="50"/>
        <v>0</v>
      </c>
      <c r="AL33" s="69"/>
      <c r="AN33" s="1">
        <v>8</v>
      </c>
      <c r="AO33" s="1">
        <f t="shared" si="24"/>
        <v>1</v>
      </c>
      <c r="AP33" s="69">
        <f t="shared" ca="1" si="25"/>
        <v>0</v>
      </c>
      <c r="AQ33" s="69">
        <f t="shared" ca="1" si="25"/>
        <v>0</v>
      </c>
      <c r="AR33" s="69">
        <f t="shared" si="25"/>
        <v>0</v>
      </c>
      <c r="AS33" s="69">
        <f t="shared" ca="1" si="25"/>
        <v>0</v>
      </c>
      <c r="AT33" s="69">
        <f t="shared" ca="1" si="25"/>
        <v>0</v>
      </c>
      <c r="AU33" s="69">
        <f t="shared" ca="1" si="25"/>
        <v>0</v>
      </c>
      <c r="AV33" s="69">
        <f t="shared" si="25"/>
        <v>0</v>
      </c>
      <c r="AW33" s="69">
        <f t="shared" ca="1" si="34"/>
        <v>0</v>
      </c>
      <c r="AX33" s="69">
        <f t="shared" ca="1" si="35"/>
        <v>0</v>
      </c>
      <c r="AY33" s="69">
        <f t="shared" ca="1" si="36"/>
        <v>0</v>
      </c>
      <c r="AZ33" s="69">
        <f ca="1">$AO33*IF(Auswahllisten!$G$150,AZ$25+AZ$25*AZ$13*$AN33,AZ$25*(1+AZ$13)^$AN33)</f>
        <v>0</v>
      </c>
      <c r="BA33" s="69">
        <f ca="1">$AO33*IF(Auswahllisten!$G$150,BA$25+BA$25*BA$13*$AN33,BA$25*(1+BA$13)^$AN33)</f>
        <v>0</v>
      </c>
      <c r="BB33" s="69">
        <f ca="1">$AO33*IF(Auswahllisten!$G$150,BB$25+BB$25*BB$13*$AN33,BB$25*(1+BB$13)^$AN33)</f>
        <v>0</v>
      </c>
      <c r="BC33" s="69">
        <f ca="1">$AO33*IF(Auswahllisten!$G$150,BC$25+BC$25*BC$13*$AN33,BC$25*(1+BC$13)^$AN33)</f>
        <v>0</v>
      </c>
      <c r="BD33" s="69">
        <f t="shared" ca="1" si="37"/>
        <v>0</v>
      </c>
      <c r="BE33" s="69">
        <f t="shared" ca="1" si="38"/>
        <v>0</v>
      </c>
      <c r="BF33" s="69">
        <f t="shared" ca="1" si="39"/>
        <v>0</v>
      </c>
      <c r="BG33" s="69">
        <f t="shared" ca="1" si="40"/>
        <v>0</v>
      </c>
      <c r="BI33" s="69">
        <f t="shared" ca="1" si="26"/>
        <v>0</v>
      </c>
      <c r="BJ33" s="69">
        <f t="shared" ca="1" si="26"/>
        <v>0</v>
      </c>
      <c r="BK33" s="69">
        <f t="shared" si="26"/>
        <v>0</v>
      </c>
      <c r="BL33" s="69">
        <f t="shared" ca="1" si="26"/>
        <v>0</v>
      </c>
      <c r="BM33" s="69">
        <f t="shared" ca="1" si="26"/>
        <v>0</v>
      </c>
      <c r="BN33" s="69">
        <f t="shared" ca="1" si="26"/>
        <v>0</v>
      </c>
      <c r="BO33" s="69">
        <f t="shared" si="26"/>
        <v>0</v>
      </c>
      <c r="BP33" s="69">
        <f t="shared" ca="1" si="27"/>
        <v>0</v>
      </c>
      <c r="BQ33" s="69">
        <f t="shared" ca="1" si="41"/>
        <v>0</v>
      </c>
      <c r="BR33" s="69">
        <f t="shared" ca="1" si="28"/>
        <v>0</v>
      </c>
      <c r="BS33" s="69">
        <f ca="1">$AO33*IF(Auswahllisten!$G$150,BS$25+BS$25*BS$13*$AN33,BS$25*(1+BS$13)^$AN33)</f>
        <v>0</v>
      </c>
      <c r="BT33" s="69">
        <f ca="1">$AO33*IF(Auswahllisten!$G$150,BT$25+BT$25*BT$13*$AN33,BT$25*(1+BT$13)^$AN33)</f>
        <v>0</v>
      </c>
      <c r="BU33" s="69">
        <f ca="1">$AO33*IF(Auswahllisten!$G$150,BU$25+BU$25*BU$13*$AN33,BU$25*(1+BU$13)^$AN33)</f>
        <v>0</v>
      </c>
      <c r="BV33" s="69">
        <f ca="1">$AO33*IF(Auswahllisten!$G$150,BV$25+BV$25*BV$13*$AN33,BV$25*(1+BV$13)^$AN33)</f>
        <v>0</v>
      </c>
      <c r="BW33" s="69">
        <f t="shared" ca="1" si="42"/>
        <v>0</v>
      </c>
      <c r="BX33" s="69">
        <f t="shared" ca="1" si="43"/>
        <v>0</v>
      </c>
      <c r="BY33" s="69">
        <f t="shared" ca="1" si="29"/>
        <v>0</v>
      </c>
      <c r="BZ33" s="69">
        <f t="shared" ca="1" si="30"/>
        <v>0</v>
      </c>
    </row>
    <row r="34" spans="1:78">
      <c r="A34" s="305" t="s">
        <v>1217</v>
      </c>
      <c r="B34" s="131" t="s">
        <v>1242</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IF($C$5=0,0,INDEX(Faktoren!E20:GQ20,1,VLOOKUP($F$5,$L$2:$O$14,4,FALSE)+$C$9*5+VLOOKUP(D34,Auswahllisten!$E$25:$F$29,2,FALSE)))</f>
        <v>0</v>
      </c>
      <c r="G34" s="26">
        <f t="shared" ref="G34:G39" ca="1" si="51">E34*F34</f>
        <v>0</v>
      </c>
      <c r="H34" s="26" cm="1">
        <f t="array" aca="1" ref="H34" ca="1">INDIRECT("Investition_gewählt!"&amp;$I$6&amp;AA34)</f>
        <v>2000</v>
      </c>
      <c r="I34" s="25" cm="1">
        <f t="array" aca="1" ref="I34" ca="1">IF($C$5=0,0,INDEX(Faktoren!E20:GQ20,1,VLOOKUP($F$6,$L$2:$O$14,4,FALSE)+$C$9*5+VLOOKUP(D34,Auswahllisten!$E$25:$F$29,2,FALSE)))</f>
        <v>0</v>
      </c>
      <c r="J34" s="16">
        <f t="shared" ref="J34:J39" ca="1" si="52">H34*I34</f>
        <v>0</v>
      </c>
      <c r="K34" s="16">
        <f t="shared" ca="1" si="44"/>
        <v>0</v>
      </c>
      <c r="L34" s="16" t="b">
        <f t="shared" ca="1" si="45"/>
        <v>0</v>
      </c>
      <c r="M34" s="26">
        <f t="shared" ca="1" si="46"/>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IF($U$5=0,0,INDEX(Faktoren!E20:GQ20,1,VLOOKUP($X$5,$L$2:$O$14,4,FALSE)+$U$9*5+VLOOKUP(O34,Auswahllisten!$E$25:$F$29,2,FALSE)))</f>
        <v>0</v>
      </c>
      <c r="R34" s="26">
        <f t="shared" ca="1" si="47"/>
        <v>0</v>
      </c>
      <c r="S34" s="26" cm="1">
        <f t="array" aca="1" ref="S34" ca="1">INDIRECT("Investition_gewählt!"&amp;$AA$6&amp;AA34)</f>
        <v>2000</v>
      </c>
      <c r="T34" s="16" cm="1">
        <f t="array" aca="1" ref="T34" ca="1">IF($U$5=0,0,INDEX(Faktoren!E20:QG20,1,VLOOKUP($X$6,$L$3:$O$14,4,FALSE)+$U$9*5+VLOOKUP(O34,Auswahllisten!$E$25:$F$29,2,FALSE)))</f>
        <v>0</v>
      </c>
      <c r="U34" s="26">
        <f t="shared" ca="1" si="48"/>
        <v>0</v>
      </c>
      <c r="V34" s="26">
        <f t="shared" ca="1" si="14"/>
        <v>0</v>
      </c>
      <c r="W34" s="25" t="b">
        <f t="shared" ref="W34:W39" ca="1" si="53">($U$5=$L$32)</f>
        <v>0</v>
      </c>
      <c r="X34" s="26">
        <f t="shared" ca="1" si="49"/>
        <v>0</v>
      </c>
      <c r="Z34" s="1">
        <v>35</v>
      </c>
      <c r="AA34" s="1">
        <v>20</v>
      </c>
      <c r="AB34" s="1">
        <v>-2</v>
      </c>
      <c r="AN34" s="1">
        <v>9</v>
      </c>
      <c r="AO34" s="1">
        <f t="shared" si="24"/>
        <v>1</v>
      </c>
      <c r="AP34" s="69">
        <f t="shared" ca="1" si="25"/>
        <v>0</v>
      </c>
      <c r="AQ34" s="69">
        <f t="shared" ca="1" si="25"/>
        <v>0</v>
      </c>
      <c r="AR34" s="69">
        <f t="shared" si="25"/>
        <v>0</v>
      </c>
      <c r="AS34" s="69">
        <f t="shared" ca="1" si="25"/>
        <v>0</v>
      </c>
      <c r="AT34" s="69">
        <f t="shared" ca="1" si="25"/>
        <v>0</v>
      </c>
      <c r="AU34" s="69">
        <f t="shared" ca="1" si="25"/>
        <v>0</v>
      </c>
      <c r="AV34" s="69">
        <f t="shared" si="25"/>
        <v>0</v>
      </c>
      <c r="AW34" s="69">
        <f t="shared" ca="1" si="34"/>
        <v>0</v>
      </c>
      <c r="AX34" s="69">
        <f t="shared" ca="1" si="35"/>
        <v>0</v>
      </c>
      <c r="AY34" s="69">
        <f t="shared" ca="1" si="36"/>
        <v>0</v>
      </c>
      <c r="AZ34" s="69">
        <f ca="1">$AO34*IF(Auswahllisten!$G$150,AZ$25+AZ$25*AZ$13*$AN34,AZ$25*(1+AZ$13)^$AN34)</f>
        <v>0</v>
      </c>
      <c r="BA34" s="69">
        <f ca="1">$AO34*IF(Auswahllisten!$G$150,BA$25+BA$25*BA$13*$AN34,BA$25*(1+BA$13)^$AN34)</f>
        <v>0</v>
      </c>
      <c r="BB34" s="69">
        <f ca="1">$AO34*IF(Auswahllisten!$G$150,BB$25+BB$25*BB$13*$AN34,BB$25*(1+BB$13)^$AN34)</f>
        <v>0</v>
      </c>
      <c r="BC34" s="69">
        <f ca="1">$AO34*IF(Auswahllisten!$G$150,BC$25+BC$25*BC$13*$AN34,BC$25*(1+BC$13)^$AN34)</f>
        <v>0</v>
      </c>
      <c r="BD34" s="69">
        <f t="shared" ca="1" si="37"/>
        <v>0</v>
      </c>
      <c r="BE34" s="69">
        <f t="shared" ca="1" si="38"/>
        <v>0</v>
      </c>
      <c r="BF34" s="69">
        <f t="shared" ca="1" si="39"/>
        <v>0</v>
      </c>
      <c r="BG34" s="69">
        <f t="shared" ca="1" si="40"/>
        <v>0</v>
      </c>
      <c r="BI34" s="69">
        <f t="shared" ca="1" si="26"/>
        <v>0</v>
      </c>
      <c r="BJ34" s="69">
        <f t="shared" ca="1" si="26"/>
        <v>0</v>
      </c>
      <c r="BK34" s="69">
        <f t="shared" si="26"/>
        <v>0</v>
      </c>
      <c r="BL34" s="69">
        <f t="shared" ca="1" si="26"/>
        <v>0</v>
      </c>
      <c r="BM34" s="69">
        <f t="shared" ca="1" si="26"/>
        <v>0</v>
      </c>
      <c r="BN34" s="69">
        <f t="shared" ca="1" si="26"/>
        <v>0</v>
      </c>
      <c r="BO34" s="69">
        <f t="shared" si="26"/>
        <v>0</v>
      </c>
      <c r="BP34" s="69">
        <f t="shared" ca="1" si="27"/>
        <v>0</v>
      </c>
      <c r="BQ34" s="69">
        <f t="shared" ca="1" si="41"/>
        <v>0</v>
      </c>
      <c r="BR34" s="69">
        <f t="shared" ca="1" si="28"/>
        <v>0</v>
      </c>
      <c r="BS34" s="69">
        <f ca="1">$AO34*IF(Auswahllisten!$G$150,BS$25+BS$25*BS$13*$AN34,BS$25*(1+BS$13)^$AN34)</f>
        <v>0</v>
      </c>
      <c r="BT34" s="69">
        <f ca="1">$AO34*IF(Auswahllisten!$G$150,BT$25+BT$25*BT$13*$AN34,BT$25*(1+BT$13)^$AN34)</f>
        <v>0</v>
      </c>
      <c r="BU34" s="69">
        <f ca="1">$AO34*IF(Auswahllisten!$G$150,BU$25+BU$25*BU$13*$AN34,BU$25*(1+BU$13)^$AN34)</f>
        <v>0</v>
      </c>
      <c r="BV34" s="69">
        <f ca="1">$AO34*IF(Auswahllisten!$G$150,BV$25+BV$25*BV$13*$AN34,BV$25*(1+BV$13)^$AN34)</f>
        <v>0</v>
      </c>
      <c r="BW34" s="69">
        <f t="shared" ca="1" si="42"/>
        <v>0</v>
      </c>
      <c r="BX34" s="69">
        <f t="shared" ca="1" si="43"/>
        <v>0</v>
      </c>
      <c r="BY34" s="69">
        <f t="shared" ca="1" si="29"/>
        <v>0</v>
      </c>
      <c r="BZ34" s="69">
        <f t="shared" ca="1" si="30"/>
        <v>0</v>
      </c>
    </row>
    <row r="35" spans="1:78">
      <c r="A35" s="305" t="s">
        <v>1215</v>
      </c>
      <c r="B35" s="126" t="s">
        <v>303</v>
      </c>
      <c r="C35" s="126" t="s">
        <v>992</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IF($C$5=0,0,INDEX(Faktoren!E21:GQ21,1,VLOOKUP($F$5,$L$2:$O$14,4,FALSE)+$C$9*5+VLOOKUP(D35,Auswahllisten!$E$25:$F$29,2,FALSE)))</f>
        <v>0</v>
      </c>
      <c r="G35" s="26">
        <f t="shared" ca="1" si="51"/>
        <v>0</v>
      </c>
      <c r="H35" s="26" cm="1">
        <f t="array" aca="1" ref="H35" ca="1">INDIRECT("Investition_gewählt!"&amp;$I$6&amp;AA35)</f>
        <v>12000</v>
      </c>
      <c r="I35" s="25" cm="1">
        <f t="array" aca="1" ref="I35" ca="1">IF($C$5=0,0,INDEX(Faktoren!E21:GQ21,1,VLOOKUP($F$6,$L$2:$O$14,4,FALSE)+$C$9*5+VLOOKUP(D35,Auswahllisten!$E$25:$F$29,2,FALSE)))</f>
        <v>0</v>
      </c>
      <c r="J35" s="16">
        <f t="shared" ca="1" si="52"/>
        <v>0</v>
      </c>
      <c r="K35" s="16">
        <f t="shared" ca="1" si="44"/>
        <v>0</v>
      </c>
      <c r="L35" s="16" t="b">
        <f t="shared" ca="1" si="45"/>
        <v>0</v>
      </c>
      <c r="M35" s="26">
        <f t="shared" ca="1" si="46"/>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IF($U$5=0,0,INDEX(Faktoren!E21:GQ21,1,VLOOKUP($X$5,$L$2:$O$14,4,FALSE)+$U$9*5+VLOOKUP(O35,Auswahllisten!$E$25:$F$29,2,FALSE)))</f>
        <v>0</v>
      </c>
      <c r="R35" s="26">
        <f t="shared" ca="1" si="47"/>
        <v>0</v>
      </c>
      <c r="S35" s="26" cm="1">
        <f t="array" aca="1" ref="S35" ca="1">INDIRECT("Investition_gewählt!"&amp;$AA$6&amp;AA35)</f>
        <v>12000</v>
      </c>
      <c r="T35" s="16" cm="1">
        <f t="array" aca="1" ref="T35" ca="1">IF($U$5=0,0,INDEX(Faktoren!E21:QG21,1,VLOOKUP($X$6,$L$3:$O$14,4,FALSE)+$U$9*5+VLOOKUP(O35,Auswahllisten!$E$25:$F$29,2,FALSE)))</f>
        <v>0</v>
      </c>
      <c r="U35" s="26">
        <f t="shared" ca="1" si="48"/>
        <v>0</v>
      </c>
      <c r="V35" s="26">
        <f t="shared" ca="1" si="14"/>
        <v>0</v>
      </c>
      <c r="W35" s="25" t="b">
        <f t="shared" ca="1" si="53"/>
        <v>0</v>
      </c>
      <c r="X35" s="26">
        <f t="shared" ca="1" si="49"/>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24"/>
        <v>1</v>
      </c>
      <c r="AP35" s="69">
        <f t="shared" ca="1" si="25"/>
        <v>0</v>
      </c>
      <c r="AQ35" s="69">
        <f t="shared" ca="1" si="25"/>
        <v>0</v>
      </c>
      <c r="AR35" s="69">
        <f t="shared" si="25"/>
        <v>0</v>
      </c>
      <c r="AS35" s="69">
        <f t="shared" ca="1" si="25"/>
        <v>0</v>
      </c>
      <c r="AT35" s="69">
        <f t="shared" ca="1" si="25"/>
        <v>0</v>
      </c>
      <c r="AU35" s="69">
        <f t="shared" ca="1" si="25"/>
        <v>0</v>
      </c>
      <c r="AV35" s="69">
        <f t="shared" si="25"/>
        <v>0</v>
      </c>
      <c r="AW35" s="69">
        <f t="shared" ca="1" si="34"/>
        <v>0</v>
      </c>
      <c r="AX35" s="69">
        <f t="shared" ca="1" si="35"/>
        <v>0</v>
      </c>
      <c r="AY35" s="69">
        <f t="shared" ca="1" si="36"/>
        <v>0</v>
      </c>
      <c r="AZ35" s="69">
        <f ca="1">$AO35*IF(Auswahllisten!$G$150,AZ$25+AZ$25*AZ$13*$AN35,AZ$25*(1+AZ$13)^$AN35)</f>
        <v>0</v>
      </c>
      <c r="BA35" s="69">
        <f ca="1">$AO35*IF(Auswahllisten!$G$150,BA$25+BA$25*BA$13*$AN35,BA$25*(1+BA$13)^$AN35)</f>
        <v>0</v>
      </c>
      <c r="BB35" s="69">
        <f ca="1">$AO35*IF(Auswahllisten!$G$150,BB$25+BB$25*BB$13*$AN35,BB$25*(1+BB$13)^$AN35)</f>
        <v>0</v>
      </c>
      <c r="BC35" s="69">
        <f ca="1">$AO35*IF(Auswahllisten!$G$150,BC$25+BC$25*BC$13*$AN35,BC$25*(1+BC$13)^$AN35)</f>
        <v>0</v>
      </c>
      <c r="BD35" s="69">
        <f t="shared" ca="1" si="37"/>
        <v>0</v>
      </c>
      <c r="BE35" s="69">
        <f t="shared" ca="1" si="38"/>
        <v>0</v>
      </c>
      <c r="BF35" s="69">
        <f t="shared" ca="1" si="39"/>
        <v>0</v>
      </c>
      <c r="BG35" s="69">
        <f t="shared" ca="1" si="40"/>
        <v>0</v>
      </c>
      <c r="BI35" s="69">
        <f t="shared" ca="1" si="26"/>
        <v>0</v>
      </c>
      <c r="BJ35" s="69">
        <f t="shared" ca="1" si="26"/>
        <v>0</v>
      </c>
      <c r="BK35" s="69">
        <f t="shared" si="26"/>
        <v>0</v>
      </c>
      <c r="BL35" s="69">
        <f t="shared" ca="1" si="26"/>
        <v>0</v>
      </c>
      <c r="BM35" s="69">
        <f t="shared" ca="1" si="26"/>
        <v>0</v>
      </c>
      <c r="BN35" s="69">
        <f t="shared" ca="1" si="26"/>
        <v>0</v>
      </c>
      <c r="BO35" s="69">
        <f t="shared" si="26"/>
        <v>0</v>
      </c>
      <c r="BP35" s="69">
        <f t="shared" ca="1" si="27"/>
        <v>0</v>
      </c>
      <c r="BQ35" s="69">
        <f t="shared" ca="1" si="41"/>
        <v>0</v>
      </c>
      <c r="BR35" s="69">
        <f t="shared" ca="1" si="28"/>
        <v>0</v>
      </c>
      <c r="BS35" s="69">
        <f ca="1">$AO35*IF(Auswahllisten!$G$150,BS$25+BS$25*BS$13*$AN35,BS$25*(1+BS$13)^$AN35)</f>
        <v>0</v>
      </c>
      <c r="BT35" s="69">
        <f ca="1">$AO35*IF(Auswahllisten!$G$150,BT$25+BT$25*BT$13*$AN35,BT$25*(1+BT$13)^$AN35)</f>
        <v>0</v>
      </c>
      <c r="BU35" s="69">
        <f ca="1">$AO35*IF(Auswahllisten!$G$150,BU$25+BU$25*BU$13*$AN35,BU$25*(1+BU$13)^$AN35)</f>
        <v>0</v>
      </c>
      <c r="BV35" s="69">
        <f ca="1">$AO35*IF(Auswahllisten!$G$150,BV$25+BV$25*BV$13*$AN35,BV$25*(1+BV$13)^$AN35)</f>
        <v>0</v>
      </c>
      <c r="BW35" s="69">
        <f t="shared" ca="1" si="42"/>
        <v>0</v>
      </c>
      <c r="BX35" s="69">
        <f t="shared" ca="1" si="43"/>
        <v>0</v>
      </c>
      <c r="BY35" s="69">
        <f t="shared" ca="1" si="29"/>
        <v>0</v>
      </c>
      <c r="BZ35" s="69">
        <f t="shared" ca="1" si="30"/>
        <v>0</v>
      </c>
    </row>
    <row r="36" spans="1:78">
      <c r="A36" s="305" t="s">
        <v>1215</v>
      </c>
      <c r="B36" s="126" t="s">
        <v>303</v>
      </c>
      <c r="C36" s="126" t="s">
        <v>965</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IF($C$5=0,0,INDEX(Faktoren!E22:GQ22,1,VLOOKUP($F$5,$L$2:$O$14,4,FALSE)+$C$9*5+VLOOKUP(D36,Auswahllisten!$E$25:$F$29,2,FALSE)))</f>
        <v>0</v>
      </c>
      <c r="G36" s="26">
        <f t="shared" ca="1" si="51"/>
        <v>0</v>
      </c>
      <c r="H36" s="26" cm="1">
        <f t="array" aca="1" ref="H36" ca="1">INDIRECT("Investition_gewählt!"&amp;$I$6&amp;AA36)</f>
        <v>4000</v>
      </c>
      <c r="I36" s="25" cm="1">
        <f t="array" aca="1" ref="I36" ca="1">IF($C$5=0,0,INDEX(Faktoren!E22:GQ22,1,VLOOKUP($F$6,$L$2:$O$14,4,FALSE)+$C$9*5+VLOOKUP(D36,Auswahllisten!$E$25:$F$29,2,FALSE)))</f>
        <v>0</v>
      </c>
      <c r="J36" s="16">
        <f t="shared" ca="1" si="52"/>
        <v>0</v>
      </c>
      <c r="K36" s="16">
        <f t="shared" ca="1" si="44"/>
        <v>0</v>
      </c>
      <c r="L36" s="16" t="b">
        <f t="shared" ca="1" si="45"/>
        <v>0</v>
      </c>
      <c r="M36" s="26">
        <f t="shared" ca="1" si="46"/>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IF($U$5=0,0,INDEX(Faktoren!E22:GQ22,1,VLOOKUP($X$5,$L$2:$O$14,4,FALSE)+$U$9*5+VLOOKUP(O36,Auswahllisten!$E$25:$F$29,2,FALSE)))</f>
        <v>0</v>
      </c>
      <c r="R36" s="26">
        <f t="shared" ca="1" si="47"/>
        <v>0</v>
      </c>
      <c r="S36" s="26" cm="1">
        <f t="array" aca="1" ref="S36" ca="1">INDIRECT("Investition_gewählt!"&amp;$AA$6&amp;AA36)</f>
        <v>4000</v>
      </c>
      <c r="T36" s="16" cm="1">
        <f t="array" aca="1" ref="T36" ca="1">IF($U$5=0,0,INDEX(Faktoren!E22:QG22,1,VLOOKUP($X$6,$L$3:$O$14,4,FALSE)+$U$9*5+VLOOKUP(O36,Auswahllisten!$E$25:$F$29,2,FALSE)))</f>
        <v>0</v>
      </c>
      <c r="U36" s="26">
        <f t="shared" ca="1" si="48"/>
        <v>0</v>
      </c>
      <c r="V36" s="26">
        <f t="shared" ca="1" si="14"/>
        <v>0</v>
      </c>
      <c r="W36" s="25" t="b">
        <f t="shared" ca="1" si="53"/>
        <v>0</v>
      </c>
      <c r="X36" s="26">
        <f t="shared" ca="1" si="49"/>
        <v>0</v>
      </c>
      <c r="Z36" s="1">
        <v>42</v>
      </c>
      <c r="AA36" s="1">
        <v>22</v>
      </c>
      <c r="AB36" s="1">
        <v>-2</v>
      </c>
      <c r="AC36" s="35"/>
      <c r="AD36" s="35"/>
      <c r="AE36" s="310" t="s">
        <v>1242</v>
      </c>
      <c r="AF36" s="26">
        <f ca="1">AF23</f>
        <v>0</v>
      </c>
      <c r="AG36" s="26"/>
      <c r="AH36" s="26">
        <f t="shared" ref="AH36" ca="1" si="54">AH23</f>
        <v>0</v>
      </c>
      <c r="AI36" s="26">
        <f ca="1">AI23</f>
        <v>0</v>
      </c>
      <c r="AJ36" s="26"/>
      <c r="AK36" s="26">
        <f t="shared" ref="AK36" ca="1" si="55">AK23</f>
        <v>0</v>
      </c>
      <c r="AN36" s="1">
        <v>11</v>
      </c>
      <c r="AO36" s="1">
        <f t="shared" si="24"/>
        <v>1</v>
      </c>
      <c r="AP36" s="69">
        <f t="shared" ca="1" si="25"/>
        <v>0</v>
      </c>
      <c r="AQ36" s="69">
        <f t="shared" ca="1" si="25"/>
        <v>0</v>
      </c>
      <c r="AR36" s="69">
        <f t="shared" si="25"/>
        <v>0</v>
      </c>
      <c r="AS36" s="69">
        <f t="shared" ca="1" si="25"/>
        <v>0</v>
      </c>
      <c r="AT36" s="69">
        <f t="shared" ca="1" si="25"/>
        <v>0</v>
      </c>
      <c r="AU36" s="69">
        <f t="shared" ca="1" si="25"/>
        <v>0</v>
      </c>
      <c r="AV36" s="69">
        <f t="shared" si="25"/>
        <v>0</v>
      </c>
      <c r="AW36" s="69">
        <f t="shared" ca="1" si="34"/>
        <v>0</v>
      </c>
      <c r="AX36" s="69">
        <f t="shared" ca="1" si="35"/>
        <v>0</v>
      </c>
      <c r="AY36" s="69">
        <f t="shared" ca="1" si="36"/>
        <v>0</v>
      </c>
      <c r="AZ36" s="69">
        <f ca="1">$AO36*IF(Auswahllisten!$G$150,AZ$25+AZ$25*AZ$13*$AN36,AZ$25*(1+AZ$13)^$AN36)</f>
        <v>0</v>
      </c>
      <c r="BA36" s="69">
        <f ca="1">$AO36*IF(Auswahllisten!$G$150,BA$25+BA$25*BA$13*$AN36,BA$25*(1+BA$13)^$AN36)</f>
        <v>0</v>
      </c>
      <c r="BB36" s="69">
        <f ca="1">$AO36*IF(Auswahllisten!$G$150,BB$25+BB$25*BB$13*$AN36,BB$25*(1+BB$13)^$AN36)</f>
        <v>0</v>
      </c>
      <c r="BC36" s="69">
        <f ca="1">$AO36*IF(Auswahllisten!$G$150,BC$25+BC$25*BC$13*$AN36,BC$25*(1+BC$13)^$AN36)</f>
        <v>0</v>
      </c>
      <c r="BD36" s="69">
        <f t="shared" ca="1" si="37"/>
        <v>0</v>
      </c>
      <c r="BE36" s="69">
        <f t="shared" ca="1" si="38"/>
        <v>0</v>
      </c>
      <c r="BF36" s="69">
        <f t="shared" ca="1" si="39"/>
        <v>0</v>
      </c>
      <c r="BG36" s="69">
        <f t="shared" ca="1" si="40"/>
        <v>0</v>
      </c>
      <c r="BI36" s="69">
        <f t="shared" ca="1" si="26"/>
        <v>0</v>
      </c>
      <c r="BJ36" s="69">
        <f t="shared" ca="1" si="26"/>
        <v>0</v>
      </c>
      <c r="BK36" s="69">
        <f t="shared" si="26"/>
        <v>0</v>
      </c>
      <c r="BL36" s="69">
        <f t="shared" ca="1" si="26"/>
        <v>0</v>
      </c>
      <c r="BM36" s="69">
        <f t="shared" ca="1" si="26"/>
        <v>0</v>
      </c>
      <c r="BN36" s="69">
        <f t="shared" ca="1" si="26"/>
        <v>0</v>
      </c>
      <c r="BO36" s="69">
        <f t="shared" si="26"/>
        <v>0</v>
      </c>
      <c r="BP36" s="69">
        <f t="shared" ca="1" si="27"/>
        <v>0</v>
      </c>
      <c r="BQ36" s="69">
        <f t="shared" ca="1" si="41"/>
        <v>0</v>
      </c>
      <c r="BR36" s="69">
        <f t="shared" ca="1" si="28"/>
        <v>0</v>
      </c>
      <c r="BS36" s="69">
        <f ca="1">$AO36*IF(Auswahllisten!$G$150,BS$25+BS$25*BS$13*$AN36,BS$25*(1+BS$13)^$AN36)</f>
        <v>0</v>
      </c>
      <c r="BT36" s="69">
        <f ca="1">$AO36*IF(Auswahllisten!$G$150,BT$25+BT$25*BT$13*$AN36,BT$25*(1+BT$13)^$AN36)</f>
        <v>0</v>
      </c>
      <c r="BU36" s="69">
        <f ca="1">$AO36*IF(Auswahllisten!$G$150,BU$25+BU$25*BU$13*$AN36,BU$25*(1+BU$13)^$AN36)</f>
        <v>0</v>
      </c>
      <c r="BV36" s="69">
        <f ca="1">$AO36*IF(Auswahllisten!$G$150,BV$25+BV$25*BV$13*$AN36,BV$25*(1+BV$13)^$AN36)</f>
        <v>0</v>
      </c>
      <c r="BW36" s="69">
        <f t="shared" ca="1" si="42"/>
        <v>0</v>
      </c>
      <c r="BX36" s="69">
        <f t="shared" ca="1" si="43"/>
        <v>0</v>
      </c>
      <c r="BY36" s="69">
        <f t="shared" ca="1" si="29"/>
        <v>0</v>
      </c>
      <c r="BZ36" s="69">
        <f t="shared" ca="1" si="30"/>
        <v>0</v>
      </c>
    </row>
    <row r="37" spans="1:78">
      <c r="A37" s="305" t="s">
        <v>1218</v>
      </c>
      <c r="B37" s="126" t="s">
        <v>1243</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IF($C$5=0,0,INDEX(Faktoren!E23:GQ23,1,VLOOKUP($F$5,$L$2:$O$14,4,FALSE)+$C$9*5+VLOOKUP(D37,Auswahllisten!$E$25:$F$29,2,FALSE)))</f>
        <v>0</v>
      </c>
      <c r="G37" s="26">
        <f t="shared" ca="1" si="51"/>
        <v>0</v>
      </c>
      <c r="H37" s="26" cm="1">
        <f t="array" aca="1" ref="H37" ca="1">INDIRECT("Investition_gewählt!"&amp;$I$6&amp;AA37)</f>
        <v>1500</v>
      </c>
      <c r="I37" s="25" cm="1">
        <f t="array" aca="1" ref="I37" ca="1">IF($C$5=0,0,INDEX(Faktoren!E23:GQ23,1,VLOOKUP($F$6,$L$2:$O$14,4,FALSE)+$C$9*5+VLOOKUP(D37,Auswahllisten!$E$25:$F$29,2,FALSE)))</f>
        <v>0</v>
      </c>
      <c r="J37" s="16">
        <f t="shared" ca="1" si="52"/>
        <v>0</v>
      </c>
      <c r="K37" s="16">
        <f t="shared" ca="1" si="44"/>
        <v>0</v>
      </c>
      <c r="L37" s="16" t="b">
        <f t="shared" ca="1" si="45"/>
        <v>0</v>
      </c>
      <c r="M37" s="26">
        <f t="shared" ca="1" si="46"/>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IF($U$5=0,0,INDEX(Faktoren!E23:GQ23,1,VLOOKUP($X$5,$L$2:$O$14,4,FALSE)+$U$9*5+VLOOKUP(O37,Auswahllisten!$E$25:$F$29,2,FALSE)))</f>
        <v>0</v>
      </c>
      <c r="R37" s="26">
        <f t="shared" ca="1" si="47"/>
        <v>0</v>
      </c>
      <c r="S37" s="26" cm="1">
        <f t="array" aca="1" ref="S37" ca="1">INDIRECT("Investition_gewählt!"&amp;$AA$6&amp;AA37)</f>
        <v>1500</v>
      </c>
      <c r="T37" s="16" cm="1">
        <f t="array" aca="1" ref="T37" ca="1">IF($U$5=0,0,INDEX(Faktoren!E23:QG23,1,VLOOKUP($X$6,$L$3:$O$14,4,FALSE)+$U$9*5+VLOOKUP(O37,Auswahllisten!$E$25:$F$29,2,FALSE)))</f>
        <v>0</v>
      </c>
      <c r="U37" s="26">
        <f t="shared" ca="1" si="48"/>
        <v>0</v>
      </c>
      <c r="V37" s="26">
        <f t="shared" ca="1" si="14"/>
        <v>0</v>
      </c>
      <c r="W37" s="25" t="b">
        <f t="shared" ca="1" si="53"/>
        <v>0</v>
      </c>
      <c r="X37" s="26">
        <f t="shared" ca="1" si="49"/>
        <v>0</v>
      </c>
      <c r="Z37" s="1">
        <v>41</v>
      </c>
      <c r="AA37" s="1">
        <v>23</v>
      </c>
      <c r="AB37" s="1">
        <v>-2</v>
      </c>
      <c r="AC37" s="35"/>
      <c r="AD37" s="35"/>
      <c r="AE37" s="83" t="s">
        <v>1257</v>
      </c>
      <c r="AF37" s="26">
        <f ca="1">AF25-AG25</f>
        <v>0</v>
      </c>
      <c r="AG37" s="26"/>
      <c r="AH37" s="26">
        <f ca="1">AH25</f>
        <v>0</v>
      </c>
      <c r="AI37" s="26">
        <f>AI25-AJ25</f>
        <v>0</v>
      </c>
      <c r="AJ37" s="26"/>
      <c r="AK37" s="26">
        <f>AK25</f>
        <v>0</v>
      </c>
      <c r="AN37" s="1">
        <v>12</v>
      </c>
      <c r="AO37" s="1">
        <f t="shared" si="24"/>
        <v>1</v>
      </c>
      <c r="AP37" s="69">
        <f t="shared" ca="1" si="25"/>
        <v>0</v>
      </c>
      <c r="AQ37" s="69">
        <f t="shared" ca="1" si="25"/>
        <v>0</v>
      </c>
      <c r="AR37" s="69">
        <f t="shared" si="25"/>
        <v>0</v>
      </c>
      <c r="AS37" s="69">
        <f t="shared" ca="1" si="25"/>
        <v>0</v>
      </c>
      <c r="AT37" s="69">
        <f t="shared" ca="1" si="25"/>
        <v>0</v>
      </c>
      <c r="AU37" s="69">
        <f t="shared" ca="1" si="25"/>
        <v>0</v>
      </c>
      <c r="AV37" s="69">
        <f t="shared" si="25"/>
        <v>0</v>
      </c>
      <c r="AW37" s="69">
        <f t="shared" ca="1" si="34"/>
        <v>0</v>
      </c>
      <c r="AX37" s="69">
        <f t="shared" ca="1" si="35"/>
        <v>0</v>
      </c>
      <c r="AY37" s="69">
        <f t="shared" ca="1" si="36"/>
        <v>0</v>
      </c>
      <c r="AZ37" s="69">
        <f ca="1">$AO37*IF(Auswahllisten!$G$150,AZ$25+AZ$25*AZ$13*$AN37,AZ$25*(1+AZ$13)^$AN37)</f>
        <v>0</v>
      </c>
      <c r="BA37" s="69">
        <f ca="1">$AO37*IF(Auswahllisten!$G$150,BA$25+BA$25*BA$13*$AN37,BA$25*(1+BA$13)^$AN37)</f>
        <v>0</v>
      </c>
      <c r="BB37" s="69">
        <f ca="1">$AO37*IF(Auswahllisten!$G$150,BB$25+BB$25*BB$13*$AN37,BB$25*(1+BB$13)^$AN37)</f>
        <v>0</v>
      </c>
      <c r="BC37" s="69">
        <f ca="1">$AO37*IF(Auswahllisten!$G$150,BC$25+BC$25*BC$13*$AN37,BC$25*(1+BC$13)^$AN37)</f>
        <v>0</v>
      </c>
      <c r="BD37" s="69">
        <f t="shared" ca="1" si="37"/>
        <v>0</v>
      </c>
      <c r="BE37" s="69">
        <f t="shared" ca="1" si="38"/>
        <v>0</v>
      </c>
      <c r="BF37" s="69">
        <f t="shared" ca="1" si="39"/>
        <v>0</v>
      </c>
      <c r="BG37" s="69">
        <f t="shared" ca="1" si="40"/>
        <v>0</v>
      </c>
      <c r="BI37" s="69">
        <f t="shared" ca="1" si="26"/>
        <v>0</v>
      </c>
      <c r="BJ37" s="69">
        <f t="shared" ca="1" si="26"/>
        <v>0</v>
      </c>
      <c r="BK37" s="69">
        <f t="shared" si="26"/>
        <v>0</v>
      </c>
      <c r="BL37" s="69">
        <f t="shared" ca="1" si="26"/>
        <v>0</v>
      </c>
      <c r="BM37" s="69">
        <f t="shared" ca="1" si="26"/>
        <v>0</v>
      </c>
      <c r="BN37" s="69">
        <f t="shared" ca="1" si="26"/>
        <v>0</v>
      </c>
      <c r="BO37" s="69">
        <f t="shared" si="26"/>
        <v>0</v>
      </c>
      <c r="BP37" s="69">
        <f t="shared" ca="1" si="27"/>
        <v>0</v>
      </c>
      <c r="BQ37" s="69">
        <f t="shared" ca="1" si="41"/>
        <v>0</v>
      </c>
      <c r="BR37" s="69">
        <f t="shared" ca="1" si="28"/>
        <v>0</v>
      </c>
      <c r="BS37" s="69">
        <f ca="1">$AO37*IF(Auswahllisten!$G$150,BS$25+BS$25*BS$13*$AN37,BS$25*(1+BS$13)^$AN37)</f>
        <v>0</v>
      </c>
      <c r="BT37" s="69">
        <f ca="1">$AO37*IF(Auswahllisten!$G$150,BT$25+BT$25*BT$13*$AN37,BT$25*(1+BT$13)^$AN37)</f>
        <v>0</v>
      </c>
      <c r="BU37" s="69">
        <f ca="1">$AO37*IF(Auswahllisten!$G$150,BU$25+BU$25*BU$13*$AN37,BU$25*(1+BU$13)^$AN37)</f>
        <v>0</v>
      </c>
      <c r="BV37" s="69">
        <f ca="1">$AO37*IF(Auswahllisten!$G$150,BV$25+BV$25*BV$13*$AN37,BV$25*(1+BV$13)^$AN37)</f>
        <v>0</v>
      </c>
      <c r="BW37" s="69">
        <f t="shared" ca="1" si="42"/>
        <v>0</v>
      </c>
      <c r="BX37" s="69">
        <f t="shared" ca="1" si="43"/>
        <v>0</v>
      </c>
      <c r="BY37" s="69">
        <f t="shared" ca="1" si="29"/>
        <v>0</v>
      </c>
      <c r="BZ37" s="69">
        <f t="shared" ca="1" si="30"/>
        <v>0</v>
      </c>
    </row>
    <row r="38" spans="1:78">
      <c r="A38" s="305" t="s">
        <v>1215</v>
      </c>
      <c r="B38" s="126" t="s">
        <v>303</v>
      </c>
      <c r="C38" s="126" t="s">
        <v>966</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IF($C$5=0,0,INDEX(Faktoren!E24:GQ24,1,VLOOKUP($F$5,$L$2:$O$14,4,FALSE)+$C$9*5+VLOOKUP(D38,Auswahllisten!$E$25:$F$29,2,FALSE)))</f>
        <v>0</v>
      </c>
      <c r="G38" s="26">
        <f t="shared" ca="1" si="51"/>
        <v>0</v>
      </c>
      <c r="H38" s="26" cm="1">
        <f t="array" aca="1" ref="H38" ca="1">INDIRECT("Investition_gewählt!"&amp;$I$6&amp;AA38)</f>
        <v>8500</v>
      </c>
      <c r="I38" s="25" cm="1">
        <f t="array" aca="1" ref="I38" ca="1">IF($C$5=0,0,INDEX(Faktoren!E24:GQ24,1,VLOOKUP($F$6,$L$2:$O$14,4,FALSE)+$C$9*5+VLOOKUP(D38,Auswahllisten!$E$25:$F$29,2,FALSE)))</f>
        <v>0</v>
      </c>
      <c r="J38" s="16">
        <f t="shared" ca="1" si="52"/>
        <v>0</v>
      </c>
      <c r="K38" s="16">
        <f t="shared" ca="1" si="44"/>
        <v>0</v>
      </c>
      <c r="L38" s="16" t="b">
        <f t="shared" ca="1" si="45"/>
        <v>0</v>
      </c>
      <c r="M38" s="26">
        <f t="shared" ca="1" si="46"/>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IF($U$5=0,0,INDEX(Faktoren!E24:GQ24,1,VLOOKUP($X$5,$L$2:$O$14,4,FALSE)+$U$9*5+VLOOKUP(O38,Auswahllisten!$E$25:$F$29,2,FALSE)))</f>
        <v>0</v>
      </c>
      <c r="R38" s="26">
        <f t="shared" ca="1" si="47"/>
        <v>0</v>
      </c>
      <c r="S38" s="26" cm="1">
        <f t="array" aca="1" ref="S38" ca="1">INDIRECT("Investition_gewählt!"&amp;$AA$6&amp;AA38)</f>
        <v>8500</v>
      </c>
      <c r="T38" s="16" cm="1">
        <f t="array" aca="1" ref="T38" ca="1">IF($U$5=0,0,INDEX(Faktoren!E24:QG24,1,VLOOKUP($X$6,$L$3:$O$14,4,FALSE)+$U$9*5+VLOOKUP(O38,Auswahllisten!$E$25:$F$29,2,FALSE)))</f>
        <v>0</v>
      </c>
      <c r="U38" s="26">
        <f t="shared" ca="1" si="48"/>
        <v>0</v>
      </c>
      <c r="V38" s="26">
        <f t="shared" ca="1" si="14"/>
        <v>0</v>
      </c>
      <c r="W38" s="25" t="b">
        <f t="shared" ca="1" si="53"/>
        <v>0</v>
      </c>
      <c r="X38" s="26">
        <f t="shared" ca="1" si="49"/>
        <v>0</v>
      </c>
      <c r="Z38" s="1">
        <v>47</v>
      </c>
      <c r="AA38" s="1">
        <v>24</v>
      </c>
      <c r="AB38" s="1">
        <v>-2</v>
      </c>
      <c r="AC38" s="35"/>
      <c r="AD38" s="35"/>
      <c r="AE38" s="83" t="s">
        <v>186</v>
      </c>
      <c r="AF38" s="26">
        <f ca="1">AF26</f>
        <v>0</v>
      </c>
      <c r="AG38" s="26"/>
      <c r="AH38" s="26">
        <f t="shared" ref="AH38" ca="1" si="56">AH26</f>
        <v>0</v>
      </c>
      <c r="AI38" s="26">
        <f ca="1">AI26</f>
        <v>0</v>
      </c>
      <c r="AJ38" s="26"/>
      <c r="AK38" s="26">
        <f t="shared" ref="AK38" ca="1" si="57">AK26</f>
        <v>0</v>
      </c>
      <c r="AN38" s="1">
        <v>13</v>
      </c>
      <c r="AO38" s="1">
        <f t="shared" si="24"/>
        <v>1</v>
      </c>
      <c r="AP38" s="69">
        <f t="shared" ca="1" si="25"/>
        <v>0</v>
      </c>
      <c r="AQ38" s="69">
        <f t="shared" ca="1" si="25"/>
        <v>0</v>
      </c>
      <c r="AR38" s="69">
        <f t="shared" si="25"/>
        <v>0</v>
      </c>
      <c r="AS38" s="69">
        <f t="shared" ca="1" si="25"/>
        <v>0</v>
      </c>
      <c r="AT38" s="69">
        <f t="shared" ca="1" si="25"/>
        <v>0</v>
      </c>
      <c r="AU38" s="69">
        <f t="shared" ca="1" si="25"/>
        <v>0</v>
      </c>
      <c r="AV38" s="69">
        <f t="shared" si="25"/>
        <v>0</v>
      </c>
      <c r="AW38" s="69">
        <f t="shared" ca="1" si="34"/>
        <v>0</v>
      </c>
      <c r="AX38" s="69">
        <f t="shared" ca="1" si="35"/>
        <v>0</v>
      </c>
      <c r="AY38" s="69">
        <f t="shared" ca="1" si="36"/>
        <v>0</v>
      </c>
      <c r="AZ38" s="69">
        <f ca="1">$AO38*IF(Auswahllisten!$G$150,AZ$25+AZ$25*AZ$13*$AN38,AZ$25*(1+AZ$13)^$AN38)</f>
        <v>0</v>
      </c>
      <c r="BA38" s="69">
        <f ca="1">$AO38*IF(Auswahllisten!$G$150,BA$25+BA$25*BA$13*$AN38,BA$25*(1+BA$13)^$AN38)</f>
        <v>0</v>
      </c>
      <c r="BB38" s="69">
        <f ca="1">$AO38*IF(Auswahllisten!$G$150,BB$25+BB$25*BB$13*$AN38,BB$25*(1+BB$13)^$AN38)</f>
        <v>0</v>
      </c>
      <c r="BC38" s="69">
        <f ca="1">$AO38*IF(Auswahllisten!$G$150,BC$25+BC$25*BC$13*$AN38,BC$25*(1+BC$13)^$AN38)</f>
        <v>0</v>
      </c>
      <c r="BD38" s="69">
        <f t="shared" ca="1" si="37"/>
        <v>0</v>
      </c>
      <c r="BE38" s="69">
        <f t="shared" ca="1" si="38"/>
        <v>0</v>
      </c>
      <c r="BF38" s="69">
        <f t="shared" ca="1" si="39"/>
        <v>0</v>
      </c>
      <c r="BG38" s="69">
        <f t="shared" ca="1" si="40"/>
        <v>0</v>
      </c>
      <c r="BI38" s="69">
        <f t="shared" ca="1" si="26"/>
        <v>0</v>
      </c>
      <c r="BJ38" s="69">
        <f t="shared" ca="1" si="26"/>
        <v>0</v>
      </c>
      <c r="BK38" s="69">
        <f t="shared" si="26"/>
        <v>0</v>
      </c>
      <c r="BL38" s="69">
        <f t="shared" ca="1" si="26"/>
        <v>0</v>
      </c>
      <c r="BM38" s="69">
        <f t="shared" ca="1" si="26"/>
        <v>0</v>
      </c>
      <c r="BN38" s="69">
        <f t="shared" ca="1" si="26"/>
        <v>0</v>
      </c>
      <c r="BO38" s="69">
        <f t="shared" si="26"/>
        <v>0</v>
      </c>
      <c r="BP38" s="69">
        <f t="shared" ca="1" si="27"/>
        <v>0</v>
      </c>
      <c r="BQ38" s="69">
        <f t="shared" ca="1" si="41"/>
        <v>0</v>
      </c>
      <c r="BR38" s="69">
        <f t="shared" ca="1" si="28"/>
        <v>0</v>
      </c>
      <c r="BS38" s="69">
        <f ca="1">$AO38*IF(Auswahllisten!$G$150,BS$25+BS$25*BS$13*$AN38,BS$25*(1+BS$13)^$AN38)</f>
        <v>0</v>
      </c>
      <c r="BT38" s="69">
        <f ca="1">$AO38*IF(Auswahllisten!$G$150,BT$25+BT$25*BT$13*$AN38,BT$25*(1+BT$13)^$AN38)</f>
        <v>0</v>
      </c>
      <c r="BU38" s="69">
        <f ca="1">$AO38*IF(Auswahllisten!$G$150,BU$25+BU$25*BU$13*$AN38,BU$25*(1+BU$13)^$AN38)</f>
        <v>0</v>
      </c>
      <c r="BV38" s="69">
        <f ca="1">$AO38*IF(Auswahllisten!$G$150,BV$25+BV$25*BV$13*$AN38,BV$25*(1+BV$13)^$AN38)</f>
        <v>0</v>
      </c>
      <c r="BW38" s="69">
        <f t="shared" ca="1" si="42"/>
        <v>0</v>
      </c>
      <c r="BX38" s="69">
        <f t="shared" ca="1" si="43"/>
        <v>0</v>
      </c>
      <c r="BY38" s="69">
        <f t="shared" ca="1" si="29"/>
        <v>0</v>
      </c>
      <c r="BZ38" s="69">
        <f t="shared" ca="1" si="30"/>
        <v>0</v>
      </c>
    </row>
    <row r="39" spans="1:78">
      <c r="A39" s="306" t="s">
        <v>1256</v>
      </c>
      <c r="B39" s="297" t="s">
        <v>303</v>
      </c>
      <c r="C39" s="134" t="s">
        <v>186</v>
      </c>
      <c r="D39" s="163" t="str" cm="1">
        <f t="array" aca="1" ref="D39" ca="1">INDIRECT("Vergleich!"&amp;$G$2&amp;Z39)</f>
        <v>mittel</v>
      </c>
      <c r="E39" s="163" cm="1">
        <f t="array" aca="1" ref="E39" ca="1">INDIRECT("Investition_gewählt!"&amp;$I$5&amp;AA39)</f>
        <v>4000</v>
      </c>
      <c r="F39" s="61" cm="1">
        <f t="array" aca="1" ref="F39" ca="1">IF($C$5=0,0,INDEX(Faktoren!E25:GQ25,1,VLOOKUP($F$5,$L$2:$O$14,4,FALSE)+$C$9*5+VLOOKUP(D39,Auswahllisten!$E$25:$F$29,2,FALSE)))</f>
        <v>0</v>
      </c>
      <c r="G39" s="296">
        <f t="shared" ca="1" si="51"/>
        <v>0</v>
      </c>
      <c r="H39" s="296" cm="1">
        <f t="array" aca="1" ref="H39" ca="1">INDIRECT("Investition_gewählt!"&amp;$I$6&amp;AA39)</f>
        <v>4000</v>
      </c>
      <c r="I39" s="61" cm="1">
        <f t="array" aca="1" ref="I39" ca="1">IF($C$5=0,0,INDEX(Faktoren!E25:GQ25,1,VLOOKUP($F$6,$L$2:$O$14,4,FALSE)+$C$9*5+VLOOKUP(D39,Auswahllisten!$E$25:$F$29,2,FALSE)))</f>
        <v>0</v>
      </c>
      <c r="J39" s="93">
        <f t="shared" ca="1" si="52"/>
        <v>0</v>
      </c>
      <c r="K39" s="93">
        <f t="shared" ca="1" si="44"/>
        <v>0</v>
      </c>
      <c r="L39" s="93" t="b">
        <f t="shared" ca="1" si="45"/>
        <v>0</v>
      </c>
      <c r="M39" s="163">
        <f t="shared" ca="1" si="46"/>
        <v>0</v>
      </c>
      <c r="O39" s="93" t="str" cm="1">
        <f t="array" aca="1" ref="O39" ca="1">INDIRECT("Vergleich!"&amp;$Y$2&amp;Z39)</f>
        <v>gering</v>
      </c>
      <c r="P39" s="163" cm="1">
        <f t="array" aca="1" ref="P39" ca="1">INDIRECT("Investition_gewählt!"&amp;$AA$5&amp;AA39)</f>
        <v>4000</v>
      </c>
      <c r="Q39" s="93" cm="1">
        <f t="array" aca="1" ref="Q39" ca="1">IF($U$5=0,0,INDEX(Faktoren!E25:GQ25,1,VLOOKUP($X$5,$L$2:$O$14,4,FALSE)+$U$9*5+VLOOKUP(O39,Auswahllisten!$E$25:$F$29,2,FALSE)))</f>
        <v>0</v>
      </c>
      <c r="R39" s="163">
        <f t="shared" ca="1" si="47"/>
        <v>0</v>
      </c>
      <c r="S39" s="163" cm="1">
        <f t="array" aca="1" ref="S39" ca="1">INDIRECT("Investition_gewählt!"&amp;$AA$6&amp;AA39)</f>
        <v>4000</v>
      </c>
      <c r="T39" s="93" cm="1">
        <f t="array" aca="1" ref="T39" ca="1">IF($U$5=0,0,INDEX(Faktoren!E25:QG25,1,VLOOKUP($X$6,$L$3:$O$14,4,FALSE)+$U$9*5+VLOOKUP(O39,Auswahllisten!$E$25:$F$29,2,FALSE)))</f>
        <v>0</v>
      </c>
      <c r="U39" s="163">
        <f t="shared" ca="1" si="48"/>
        <v>0</v>
      </c>
      <c r="V39" s="163">
        <f t="shared" ca="1" si="14"/>
        <v>0</v>
      </c>
      <c r="W39" s="61" t="b">
        <f t="shared" ca="1" si="53"/>
        <v>0</v>
      </c>
      <c r="X39" s="163">
        <f t="shared" ca="1" si="49"/>
        <v>0</v>
      </c>
      <c r="Z39" s="1">
        <v>48</v>
      </c>
      <c r="AA39" s="1">
        <v>25</v>
      </c>
      <c r="AB39" s="1">
        <v>-2</v>
      </c>
      <c r="AC39" s="35"/>
      <c r="AD39" s="35"/>
      <c r="AE39" s="83" t="s">
        <v>1012</v>
      </c>
      <c r="AF39" s="26">
        <f ca="1">AF28</f>
        <v>0</v>
      </c>
      <c r="AG39" s="26"/>
      <c r="AH39" s="26">
        <f t="shared" ref="AH39:AH40" ca="1" si="58">AH28</f>
        <v>0</v>
      </c>
      <c r="AI39" s="26">
        <f>AI28</f>
        <v>0</v>
      </c>
      <c r="AJ39" s="26"/>
      <c r="AK39" s="26">
        <f t="shared" ref="AK39:AK40" si="59">AK28</f>
        <v>0</v>
      </c>
      <c r="AN39" s="1">
        <v>14</v>
      </c>
      <c r="AO39" s="1">
        <f t="shared" si="24"/>
        <v>1</v>
      </c>
      <c r="AP39" s="69">
        <f t="shared" ca="1" si="25"/>
        <v>0</v>
      </c>
      <c r="AQ39" s="69">
        <f t="shared" ca="1" si="25"/>
        <v>0</v>
      </c>
      <c r="AR39" s="69">
        <f t="shared" si="25"/>
        <v>0</v>
      </c>
      <c r="AS39" s="69">
        <f t="shared" ca="1" si="25"/>
        <v>0</v>
      </c>
      <c r="AT39" s="69">
        <f t="shared" ca="1" si="25"/>
        <v>0</v>
      </c>
      <c r="AU39" s="69">
        <f t="shared" ca="1" si="25"/>
        <v>0</v>
      </c>
      <c r="AV39" s="69">
        <f t="shared" si="25"/>
        <v>0</v>
      </c>
      <c r="AW39" s="69">
        <f t="shared" ca="1" si="34"/>
        <v>0</v>
      </c>
      <c r="AX39" s="69">
        <f t="shared" ca="1" si="35"/>
        <v>0</v>
      </c>
      <c r="AY39" s="69">
        <f t="shared" ca="1" si="36"/>
        <v>0</v>
      </c>
      <c r="AZ39" s="69">
        <f ca="1">$AO39*IF(Auswahllisten!$G$150,AZ$25+AZ$25*AZ$13*$AN39,AZ$25*(1+AZ$13)^$AN39)</f>
        <v>0</v>
      </c>
      <c r="BA39" s="69">
        <f ca="1">$AO39*IF(Auswahllisten!$G$150,BA$25+BA$25*BA$13*$AN39,BA$25*(1+BA$13)^$AN39)</f>
        <v>0</v>
      </c>
      <c r="BB39" s="69">
        <f ca="1">$AO39*IF(Auswahllisten!$G$150,BB$25+BB$25*BB$13*$AN39,BB$25*(1+BB$13)^$AN39)</f>
        <v>0</v>
      </c>
      <c r="BC39" s="69">
        <f ca="1">$AO39*IF(Auswahllisten!$G$150,BC$25+BC$25*BC$13*$AN39,BC$25*(1+BC$13)^$AN39)</f>
        <v>0</v>
      </c>
      <c r="BD39" s="69">
        <f t="shared" ca="1" si="37"/>
        <v>0</v>
      </c>
      <c r="BE39" s="69">
        <f t="shared" ca="1" si="38"/>
        <v>0</v>
      </c>
      <c r="BF39" s="69">
        <f t="shared" ca="1" si="39"/>
        <v>0</v>
      </c>
      <c r="BG39" s="69">
        <f t="shared" ca="1" si="40"/>
        <v>0</v>
      </c>
      <c r="BI39" s="69">
        <f t="shared" ca="1" si="26"/>
        <v>0</v>
      </c>
      <c r="BJ39" s="69">
        <f t="shared" ca="1" si="26"/>
        <v>0</v>
      </c>
      <c r="BK39" s="69">
        <f t="shared" si="26"/>
        <v>0</v>
      </c>
      <c r="BL39" s="69">
        <f t="shared" ca="1" si="26"/>
        <v>0</v>
      </c>
      <c r="BM39" s="69">
        <f t="shared" ca="1" si="26"/>
        <v>0</v>
      </c>
      <c r="BN39" s="69">
        <f t="shared" ca="1" si="26"/>
        <v>0</v>
      </c>
      <c r="BO39" s="69">
        <f t="shared" si="26"/>
        <v>0</v>
      </c>
      <c r="BP39" s="69">
        <f t="shared" ca="1" si="27"/>
        <v>0</v>
      </c>
      <c r="BQ39" s="69">
        <f t="shared" ca="1" si="41"/>
        <v>0</v>
      </c>
      <c r="BR39" s="69">
        <f t="shared" ca="1" si="28"/>
        <v>0</v>
      </c>
      <c r="BS39" s="69">
        <f ca="1">$AO39*IF(Auswahllisten!$G$150,BS$25+BS$25*BS$13*$AN39,BS$25*(1+BS$13)^$AN39)</f>
        <v>0</v>
      </c>
      <c r="BT39" s="69">
        <f ca="1">$AO39*IF(Auswahllisten!$G$150,BT$25+BT$25*BT$13*$AN39,BT$25*(1+BT$13)^$AN39)</f>
        <v>0</v>
      </c>
      <c r="BU39" s="69">
        <f ca="1">$AO39*IF(Auswahllisten!$G$150,BU$25+BU$25*BU$13*$AN39,BU$25*(1+BU$13)^$AN39)</f>
        <v>0</v>
      </c>
      <c r="BV39" s="69">
        <f ca="1">$AO39*IF(Auswahllisten!$G$150,BV$25+BV$25*BV$13*$AN39,BV$25*(1+BV$13)^$AN39)</f>
        <v>0</v>
      </c>
      <c r="BW39" s="69">
        <f t="shared" ca="1" si="42"/>
        <v>0</v>
      </c>
      <c r="BX39" s="69">
        <f t="shared" ca="1" si="43"/>
        <v>0</v>
      </c>
      <c r="BY39" s="69">
        <f t="shared" ca="1" si="29"/>
        <v>0</v>
      </c>
      <c r="BZ39" s="69">
        <f t="shared" ca="1" si="30"/>
        <v>0</v>
      </c>
    </row>
    <row r="40" spans="1:78">
      <c r="A40" s="125"/>
      <c r="B40" s="64"/>
      <c r="C40" s="64"/>
      <c r="D40" s="69"/>
      <c r="E40" s="69"/>
      <c r="G40" s="69"/>
      <c r="H40" s="69"/>
      <c r="M40" s="69"/>
      <c r="P40" s="69"/>
      <c r="R40" s="69"/>
      <c r="S40" s="69"/>
      <c r="U40" s="69"/>
      <c r="V40" s="69"/>
      <c r="X40" s="69"/>
      <c r="AA40" s="1">
        <v>26</v>
      </c>
      <c r="AB40" s="1">
        <v>-2</v>
      </c>
      <c r="AC40" s="35"/>
      <c r="AD40" s="35"/>
      <c r="AE40" s="83" t="s">
        <v>948</v>
      </c>
      <c r="AF40" s="26">
        <f ca="1">AF29</f>
        <v>0</v>
      </c>
      <c r="AG40" s="26"/>
      <c r="AH40" s="26">
        <f t="shared" ca="1" si="58"/>
        <v>0</v>
      </c>
      <c r="AI40" s="26">
        <f>AI29</f>
        <v>0</v>
      </c>
      <c r="AJ40" s="26"/>
      <c r="AK40" s="26">
        <f t="shared" si="59"/>
        <v>0</v>
      </c>
      <c r="AN40" s="1">
        <v>15</v>
      </c>
      <c r="AO40" s="1">
        <f t="shared" si="24"/>
        <v>1</v>
      </c>
      <c r="AP40" s="69">
        <f t="shared" ca="1" si="25"/>
        <v>0</v>
      </c>
      <c r="AQ40" s="69">
        <f t="shared" ca="1" si="25"/>
        <v>0</v>
      </c>
      <c r="AR40" s="69">
        <f t="shared" si="25"/>
        <v>0</v>
      </c>
      <c r="AS40" s="69">
        <f t="shared" ca="1" si="25"/>
        <v>0</v>
      </c>
      <c r="AT40" s="69">
        <f t="shared" ca="1" si="25"/>
        <v>0</v>
      </c>
      <c r="AU40" s="69">
        <f t="shared" ca="1" si="25"/>
        <v>0</v>
      </c>
      <c r="AV40" s="69">
        <f t="shared" si="25"/>
        <v>0</v>
      </c>
      <c r="AW40" s="69">
        <f t="shared" ca="1" si="34"/>
        <v>0</v>
      </c>
      <c r="AX40" s="69">
        <f t="shared" ca="1" si="35"/>
        <v>0</v>
      </c>
      <c r="AY40" s="69">
        <f t="shared" ca="1" si="36"/>
        <v>0</v>
      </c>
      <c r="AZ40" s="69">
        <f ca="1">$AO40*IF(Auswahllisten!$G$150,AZ$25+AZ$25*AZ$13*$AN40,AZ$25*(1+AZ$13)^$AN40)</f>
        <v>0</v>
      </c>
      <c r="BA40" s="69">
        <f ca="1">$AO40*IF(Auswahllisten!$G$150,BA$25+BA$25*BA$13*$AN40,BA$25*(1+BA$13)^$AN40)</f>
        <v>0</v>
      </c>
      <c r="BB40" s="69">
        <f ca="1">$AO40*IF(Auswahllisten!$G$150,BB$25+BB$25*BB$13*$AN40,BB$25*(1+BB$13)^$AN40)</f>
        <v>0</v>
      </c>
      <c r="BC40" s="69">
        <f ca="1">$AO40*IF(Auswahllisten!$G$150,BC$25+BC$25*BC$13*$AN40,BC$25*(1+BC$13)^$AN40)</f>
        <v>0</v>
      </c>
      <c r="BD40" s="69">
        <f t="shared" ca="1" si="37"/>
        <v>0</v>
      </c>
      <c r="BE40" s="69">
        <f t="shared" ca="1" si="38"/>
        <v>0</v>
      </c>
      <c r="BF40" s="69">
        <f t="shared" ca="1" si="39"/>
        <v>0</v>
      </c>
      <c r="BG40" s="69">
        <f t="shared" ca="1" si="40"/>
        <v>0</v>
      </c>
      <c r="BI40" s="69">
        <f t="shared" ca="1" si="26"/>
        <v>0</v>
      </c>
      <c r="BJ40" s="69">
        <f t="shared" ca="1" si="26"/>
        <v>0</v>
      </c>
      <c r="BK40" s="69">
        <f t="shared" si="26"/>
        <v>0</v>
      </c>
      <c r="BL40" s="69">
        <f t="shared" ca="1" si="26"/>
        <v>0</v>
      </c>
      <c r="BM40" s="69">
        <f t="shared" ca="1" si="26"/>
        <v>0</v>
      </c>
      <c r="BN40" s="69">
        <f t="shared" ca="1" si="26"/>
        <v>0</v>
      </c>
      <c r="BO40" s="69">
        <f t="shared" si="26"/>
        <v>0</v>
      </c>
      <c r="BP40" s="69">
        <f t="shared" ca="1" si="27"/>
        <v>0</v>
      </c>
      <c r="BQ40" s="69">
        <f t="shared" ca="1" si="41"/>
        <v>0</v>
      </c>
      <c r="BR40" s="69">
        <f t="shared" ca="1" si="28"/>
        <v>0</v>
      </c>
      <c r="BS40" s="69">
        <f ca="1">$AO40*IF(Auswahllisten!$G$150,BS$25+BS$25*BS$13*$AN40,BS$25*(1+BS$13)^$AN40)</f>
        <v>0</v>
      </c>
      <c r="BT40" s="69">
        <f ca="1">$AO40*IF(Auswahllisten!$G$150,BT$25+BT$25*BT$13*$AN40,BT$25*(1+BT$13)^$AN40)</f>
        <v>0</v>
      </c>
      <c r="BU40" s="69">
        <f ca="1">$AO40*IF(Auswahllisten!$G$150,BU$25+BU$25*BU$13*$AN40,BU$25*(1+BU$13)^$AN40)</f>
        <v>0</v>
      </c>
      <c r="BV40" s="69">
        <f ca="1">$AO40*IF(Auswahllisten!$G$150,BV$25+BV$25*BV$13*$AN40,BV$25*(1+BV$13)^$AN40)</f>
        <v>0</v>
      </c>
      <c r="BW40" s="69">
        <f t="shared" ca="1" si="42"/>
        <v>0</v>
      </c>
      <c r="BX40" s="69">
        <f t="shared" ca="1" si="43"/>
        <v>0</v>
      </c>
      <c r="BY40" s="69">
        <f t="shared" ca="1" si="29"/>
        <v>0</v>
      </c>
      <c r="BZ40" s="69">
        <f t="shared" ca="1" si="30"/>
        <v>0</v>
      </c>
    </row>
    <row r="41" spans="1:78">
      <c r="A41" s="125" t="s">
        <v>993</v>
      </c>
      <c r="B41" s="125" t="s">
        <v>15</v>
      </c>
      <c r="C41" s="125"/>
      <c r="D41" s="69"/>
      <c r="E41" s="69"/>
      <c r="G41" s="69"/>
      <c r="H41" s="69"/>
      <c r="L41" s="155">
        <v>4</v>
      </c>
      <c r="M41" s="69"/>
      <c r="P41" s="69"/>
      <c r="R41" s="69"/>
      <c r="S41" s="69"/>
      <c r="U41" s="69"/>
      <c r="V41" s="69"/>
      <c r="X41" s="69"/>
      <c r="AA41" s="1">
        <v>27</v>
      </c>
      <c r="AB41" s="1">
        <v>-2</v>
      </c>
      <c r="AC41" s="35"/>
      <c r="AD41" s="35"/>
      <c r="AE41" s="83" t="s">
        <v>677</v>
      </c>
      <c r="AF41" s="26">
        <f ca="1">AF20-AG20</f>
        <v>0</v>
      </c>
      <c r="AG41" s="26"/>
      <c r="AH41" s="26">
        <f ca="1">AH20</f>
        <v>0</v>
      </c>
      <c r="AI41" s="26">
        <f>AI20-AJ20</f>
        <v>0</v>
      </c>
      <c r="AJ41" s="26"/>
      <c r="AK41" s="26">
        <f>AK20</f>
        <v>0</v>
      </c>
      <c r="AN41" s="1">
        <v>16</v>
      </c>
      <c r="AO41" s="1">
        <f t="shared" si="24"/>
        <v>1</v>
      </c>
      <c r="AP41" s="69">
        <f t="shared" ca="1" si="25"/>
        <v>0</v>
      </c>
      <c r="AQ41" s="69">
        <f t="shared" ca="1" si="25"/>
        <v>0</v>
      </c>
      <c r="AR41" s="69">
        <f t="shared" si="25"/>
        <v>0</v>
      </c>
      <c r="AS41" s="69">
        <f t="shared" ca="1" si="25"/>
        <v>0</v>
      </c>
      <c r="AT41" s="69">
        <f t="shared" ca="1" si="25"/>
        <v>0</v>
      </c>
      <c r="AU41" s="69">
        <f t="shared" ca="1" si="25"/>
        <v>0</v>
      </c>
      <c r="AV41" s="69">
        <f t="shared" si="25"/>
        <v>0</v>
      </c>
      <c r="AW41" s="69">
        <f t="shared" ca="1" si="34"/>
        <v>0</v>
      </c>
      <c r="AX41" s="69">
        <f t="shared" ca="1" si="35"/>
        <v>0</v>
      </c>
      <c r="AY41" s="69">
        <f t="shared" ca="1" si="36"/>
        <v>0</v>
      </c>
      <c r="AZ41" s="69">
        <f ca="1">$AO41*IF(Auswahllisten!$G$150,AZ$25+AZ$25*AZ$13*$AN41,AZ$25*(1+AZ$13)^$AN41)</f>
        <v>0</v>
      </c>
      <c r="BA41" s="69">
        <f ca="1">$AO41*IF(Auswahllisten!$G$150,BA$25+BA$25*BA$13*$AN41,BA$25*(1+BA$13)^$AN41)</f>
        <v>0</v>
      </c>
      <c r="BB41" s="69">
        <f ca="1">$AO41*IF(Auswahllisten!$G$150,BB$25+BB$25*BB$13*$AN41,BB$25*(1+BB$13)^$AN41)</f>
        <v>0</v>
      </c>
      <c r="BC41" s="69">
        <f ca="1">$AO41*IF(Auswahllisten!$G$150,BC$25+BC$25*BC$13*$AN41,BC$25*(1+BC$13)^$AN41)</f>
        <v>0</v>
      </c>
      <c r="BD41" s="69">
        <f t="shared" ca="1" si="37"/>
        <v>0</v>
      </c>
      <c r="BE41" s="69">
        <f t="shared" ca="1" si="38"/>
        <v>0</v>
      </c>
      <c r="BF41" s="69">
        <f t="shared" ca="1" si="39"/>
        <v>0</v>
      </c>
      <c r="BG41" s="69">
        <f t="shared" ca="1" si="40"/>
        <v>0</v>
      </c>
      <c r="BI41" s="69">
        <f t="shared" ca="1" si="26"/>
        <v>0</v>
      </c>
      <c r="BJ41" s="69">
        <f t="shared" ca="1" si="26"/>
        <v>0</v>
      </c>
      <c r="BK41" s="69">
        <f t="shared" si="26"/>
        <v>0</v>
      </c>
      <c r="BL41" s="69">
        <f t="shared" ca="1" si="26"/>
        <v>0</v>
      </c>
      <c r="BM41" s="69">
        <f t="shared" ca="1" si="26"/>
        <v>0</v>
      </c>
      <c r="BN41" s="69">
        <f t="shared" ca="1" si="26"/>
        <v>0</v>
      </c>
      <c r="BO41" s="69">
        <f t="shared" si="26"/>
        <v>0</v>
      </c>
      <c r="BP41" s="69">
        <f t="shared" ca="1" si="27"/>
        <v>0</v>
      </c>
      <c r="BQ41" s="69">
        <f t="shared" ca="1" si="41"/>
        <v>0</v>
      </c>
      <c r="BR41" s="69">
        <f t="shared" ca="1" si="28"/>
        <v>0</v>
      </c>
      <c r="BS41" s="69">
        <f ca="1">$AO41*IF(Auswahllisten!$G$150,BS$25+BS$25*BS$13*$AN41,BS$25*(1+BS$13)^$AN41)</f>
        <v>0</v>
      </c>
      <c r="BT41" s="69">
        <f ca="1">$AO41*IF(Auswahllisten!$G$150,BT$25+BT$25*BT$13*$AN41,BT$25*(1+BT$13)^$AN41)</f>
        <v>0</v>
      </c>
      <c r="BU41" s="69">
        <f ca="1">$AO41*IF(Auswahllisten!$G$150,BU$25+BU$25*BU$13*$AN41,BU$25*(1+BU$13)^$AN41)</f>
        <v>0</v>
      </c>
      <c r="BV41" s="69">
        <f ca="1">$AO41*IF(Auswahllisten!$G$150,BV$25+BV$25*BV$13*$AN41,BV$25*(1+BV$13)^$AN41)</f>
        <v>0</v>
      </c>
      <c r="BW41" s="69">
        <f t="shared" ca="1" si="42"/>
        <v>0</v>
      </c>
      <c r="BX41" s="69">
        <f t="shared" ca="1" si="43"/>
        <v>0</v>
      </c>
      <c r="BY41" s="69">
        <f t="shared" ca="1" si="29"/>
        <v>0</v>
      </c>
      <c r="BZ41" s="69">
        <f t="shared" ca="1" si="30"/>
        <v>0</v>
      </c>
    </row>
    <row r="42" spans="1:78">
      <c r="A42" s="304" t="s">
        <v>1217</v>
      </c>
      <c r="B42" s="131" t="s">
        <v>1242</v>
      </c>
      <c r="C42" s="131" t="s">
        <v>994</v>
      </c>
      <c r="D42" s="162" t="str" cm="1">
        <f t="array" aca="1" ref="D42" ca="1">INDIRECT("Vergleich!"&amp;$G$2&amp;Z42)</f>
        <v>mittel</v>
      </c>
      <c r="E42" s="162" cm="1">
        <f t="array" aca="1" ref="E42" ca="1">INDIRECT("Investition_gewählt!"&amp;$I$5&amp;AA42)</f>
        <v>0</v>
      </c>
      <c r="F42" s="25" cm="1">
        <f t="array" aca="1" ref="F42" ca="1">IF($C$5=0,0,INDEX(Faktoren!E28:GQ28,1,VLOOKUP($F$5,$L$2:$O$14,4,FALSE)+$C$9*5+VLOOKUP(D42,Auswahllisten!$E$25:$F$29,2,FALSE)))</f>
        <v>0</v>
      </c>
      <c r="G42" s="162">
        <f ca="1">E42*F42</f>
        <v>0</v>
      </c>
      <c r="H42" s="162" cm="1">
        <f t="array" aca="1" ref="H42" ca="1">INDIRECT("Investition_gewählt!"&amp;$I$6&amp;AA42)</f>
        <v>0</v>
      </c>
      <c r="I42" s="25" cm="1">
        <f t="array" aca="1" ref="I42" ca="1">IF($C$5=0,0,INDEX(Faktoren!E28:GQ28,1,VLOOKUP($F$6,$L$2:$O$14,4,FALSE)+$C$9*5+VLOOKUP(D42,Auswahllisten!$E$25:$F$29,2,FALSE)))</f>
        <v>0</v>
      </c>
      <c r="J42" s="25">
        <f ca="1">H42*I42</f>
        <v>0</v>
      </c>
      <c r="K42" s="25">
        <f t="shared" ref="K42:K48" ca="1" si="60">IF($C$5=0,0,G42+(J42-G42)*($C$6-$F$5)/($F$6-$F$5))</f>
        <v>0</v>
      </c>
      <c r="L42" s="25" t="b">
        <f t="shared" ref="L42:L48" ca="1" si="61">($C$5=$L$41)</f>
        <v>0</v>
      </c>
      <c r="M42" s="162">
        <f t="shared" ref="M42:M48" ca="1" si="62">IFERROR(ROUND(K42*L42,AB42),0)</f>
        <v>0</v>
      </c>
      <c r="O42" s="25" t="str" cm="1">
        <f t="array" aca="1" ref="O42" ca="1">INDIRECT("Vergleich!"&amp;$Y$2&amp;Z42)</f>
        <v>gering</v>
      </c>
      <c r="P42" s="162" cm="1">
        <f t="array" aca="1" ref="P42" ca="1">INDIRECT("Investition_gewählt!"&amp;$AA$5&amp;AA42)</f>
        <v>0</v>
      </c>
      <c r="Q42" s="25" cm="1">
        <f t="array" aca="1" ref="Q42" ca="1">IF($U$5=0,0,INDEX(Faktoren!E28:GQ28,1,VLOOKUP($X$5,$L$2:$O$14,4,FALSE)+$U$9*5+VLOOKUP(O42,Auswahllisten!$E$25:$F$29,2,FALSE)))</f>
        <v>0</v>
      </c>
      <c r="R42" s="162">
        <f t="shared" ref="R42:R48" ca="1" si="63">P42*Q42</f>
        <v>0</v>
      </c>
      <c r="S42" s="162" cm="1">
        <f t="array" aca="1" ref="S42" ca="1">INDIRECT("Investition_gewählt!"&amp;$AA$6&amp;AA42)</f>
        <v>0</v>
      </c>
      <c r="T42" s="25" cm="1">
        <f t="array" aca="1" ref="T42" ca="1">IF($U$5=0,0,INDEX(Faktoren!E28:QG28,1,VLOOKUP($X$6,$L$3:$O$14,4,FALSE)+$U$9*5+VLOOKUP(O42,Auswahllisten!$E$25:$F$29,2,FALSE)))</f>
        <v>0</v>
      </c>
      <c r="U42" s="162">
        <f t="shared" ref="U42:U48" ca="1" si="64">S42*T42</f>
        <v>0</v>
      </c>
      <c r="V42" s="162">
        <f t="shared" ca="1" si="14"/>
        <v>0</v>
      </c>
      <c r="W42" s="25" t="b">
        <f ca="1">($U$5=$L$41)</f>
        <v>0</v>
      </c>
      <c r="X42" s="162">
        <f t="shared" ref="X42:X48" ca="1" si="65">IFERROR(ROUND(V42*W42,AB42),0)</f>
        <v>0</v>
      </c>
      <c r="Z42" s="1">
        <v>36</v>
      </c>
      <c r="AA42" s="1">
        <v>28</v>
      </c>
      <c r="AB42" s="1">
        <v>-2</v>
      </c>
      <c r="AD42" s="35"/>
      <c r="AN42" s="1">
        <v>17</v>
      </c>
      <c r="AO42" s="1">
        <f t="shared" si="24"/>
        <v>1</v>
      </c>
      <c r="AP42" s="69">
        <f t="shared" ref="AP42:AV45" ca="1" si="66">IFERROR($AO42*IF(MOD($AN42,AP$20)=0,AP$25,0)*(1+$AS$10)^$AN42*IF($AS$3=$AN42,0,1),0)</f>
        <v>0</v>
      </c>
      <c r="AQ42" s="69">
        <f t="shared" ca="1" si="66"/>
        <v>0</v>
      </c>
      <c r="AR42" s="69">
        <f t="shared" si="66"/>
        <v>0</v>
      </c>
      <c r="AS42" s="69">
        <f t="shared" ca="1" si="66"/>
        <v>0</v>
      </c>
      <c r="AT42" s="69">
        <f t="shared" ca="1" si="66"/>
        <v>0</v>
      </c>
      <c r="AU42" s="69">
        <f t="shared" ca="1" si="66"/>
        <v>0</v>
      </c>
      <c r="AV42" s="69">
        <f t="shared" si="66"/>
        <v>0</v>
      </c>
      <c r="AW42" s="69">
        <f t="shared" ca="1" si="34"/>
        <v>0</v>
      </c>
      <c r="AX42" s="69">
        <f t="shared" ca="1" si="35"/>
        <v>0</v>
      </c>
      <c r="AY42" s="69">
        <f t="shared" ca="1" si="36"/>
        <v>0</v>
      </c>
      <c r="AZ42" s="69">
        <f ca="1">$AO42*IF(Auswahllisten!$G$150,AZ$25+AZ$25*AZ$13*$AN42,AZ$25*(1+AZ$13)^$AN42)</f>
        <v>0</v>
      </c>
      <c r="BA42" s="69">
        <f ca="1">$AO42*IF(Auswahllisten!$G$150,BA$25+BA$25*BA$13*$AN42,BA$25*(1+BA$13)^$AN42)</f>
        <v>0</v>
      </c>
      <c r="BB42" s="69">
        <f ca="1">$AO42*IF(Auswahllisten!$G$150,BB$25+BB$25*BB$13*$AN42,BB$25*(1+BB$13)^$AN42)</f>
        <v>0</v>
      </c>
      <c r="BC42" s="69">
        <f ca="1">$AO42*IF(Auswahllisten!$G$150,BC$25+BC$25*BC$13*$AN42,BC$25*(1+BC$13)^$AN42)</f>
        <v>0</v>
      </c>
      <c r="BD42" s="69">
        <f t="shared" ca="1" si="37"/>
        <v>0</v>
      </c>
      <c r="BE42" s="69">
        <f t="shared" ca="1" si="38"/>
        <v>0</v>
      </c>
      <c r="BF42" s="69">
        <f t="shared" ca="1" si="39"/>
        <v>0</v>
      </c>
      <c r="BG42" s="69">
        <f t="shared" ca="1" si="40"/>
        <v>0</v>
      </c>
      <c r="BI42" s="69">
        <f t="shared" ref="BI42:BO78" ca="1" si="67">IFERROR($AO42*IF(MOD($AN42,BI$20)=0,BI$25,0)*(1+$AS$10)^$AN42*IF($AS$3=$AN42,0,1),0)</f>
        <v>0</v>
      </c>
      <c r="BJ42" s="69">
        <f t="shared" ca="1" si="67"/>
        <v>0</v>
      </c>
      <c r="BK42" s="69">
        <f t="shared" si="67"/>
        <v>0</v>
      </c>
      <c r="BL42" s="69">
        <f t="shared" ca="1" si="67"/>
        <v>0</v>
      </c>
      <c r="BM42" s="69">
        <f t="shared" ca="1" si="67"/>
        <v>0</v>
      </c>
      <c r="BN42" s="69">
        <f t="shared" ca="1" si="67"/>
        <v>0</v>
      </c>
      <c r="BO42" s="69">
        <f t="shared" si="67"/>
        <v>0</v>
      </c>
      <c r="BP42" s="69">
        <f t="shared" ca="1" si="27"/>
        <v>0</v>
      </c>
      <c r="BQ42" s="69">
        <f t="shared" ca="1" si="41"/>
        <v>0</v>
      </c>
      <c r="BR42" s="69">
        <f t="shared" ca="1" si="28"/>
        <v>0</v>
      </c>
      <c r="BS42" s="69">
        <f ca="1">$AO42*IF(Auswahllisten!$G$150,BS$25+BS$25*BS$13*$AN42,BS$25*(1+BS$13)^$AN42)</f>
        <v>0</v>
      </c>
      <c r="BT42" s="69">
        <f ca="1">$AO42*IF(Auswahllisten!$G$150,BT$25+BT$25*BT$13*$AN42,BT$25*(1+BT$13)^$AN42)</f>
        <v>0</v>
      </c>
      <c r="BU42" s="69">
        <f ca="1">$AO42*IF(Auswahllisten!$G$150,BU$25+BU$25*BU$13*$AN42,BU$25*(1+BU$13)^$AN42)</f>
        <v>0</v>
      </c>
      <c r="BV42" s="69">
        <f ca="1">$AO42*IF(Auswahllisten!$G$150,BV$25+BV$25*BV$13*$AN42,BV$25*(1+BV$13)^$AN42)</f>
        <v>0</v>
      </c>
      <c r="BW42" s="69">
        <f t="shared" ca="1" si="42"/>
        <v>0</v>
      </c>
      <c r="BX42" s="69">
        <f t="shared" ca="1" si="43"/>
        <v>0</v>
      </c>
      <c r="BY42" s="69">
        <f t="shared" ca="1" si="29"/>
        <v>0</v>
      </c>
      <c r="BZ42" s="69">
        <f t="shared" ca="1" si="30"/>
        <v>0</v>
      </c>
    </row>
    <row r="43" spans="1:78">
      <c r="A43" s="305" t="s">
        <v>1217</v>
      </c>
      <c r="B43" s="131" t="s">
        <v>1242</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IF($C$5=0,0,INDEX(Faktoren!E29:GQ29,1,VLOOKUP($F$5,$L$2:$O$14,4,FALSE)+$C$9*5+VLOOKUP(D43,Auswahllisten!$E$25:$F$29,2,FALSE)))</f>
        <v>0</v>
      </c>
      <c r="G43" s="26">
        <f t="shared" ref="G43:G48" ca="1" si="68">E43*F43</f>
        <v>0</v>
      </c>
      <c r="H43" s="26" cm="1">
        <f t="array" aca="1" ref="H43" ca="1">INDIRECT("Investition_gewählt!"&amp;$I$6&amp;AA43)</f>
        <v>0</v>
      </c>
      <c r="I43" s="25" cm="1">
        <f t="array" aca="1" ref="I43" ca="1">IF($C$5=0,0,INDEX(Faktoren!E29:GQ29,1,VLOOKUP($F$6,$L$2:$O$14,4,FALSE)+$C$9*5+VLOOKUP(D43,Auswahllisten!$E$25:$F$29,2,FALSE)))</f>
        <v>0</v>
      </c>
      <c r="J43" s="16">
        <f t="shared" ref="J43:J48" ca="1" si="69">H43*I43</f>
        <v>0</v>
      </c>
      <c r="K43" s="16">
        <f t="shared" ca="1" si="60"/>
        <v>0</v>
      </c>
      <c r="L43" s="16" t="b">
        <f t="shared" ca="1" si="61"/>
        <v>0</v>
      </c>
      <c r="M43" s="26">
        <f t="shared" ca="1" si="62"/>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IF($U$5=0,0,INDEX(Faktoren!E29:GQ29,1,VLOOKUP($X$5,$L$2:$O$14,4,FALSE)+$U$9*5+VLOOKUP(O43,Auswahllisten!$E$25:$F$29,2,FALSE)))</f>
        <v>0</v>
      </c>
      <c r="R43" s="26">
        <f t="shared" ca="1" si="63"/>
        <v>0</v>
      </c>
      <c r="S43" s="26" cm="1">
        <f t="array" aca="1" ref="S43" ca="1">INDIRECT("Investition_gewählt!"&amp;$AA$6&amp;AA43)</f>
        <v>0</v>
      </c>
      <c r="T43" s="16" cm="1">
        <f t="array" aca="1" ref="T43" ca="1">IF($U$5=0,0,INDEX(Faktoren!E29:QG29,1,VLOOKUP($X$6,$L$3:$O$14,4,FALSE)+$U$9*5+VLOOKUP(O43,Auswahllisten!$E$25:$F$29,2,FALSE)))</f>
        <v>0</v>
      </c>
      <c r="U43" s="26">
        <f t="shared" ca="1" si="64"/>
        <v>0</v>
      </c>
      <c r="V43" s="26">
        <f t="shared" ca="1" si="14"/>
        <v>0</v>
      </c>
      <c r="W43" s="25" t="b">
        <f t="shared" ref="W43:W48" ca="1" si="70">($U$5=$L$41)</f>
        <v>0</v>
      </c>
      <c r="X43" s="26">
        <f t="shared" ca="1" si="65"/>
        <v>0</v>
      </c>
      <c r="Z43" s="1">
        <v>37</v>
      </c>
      <c r="AA43" s="1">
        <v>29</v>
      </c>
      <c r="AB43" s="1">
        <v>-2</v>
      </c>
      <c r="AD43" s="35"/>
      <c r="AE43" s="83" t="s">
        <v>1259</v>
      </c>
      <c r="AF43" s="69">
        <f ca="1">AF33+AI33</f>
        <v>0</v>
      </c>
      <c r="AN43" s="1">
        <v>18</v>
      </c>
      <c r="AO43" s="1">
        <f t="shared" si="24"/>
        <v>1</v>
      </c>
      <c r="AP43" s="69">
        <f t="shared" ca="1" si="66"/>
        <v>0</v>
      </c>
      <c r="AQ43" s="69">
        <f t="shared" ca="1" si="66"/>
        <v>0</v>
      </c>
      <c r="AR43" s="69">
        <f t="shared" si="66"/>
        <v>0</v>
      </c>
      <c r="AS43" s="69">
        <f t="shared" ca="1" si="66"/>
        <v>0</v>
      </c>
      <c r="AT43" s="69">
        <f t="shared" ca="1" si="66"/>
        <v>0</v>
      </c>
      <c r="AU43" s="69">
        <f t="shared" ca="1" si="66"/>
        <v>0</v>
      </c>
      <c r="AV43" s="69">
        <f t="shared" si="66"/>
        <v>0</v>
      </c>
      <c r="AW43" s="69">
        <f t="shared" ca="1" si="34"/>
        <v>0</v>
      </c>
      <c r="AX43" s="69">
        <f t="shared" ca="1" si="35"/>
        <v>0</v>
      </c>
      <c r="AY43" s="69">
        <f t="shared" ca="1" si="36"/>
        <v>0</v>
      </c>
      <c r="AZ43" s="69">
        <f ca="1">$AO43*IF(Auswahllisten!$G$150,AZ$25+AZ$25*AZ$13*$AN43,AZ$25*(1+AZ$13)^$AN43)</f>
        <v>0</v>
      </c>
      <c r="BA43" s="69">
        <f ca="1">$AO43*IF(Auswahllisten!$G$150,BA$25+BA$25*BA$13*$AN43,BA$25*(1+BA$13)^$AN43)</f>
        <v>0</v>
      </c>
      <c r="BB43" s="69">
        <f ca="1">$AO43*IF(Auswahllisten!$G$150,BB$25+BB$25*BB$13*$AN43,BB$25*(1+BB$13)^$AN43)</f>
        <v>0</v>
      </c>
      <c r="BC43" s="69">
        <f ca="1">$AO43*IF(Auswahllisten!$G$150,BC$25+BC$25*BC$13*$AN43,BC$25*(1+BC$13)^$AN43)</f>
        <v>0</v>
      </c>
      <c r="BD43" s="69">
        <f t="shared" ca="1" si="37"/>
        <v>0</v>
      </c>
      <c r="BE43" s="69">
        <f t="shared" ca="1" si="38"/>
        <v>0</v>
      </c>
      <c r="BF43" s="69">
        <f t="shared" ca="1" si="39"/>
        <v>0</v>
      </c>
      <c r="BG43" s="69">
        <f t="shared" ca="1" si="40"/>
        <v>0</v>
      </c>
      <c r="BI43" s="69">
        <f t="shared" ca="1" si="67"/>
        <v>0</v>
      </c>
      <c r="BJ43" s="69">
        <f t="shared" ca="1" si="67"/>
        <v>0</v>
      </c>
      <c r="BK43" s="69">
        <f t="shared" si="67"/>
        <v>0</v>
      </c>
      <c r="BL43" s="69">
        <f t="shared" ca="1" si="67"/>
        <v>0</v>
      </c>
      <c r="BM43" s="69">
        <f t="shared" ca="1" si="67"/>
        <v>0</v>
      </c>
      <c r="BN43" s="69">
        <f t="shared" ca="1" si="67"/>
        <v>0</v>
      </c>
      <c r="BO43" s="69">
        <f t="shared" si="67"/>
        <v>0</v>
      </c>
      <c r="BP43" s="69">
        <f t="shared" ca="1" si="27"/>
        <v>0</v>
      </c>
      <c r="BQ43" s="69">
        <f t="shared" ca="1" si="41"/>
        <v>0</v>
      </c>
      <c r="BR43" s="69">
        <f t="shared" ca="1" si="28"/>
        <v>0</v>
      </c>
      <c r="BS43" s="69">
        <f ca="1">$AO43*IF(Auswahllisten!$G$150,BS$25+BS$25*BS$13*$AN43,BS$25*(1+BS$13)^$AN43)</f>
        <v>0</v>
      </c>
      <c r="BT43" s="69">
        <f ca="1">$AO43*IF(Auswahllisten!$G$150,BT$25+BT$25*BT$13*$AN43,BT$25*(1+BT$13)^$AN43)</f>
        <v>0</v>
      </c>
      <c r="BU43" s="69">
        <f ca="1">$AO43*IF(Auswahllisten!$G$150,BU$25+BU$25*BU$13*$AN43,BU$25*(1+BU$13)^$AN43)</f>
        <v>0</v>
      </c>
      <c r="BV43" s="69">
        <f ca="1">$AO43*IF(Auswahllisten!$G$150,BV$25+BV$25*BV$13*$AN43,BV$25*(1+BV$13)^$AN43)</f>
        <v>0</v>
      </c>
      <c r="BW43" s="69">
        <f t="shared" ca="1" si="42"/>
        <v>0</v>
      </c>
      <c r="BX43" s="69">
        <f t="shared" ca="1" si="43"/>
        <v>0</v>
      </c>
      <c r="BY43" s="69">
        <f t="shared" ca="1" si="29"/>
        <v>0</v>
      </c>
      <c r="BZ43" s="69">
        <f t="shared" ca="1" si="30"/>
        <v>0</v>
      </c>
    </row>
    <row r="44" spans="1:78">
      <c r="A44" s="305" t="s">
        <v>1215</v>
      </c>
      <c r="B44" s="126" t="s">
        <v>303</v>
      </c>
      <c r="C44" s="126" t="s">
        <v>995</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IF($C$5=0,0,INDEX(Faktoren!E30:GQ30,1,VLOOKUP($F$5,$L$2:$O$14,4,FALSE)+$C$9*5+VLOOKUP(D44,Auswahllisten!$E$25:$F$29,2,FALSE)))</f>
        <v>0</v>
      </c>
      <c r="G44" s="26">
        <f t="shared" ca="1" si="68"/>
        <v>0</v>
      </c>
      <c r="H44" s="26" cm="1">
        <f t="array" aca="1" ref="H44" ca="1">INDIRECT("Investition_gewählt!"&amp;$I$6&amp;AA44)</f>
        <v>0</v>
      </c>
      <c r="I44" s="25" cm="1">
        <f t="array" aca="1" ref="I44" ca="1">IF($C$5=0,0,INDEX(Faktoren!E30:GQ30,1,VLOOKUP($F$6,$L$2:$O$14,4,FALSE)+$C$9*5+VLOOKUP(D44,Auswahllisten!$E$25:$F$29,2,FALSE)))</f>
        <v>0</v>
      </c>
      <c r="J44" s="16">
        <f t="shared" ca="1" si="69"/>
        <v>0</v>
      </c>
      <c r="K44" s="16">
        <f t="shared" ca="1" si="60"/>
        <v>0</v>
      </c>
      <c r="L44" s="16" t="b">
        <f t="shared" ca="1" si="61"/>
        <v>0</v>
      </c>
      <c r="M44" s="26">
        <f t="shared" ca="1" si="62"/>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IF($U$5=0,0,INDEX(Faktoren!E30:GQ30,1,VLOOKUP($X$5,$L$2:$O$14,4,FALSE)+$U$9*5+VLOOKUP(O44,Auswahllisten!$E$25:$F$29,2,FALSE)))</f>
        <v>0</v>
      </c>
      <c r="R44" s="26">
        <f t="shared" ca="1" si="63"/>
        <v>0</v>
      </c>
      <c r="S44" s="26" cm="1">
        <f t="array" aca="1" ref="S44" ca="1">INDIRECT("Investition_gewählt!"&amp;$AA$6&amp;AA44)</f>
        <v>0</v>
      </c>
      <c r="T44" s="16" cm="1">
        <f t="array" aca="1" ref="T44" ca="1">IF($U$5=0,0,INDEX(Faktoren!E30:QG30,1,VLOOKUP($X$6,$L$3:$O$14,4,FALSE)+$U$9*5+VLOOKUP(O44,Auswahllisten!$E$25:$F$29,2,FALSE)))</f>
        <v>0</v>
      </c>
      <c r="U44" s="26">
        <f t="shared" ca="1" si="64"/>
        <v>0</v>
      </c>
      <c r="V44" s="26">
        <f t="shared" ca="1" si="14"/>
        <v>0</v>
      </c>
      <c r="W44" s="25" t="b">
        <f t="shared" ca="1" si="70"/>
        <v>0</v>
      </c>
      <c r="X44" s="26">
        <f t="shared" ca="1" si="65"/>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24"/>
        <v>1</v>
      </c>
      <c r="AP44" s="69">
        <f t="shared" ca="1" si="66"/>
        <v>0</v>
      </c>
      <c r="AQ44" s="69">
        <f t="shared" ca="1" si="66"/>
        <v>0</v>
      </c>
      <c r="AR44" s="69">
        <f t="shared" si="66"/>
        <v>0</v>
      </c>
      <c r="AS44" s="69">
        <f t="shared" ca="1" si="66"/>
        <v>0</v>
      </c>
      <c r="AT44" s="69">
        <f t="shared" ca="1" si="66"/>
        <v>0</v>
      </c>
      <c r="AU44" s="69">
        <f t="shared" ca="1" si="66"/>
        <v>0</v>
      </c>
      <c r="AV44" s="69">
        <f t="shared" si="66"/>
        <v>0</v>
      </c>
      <c r="AW44" s="69">
        <f t="shared" ca="1" si="34"/>
        <v>0</v>
      </c>
      <c r="AX44" s="69">
        <f t="shared" ca="1" si="35"/>
        <v>0</v>
      </c>
      <c r="AY44" s="69">
        <f t="shared" ca="1" si="36"/>
        <v>0</v>
      </c>
      <c r="AZ44" s="69">
        <f ca="1">$AO44*IF(Auswahllisten!$G$150,AZ$25+AZ$25*AZ$13*$AN44,AZ$25*(1+AZ$13)^$AN44)</f>
        <v>0</v>
      </c>
      <c r="BA44" s="69">
        <f ca="1">$AO44*IF(Auswahllisten!$G$150,BA$25+BA$25*BA$13*$AN44,BA$25*(1+BA$13)^$AN44)</f>
        <v>0</v>
      </c>
      <c r="BB44" s="69">
        <f ca="1">$AO44*IF(Auswahllisten!$G$150,BB$25+BB$25*BB$13*$AN44,BB$25*(1+BB$13)^$AN44)</f>
        <v>0</v>
      </c>
      <c r="BC44" s="69">
        <f ca="1">$AO44*IF(Auswahllisten!$G$150,BC$25+BC$25*BC$13*$AN44,BC$25*(1+BC$13)^$AN44)</f>
        <v>0</v>
      </c>
      <c r="BD44" s="69">
        <f t="shared" ca="1" si="37"/>
        <v>0</v>
      </c>
      <c r="BE44" s="69">
        <f t="shared" ca="1" si="38"/>
        <v>0</v>
      </c>
      <c r="BF44" s="69">
        <f t="shared" ca="1" si="39"/>
        <v>0</v>
      </c>
      <c r="BG44" s="69">
        <f t="shared" ca="1" si="40"/>
        <v>0</v>
      </c>
      <c r="BI44" s="69">
        <f t="shared" ca="1" si="67"/>
        <v>0</v>
      </c>
      <c r="BJ44" s="69">
        <f t="shared" ca="1" si="67"/>
        <v>0</v>
      </c>
      <c r="BK44" s="69">
        <f t="shared" si="67"/>
        <v>0</v>
      </c>
      <c r="BL44" s="69">
        <f t="shared" ca="1" si="67"/>
        <v>0</v>
      </c>
      <c r="BM44" s="69">
        <f t="shared" ca="1" si="67"/>
        <v>0</v>
      </c>
      <c r="BN44" s="69">
        <f t="shared" ca="1" si="67"/>
        <v>0</v>
      </c>
      <c r="BO44" s="69">
        <f t="shared" si="67"/>
        <v>0</v>
      </c>
      <c r="BP44" s="69">
        <f t="shared" ca="1" si="27"/>
        <v>0</v>
      </c>
      <c r="BQ44" s="69">
        <f t="shared" ca="1" si="41"/>
        <v>0</v>
      </c>
      <c r="BR44" s="69">
        <f t="shared" ca="1" si="28"/>
        <v>0</v>
      </c>
      <c r="BS44" s="69">
        <f ca="1">$AO44*IF(Auswahllisten!$G$150,BS$25+BS$25*BS$13*$AN44,BS$25*(1+BS$13)^$AN44)</f>
        <v>0</v>
      </c>
      <c r="BT44" s="69">
        <f ca="1">$AO44*IF(Auswahllisten!$G$150,BT$25+BT$25*BT$13*$AN44,BT$25*(1+BT$13)^$AN44)</f>
        <v>0</v>
      </c>
      <c r="BU44" s="69">
        <f ca="1">$AO44*IF(Auswahllisten!$G$150,BU$25+BU$25*BU$13*$AN44,BU$25*(1+BU$13)^$AN44)</f>
        <v>0</v>
      </c>
      <c r="BV44" s="69">
        <f ca="1">$AO44*IF(Auswahllisten!$G$150,BV$25+BV$25*BV$13*$AN44,BV$25*(1+BV$13)^$AN44)</f>
        <v>0</v>
      </c>
      <c r="BW44" s="69">
        <f t="shared" ca="1" si="42"/>
        <v>0</v>
      </c>
      <c r="BX44" s="69">
        <f t="shared" ca="1" si="43"/>
        <v>0</v>
      </c>
      <c r="BY44" s="69">
        <f t="shared" ca="1" si="29"/>
        <v>0</v>
      </c>
      <c r="BZ44" s="69">
        <f t="shared" ca="1" si="30"/>
        <v>0</v>
      </c>
    </row>
    <row r="45" spans="1:78">
      <c r="A45" s="305" t="s">
        <v>1215</v>
      </c>
      <c r="B45" s="126" t="s">
        <v>303</v>
      </c>
      <c r="C45" s="126" t="s">
        <v>965</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IF($C$5=0,0,INDEX(Faktoren!E31:GQ31,1,VLOOKUP($F$5,$L$2:$O$14,4,FALSE)+$C$9*5+VLOOKUP(D45,Auswahllisten!$E$25:$F$29,2,FALSE)))</f>
        <v>0</v>
      </c>
      <c r="G45" s="26">
        <f t="shared" ca="1" si="68"/>
        <v>0</v>
      </c>
      <c r="H45" s="26" cm="1">
        <f t="array" aca="1" ref="H45" ca="1">INDIRECT("Investition_gewählt!"&amp;$I$6&amp;AA45)</f>
        <v>0</v>
      </c>
      <c r="I45" s="25" cm="1">
        <f t="array" aca="1" ref="I45" ca="1">IF($C$5=0,0,INDEX(Faktoren!E31:GQ31,1,VLOOKUP($F$6,$L$2:$O$14,4,FALSE)+$C$9*5+VLOOKUP(D45,Auswahllisten!$E$25:$F$29,2,FALSE)))</f>
        <v>0</v>
      </c>
      <c r="J45" s="16">
        <f t="shared" ca="1" si="69"/>
        <v>0</v>
      </c>
      <c r="K45" s="16">
        <f t="shared" ca="1" si="60"/>
        <v>0</v>
      </c>
      <c r="L45" s="16" t="b">
        <f t="shared" ca="1" si="61"/>
        <v>0</v>
      </c>
      <c r="M45" s="26">
        <f t="shared" ca="1" si="62"/>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IF($U$5=0,0,INDEX(Faktoren!E31:GQ31,1,VLOOKUP($X$5,$L$2:$O$14,4,FALSE)+$U$9*5+VLOOKUP(O45,Auswahllisten!$E$25:$F$29,2,FALSE)))</f>
        <v>0</v>
      </c>
      <c r="R45" s="26">
        <f t="shared" ca="1" si="63"/>
        <v>0</v>
      </c>
      <c r="S45" s="26" cm="1">
        <f t="array" aca="1" ref="S45" ca="1">INDIRECT("Investition_gewählt!"&amp;$AA$6&amp;AA45)</f>
        <v>0</v>
      </c>
      <c r="T45" s="16" cm="1">
        <f t="array" aca="1" ref="T45" ca="1">IF($U$5=0,0,INDEX(Faktoren!E31:QG31,1,VLOOKUP($X$6,$L$3:$O$14,4,FALSE)+$U$9*5+VLOOKUP(O45,Auswahllisten!$E$25:$F$29,2,FALSE)))</f>
        <v>0</v>
      </c>
      <c r="U45" s="26">
        <f t="shared" ca="1" si="64"/>
        <v>0</v>
      </c>
      <c r="V45" s="26">
        <f t="shared" ca="1" si="14"/>
        <v>0</v>
      </c>
      <c r="W45" s="25" t="b">
        <f t="shared" ca="1" si="70"/>
        <v>0</v>
      </c>
      <c r="X45" s="26">
        <f t="shared" ca="1" si="65"/>
        <v>0</v>
      </c>
      <c r="Z45" s="1">
        <v>42</v>
      </c>
      <c r="AA45" s="1">
        <v>31</v>
      </c>
      <c r="AB45" s="1">
        <v>-2</v>
      </c>
      <c r="AF45" s="69">
        <f ca="1">AF44+AI44</f>
        <v>0</v>
      </c>
      <c r="AG45" s="69"/>
      <c r="AH45" s="69"/>
      <c r="AI45" s="69"/>
      <c r="AJ45" s="69"/>
      <c r="AN45" s="1">
        <v>20</v>
      </c>
      <c r="AO45" s="1">
        <f t="shared" si="24"/>
        <v>1</v>
      </c>
      <c r="AP45" s="69">
        <f ca="1">IFERROR($AO45*IF(MOD($AN45,AP$20)=0,AP$25,0)*(1+$AS$10)^$AN45*IF($AS$3=$AN45,0,1),0)</f>
        <v>0</v>
      </c>
      <c r="AQ45" s="69">
        <f t="shared" ca="1" si="66"/>
        <v>0</v>
      </c>
      <c r="AR45" s="69">
        <f t="shared" ca="1" si="66"/>
        <v>0</v>
      </c>
      <c r="AS45" s="69">
        <f t="shared" ca="1" si="66"/>
        <v>0</v>
      </c>
      <c r="AT45" s="69">
        <f t="shared" ca="1" si="66"/>
        <v>0</v>
      </c>
      <c r="AU45" s="69">
        <f t="shared" ca="1" si="66"/>
        <v>0</v>
      </c>
      <c r="AV45" s="69">
        <f t="shared" ca="1" si="66"/>
        <v>0</v>
      </c>
      <c r="AW45" s="69">
        <f ca="1">SUM(AP45:AV45)/(1+$AS$11)^AN45</f>
        <v>0</v>
      </c>
      <c r="AX45" s="69">
        <f t="shared" ca="1" si="35"/>
        <v>0</v>
      </c>
      <c r="AY45" s="69">
        <f t="shared" ca="1" si="36"/>
        <v>0</v>
      </c>
      <c r="AZ45" s="69">
        <f ca="1">$AO45*IF(Auswahllisten!$G$150,AZ$25+AZ$25*AZ$13*$AN45,AZ$25*(1+AZ$13)^$AN45)</f>
        <v>0</v>
      </c>
      <c r="BA45" s="69">
        <f ca="1">$AO45*IF(Auswahllisten!$G$150,BA$25+BA$25*BA$13*$AN45,BA$25*(1+BA$13)^$AN45)</f>
        <v>0</v>
      </c>
      <c r="BB45" s="69">
        <f ca="1">$AO45*IF(Auswahllisten!$G$150,BB$25+BB$25*BB$13*$AN45,BB$25*(1+BB$13)^$AN45)</f>
        <v>0</v>
      </c>
      <c r="BC45" s="69">
        <f ca="1">$AO45*IF(Auswahllisten!$G$150,BC$25+BC$25*BC$13*$AN45,BC$25*(1+BC$13)^$AN45)</f>
        <v>0</v>
      </c>
      <c r="BD45" s="69">
        <f t="shared" ca="1" si="37"/>
        <v>0</v>
      </c>
      <c r="BE45" s="69">
        <f t="shared" ca="1" si="38"/>
        <v>0</v>
      </c>
      <c r="BF45" s="69">
        <f t="shared" ca="1" si="39"/>
        <v>0</v>
      </c>
      <c r="BG45" s="69">
        <f t="shared" ca="1" si="40"/>
        <v>0</v>
      </c>
      <c r="BI45" s="69">
        <f t="shared" ca="1" si="67"/>
        <v>0</v>
      </c>
      <c r="BJ45" s="69">
        <f t="shared" ca="1" si="67"/>
        <v>0</v>
      </c>
      <c r="BK45" s="69">
        <f t="shared" si="67"/>
        <v>0</v>
      </c>
      <c r="BL45" s="69">
        <f t="shared" ca="1" si="67"/>
        <v>0</v>
      </c>
      <c r="BM45" s="69">
        <f t="shared" ca="1" si="67"/>
        <v>0</v>
      </c>
      <c r="BN45" s="69">
        <f t="shared" ca="1" si="67"/>
        <v>0</v>
      </c>
      <c r="BO45" s="69">
        <f t="shared" si="67"/>
        <v>0</v>
      </c>
      <c r="BP45" s="69">
        <f t="shared" ca="1" si="27"/>
        <v>0</v>
      </c>
      <c r="BQ45" s="69">
        <f t="shared" ca="1" si="41"/>
        <v>0</v>
      </c>
      <c r="BR45" s="69">
        <f t="shared" ca="1" si="28"/>
        <v>0</v>
      </c>
      <c r="BS45" s="69">
        <f ca="1">$AO45*IF(Auswahllisten!$G$150,BS$25+BS$25*BS$13*$AN45,BS$25*(1+BS$13)^$AN45)</f>
        <v>0</v>
      </c>
      <c r="BT45" s="69">
        <f ca="1">$AO45*IF(Auswahllisten!$G$150,BT$25+BT$25*BT$13*$AN45,BT$25*(1+BT$13)^$AN45)</f>
        <v>0</v>
      </c>
      <c r="BU45" s="69">
        <f ca="1">$AO45*IF(Auswahllisten!$G$150,BU$25+BU$25*BU$13*$AN45,BU$25*(1+BU$13)^$AN45)</f>
        <v>0</v>
      </c>
      <c r="BV45" s="69">
        <f ca="1">$AO45*IF(Auswahllisten!$G$150,BV$25+BV$25*BV$13*$AN45,BV$25*(1+BV$13)^$AN45)</f>
        <v>0</v>
      </c>
      <c r="BW45" s="69">
        <f t="shared" ca="1" si="42"/>
        <v>0</v>
      </c>
      <c r="BX45" s="69">
        <f t="shared" ca="1" si="43"/>
        <v>0</v>
      </c>
      <c r="BY45" s="69">
        <f t="shared" ca="1" si="29"/>
        <v>0</v>
      </c>
      <c r="BZ45" s="69">
        <f t="shared" ca="1" si="30"/>
        <v>0</v>
      </c>
    </row>
    <row r="46" spans="1:78">
      <c r="A46" s="305" t="s">
        <v>1218</v>
      </c>
      <c r="B46" s="126" t="s">
        <v>1243</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IF($C$5=0,0,INDEX(Faktoren!E32:GQ32,1,VLOOKUP($F$5,$L$2:$O$14,4,FALSE)+$C$9*5+VLOOKUP(D46,Auswahllisten!$E$25:$F$29,2,FALSE)))</f>
        <v>0</v>
      </c>
      <c r="G46" s="26">
        <f t="shared" ca="1" si="68"/>
        <v>0</v>
      </c>
      <c r="H46" s="26" cm="1">
        <f t="array" aca="1" ref="H46" ca="1">INDIRECT("Investition_gewählt!"&amp;$I$6&amp;AA46)</f>
        <v>0</v>
      </c>
      <c r="I46" s="25" cm="1">
        <f t="array" aca="1" ref="I46" ca="1">IF($C$5=0,0,INDEX(Faktoren!E32:GQ32,1,VLOOKUP($F$6,$L$2:$O$14,4,FALSE)+$C$9*5+VLOOKUP(D46,Auswahllisten!$E$25:$F$29,2,FALSE)))</f>
        <v>0</v>
      </c>
      <c r="J46" s="16">
        <f t="shared" ca="1" si="69"/>
        <v>0</v>
      </c>
      <c r="K46" s="16">
        <f t="shared" ca="1" si="60"/>
        <v>0</v>
      </c>
      <c r="L46" s="16" t="b">
        <f t="shared" ca="1" si="61"/>
        <v>0</v>
      </c>
      <c r="M46" s="26">
        <f t="shared" ca="1" si="62"/>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IF($U$5=0,0,INDEX(Faktoren!E32:GQ32,1,VLOOKUP($X$5,$L$2:$O$14,4,FALSE)+$U$9*5+VLOOKUP(O46,Auswahllisten!$E$25:$F$29,2,FALSE)))</f>
        <v>0</v>
      </c>
      <c r="R46" s="26">
        <f t="shared" ca="1" si="63"/>
        <v>0</v>
      </c>
      <c r="S46" s="26" cm="1">
        <f t="array" aca="1" ref="S46" ca="1">INDIRECT("Investition_gewählt!"&amp;$AA$6&amp;AA46)</f>
        <v>0</v>
      </c>
      <c r="T46" s="16" cm="1">
        <f t="array" aca="1" ref="T46" ca="1">IF($U$5=0,0,INDEX(Faktoren!E32:QG32,1,VLOOKUP($X$6,$L$3:$O$14,4,FALSE)+$U$9*5+VLOOKUP(O46,Auswahllisten!$E$25:$F$29,2,FALSE)))</f>
        <v>0</v>
      </c>
      <c r="U46" s="26">
        <f t="shared" ca="1" si="64"/>
        <v>0</v>
      </c>
      <c r="V46" s="26">
        <f t="shared" ca="1" si="14"/>
        <v>0</v>
      </c>
      <c r="W46" s="25" t="b">
        <f t="shared" ca="1" si="70"/>
        <v>0</v>
      </c>
      <c r="X46" s="26">
        <f t="shared" ca="1" si="65"/>
        <v>0</v>
      </c>
      <c r="Z46" s="1">
        <v>41</v>
      </c>
      <c r="AA46" s="1">
        <v>32</v>
      </c>
      <c r="AB46" s="1">
        <v>-2</v>
      </c>
      <c r="AF46" s="69">
        <f ca="1">AH44+AK44</f>
        <v>0</v>
      </c>
      <c r="AG46" s="69"/>
      <c r="AN46" s="1">
        <v>21</v>
      </c>
      <c r="AO46" s="1">
        <f t="shared" si="24"/>
        <v>0</v>
      </c>
      <c r="AP46" s="69">
        <f t="shared" ref="AP46:AV61" ca="1" si="71">IFERROR($AO46*IF(MOD($AN46,AP$20)=0,AP$25,0)*(1+$AS$10)^$AN46*IF($AS$3=$AN46,0,1),0)</f>
        <v>0</v>
      </c>
      <c r="AQ46" s="69">
        <f t="shared" ca="1" si="71"/>
        <v>0</v>
      </c>
      <c r="AR46" s="69">
        <f t="shared" si="71"/>
        <v>0</v>
      </c>
      <c r="AS46" s="69">
        <f t="shared" ca="1" si="71"/>
        <v>0</v>
      </c>
      <c r="AT46" s="69">
        <f t="shared" ca="1" si="71"/>
        <v>0</v>
      </c>
      <c r="AU46" s="69">
        <f t="shared" ca="1" si="71"/>
        <v>0</v>
      </c>
      <c r="AV46" s="69">
        <f t="shared" si="71"/>
        <v>0</v>
      </c>
      <c r="AW46" s="69">
        <f t="shared" ref="AW46:AW90" ca="1" si="72">SUM(AP46:AV46)/(1+$AS$11)^AN46</f>
        <v>0</v>
      </c>
      <c r="AX46" s="69">
        <f t="shared" ca="1" si="35"/>
        <v>0</v>
      </c>
      <c r="AY46" s="69">
        <f t="shared" ca="1" si="36"/>
        <v>0</v>
      </c>
      <c r="AZ46" s="69">
        <f ca="1">$AO46*IF(Auswahllisten!$G$150,AZ$25+AZ$25*AZ$13*$AN46,AZ$25*(1+AZ$13)^$AN46)</f>
        <v>0</v>
      </c>
      <c r="BA46" s="69">
        <f ca="1">$AO46*IF(Auswahllisten!$G$150,BA$25+BA$25*BA$13*$AN46,BA$25*(1+BA$13)^$AN46)</f>
        <v>0</v>
      </c>
      <c r="BB46" s="69">
        <f ca="1">$AO46*IF(Auswahllisten!$G$150,BB$25+BB$25*BB$13*$AN46,BB$25*(1+BB$13)^$AN46)</f>
        <v>0</v>
      </c>
      <c r="BC46" s="69">
        <f ca="1">$AO46*IF(Auswahllisten!$G$150,BC$25+BC$25*BC$13*$AN46,BC$25*(1+BC$13)^$AN46)</f>
        <v>0</v>
      </c>
      <c r="BD46" s="69">
        <f t="shared" ca="1" si="37"/>
        <v>0</v>
      </c>
      <c r="BE46" s="69">
        <f t="shared" ca="1" si="38"/>
        <v>0</v>
      </c>
      <c r="BF46" s="69">
        <f t="shared" ca="1" si="39"/>
        <v>0</v>
      </c>
      <c r="BG46" s="69">
        <f t="shared" ca="1" si="40"/>
        <v>0</v>
      </c>
      <c r="BI46" s="69">
        <f t="shared" ca="1" si="67"/>
        <v>0</v>
      </c>
      <c r="BJ46" s="69">
        <f t="shared" ca="1" si="67"/>
        <v>0</v>
      </c>
      <c r="BK46" s="69">
        <f t="shared" si="67"/>
        <v>0</v>
      </c>
      <c r="BL46" s="69">
        <f t="shared" ca="1" si="67"/>
        <v>0</v>
      </c>
      <c r="BM46" s="69">
        <f t="shared" ca="1" si="67"/>
        <v>0</v>
      </c>
      <c r="BN46" s="69">
        <f t="shared" ca="1" si="67"/>
        <v>0</v>
      </c>
      <c r="BO46" s="69">
        <f t="shared" si="67"/>
        <v>0</v>
      </c>
      <c r="BP46" s="69">
        <f t="shared" ca="1" si="27"/>
        <v>0</v>
      </c>
      <c r="BQ46" s="69">
        <f t="shared" ca="1" si="41"/>
        <v>0</v>
      </c>
      <c r="BR46" s="69">
        <f t="shared" ca="1" si="28"/>
        <v>0</v>
      </c>
      <c r="BS46" s="69">
        <f ca="1">$AO46*IF(Auswahllisten!$G$150,BS$25+BS$25*BS$13*$AN46,BS$25*(1+BS$13)^$AN46)</f>
        <v>0</v>
      </c>
      <c r="BT46" s="69">
        <f ca="1">$AO46*IF(Auswahllisten!$G$150,BT$25+BT$25*BT$13*$AN46,BT$25*(1+BT$13)^$AN46)</f>
        <v>0</v>
      </c>
      <c r="BU46" s="69">
        <f ca="1">$AO46*IF(Auswahllisten!$G$150,BU$25+BU$25*BU$13*$AN46,BU$25*(1+BU$13)^$AN46)</f>
        <v>0</v>
      </c>
      <c r="BV46" s="69">
        <f ca="1">$AO46*IF(Auswahllisten!$G$150,BV$25+BV$25*BV$13*$AN46,BV$25*(1+BV$13)^$AN46)</f>
        <v>0</v>
      </c>
      <c r="BW46" s="69">
        <f t="shared" ca="1" si="42"/>
        <v>0</v>
      </c>
      <c r="BX46" s="69">
        <f t="shared" ca="1" si="43"/>
        <v>0</v>
      </c>
      <c r="BY46" s="69">
        <f t="shared" ca="1" si="29"/>
        <v>0</v>
      </c>
      <c r="BZ46" s="69">
        <f t="shared" ca="1" si="30"/>
        <v>0</v>
      </c>
    </row>
    <row r="47" spans="1:78">
      <c r="A47" s="305" t="s">
        <v>1215</v>
      </c>
      <c r="B47" s="126" t="s">
        <v>303</v>
      </c>
      <c r="C47" s="126" t="s">
        <v>966</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IF($C$5=0,0,INDEX(Faktoren!E33:GQ33,1,VLOOKUP($F$5,$L$2:$O$14,4,FALSE)+$C$9*5+VLOOKUP(D47,Auswahllisten!$E$25:$F$29,2,FALSE)))</f>
        <v>0</v>
      </c>
      <c r="G47" s="26">
        <f t="shared" ca="1" si="68"/>
        <v>0</v>
      </c>
      <c r="H47" s="26" cm="1">
        <f t="array" aca="1" ref="H47" ca="1">INDIRECT("Investition_gewählt!"&amp;$I$6&amp;AA47)</f>
        <v>0</v>
      </c>
      <c r="I47" s="25" cm="1">
        <f t="array" aca="1" ref="I47" ca="1">IF($C$5=0,0,INDEX(Faktoren!E33:GQ33,1,VLOOKUP($F$6,$L$2:$O$14,4,FALSE)+$C$9*5+VLOOKUP(D47,Auswahllisten!$E$25:$F$29,2,FALSE)))</f>
        <v>0</v>
      </c>
      <c r="J47" s="16">
        <f t="shared" ca="1" si="69"/>
        <v>0</v>
      </c>
      <c r="K47" s="16">
        <f t="shared" ca="1" si="60"/>
        <v>0</v>
      </c>
      <c r="L47" s="16" t="b">
        <f t="shared" ca="1" si="61"/>
        <v>0</v>
      </c>
      <c r="M47" s="26">
        <f t="shared" ca="1" si="62"/>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IF($U$5=0,0,INDEX(Faktoren!E33:GQ33,1,VLOOKUP($X$5,$L$2:$O$14,4,FALSE)+$U$9*5+VLOOKUP(O47,Auswahllisten!$E$25:$F$29,2,FALSE)))</f>
        <v>0</v>
      </c>
      <c r="R47" s="26">
        <f t="shared" ca="1" si="63"/>
        <v>0</v>
      </c>
      <c r="S47" s="26" cm="1">
        <f t="array" aca="1" ref="S47" ca="1">INDIRECT("Investition_gewählt!"&amp;$AA$6&amp;AA47)</f>
        <v>0</v>
      </c>
      <c r="T47" s="16" cm="1">
        <f t="array" aca="1" ref="T47" ca="1">IF($U$5=0,0,INDEX(Faktoren!E33:QG33,1,VLOOKUP($X$6,$L$3:$O$14,4,FALSE)+$U$9*5+VLOOKUP(O47,Auswahllisten!$E$25:$F$29,2,FALSE)))</f>
        <v>0</v>
      </c>
      <c r="U47" s="26">
        <f t="shared" ca="1" si="64"/>
        <v>0</v>
      </c>
      <c r="V47" s="26">
        <f t="shared" ca="1" si="14"/>
        <v>0</v>
      </c>
      <c r="W47" s="25" t="b">
        <f t="shared" ca="1" si="70"/>
        <v>0</v>
      </c>
      <c r="X47" s="26">
        <f t="shared" ca="1" si="65"/>
        <v>0</v>
      </c>
      <c r="Z47" s="1">
        <v>47</v>
      </c>
      <c r="AA47" s="1">
        <v>33</v>
      </c>
      <c r="AB47" s="1">
        <v>-2</v>
      </c>
      <c r="AF47" s="69">
        <f ca="1">AF45+AF46</f>
        <v>0</v>
      </c>
      <c r="AG47" s="69"/>
      <c r="AN47" s="1">
        <v>22</v>
      </c>
      <c r="AO47" s="1">
        <f t="shared" si="24"/>
        <v>0</v>
      </c>
      <c r="AP47" s="69">
        <f t="shared" ca="1" si="71"/>
        <v>0</v>
      </c>
      <c r="AQ47" s="69">
        <f t="shared" ca="1" si="71"/>
        <v>0</v>
      </c>
      <c r="AR47" s="69">
        <f t="shared" si="71"/>
        <v>0</v>
      </c>
      <c r="AS47" s="69">
        <f t="shared" ca="1" si="71"/>
        <v>0</v>
      </c>
      <c r="AT47" s="69">
        <f t="shared" ca="1" si="71"/>
        <v>0</v>
      </c>
      <c r="AU47" s="69">
        <f t="shared" ca="1" si="71"/>
        <v>0</v>
      </c>
      <c r="AV47" s="69">
        <f t="shared" si="71"/>
        <v>0</v>
      </c>
      <c r="AW47" s="69">
        <f t="shared" ca="1" si="72"/>
        <v>0</v>
      </c>
      <c r="AX47" s="69">
        <f t="shared" ca="1" si="35"/>
        <v>0</v>
      </c>
      <c r="AY47" s="69">
        <f t="shared" ca="1" si="36"/>
        <v>0</v>
      </c>
      <c r="AZ47" s="69">
        <f ca="1">$AO47*IF(Auswahllisten!$G$150,AZ$25+AZ$25*AZ$13*$AN47,AZ$25*(1+AZ$13)^$AN47)</f>
        <v>0</v>
      </c>
      <c r="BA47" s="69">
        <f ca="1">$AO47*IF(Auswahllisten!$G$150,BA$25+BA$25*BA$13*$AN47,BA$25*(1+BA$13)^$AN47)</f>
        <v>0</v>
      </c>
      <c r="BB47" s="69">
        <f ca="1">$AO47*IF(Auswahllisten!$G$150,BB$25+BB$25*BB$13*$AN47,BB$25*(1+BB$13)^$AN47)</f>
        <v>0</v>
      </c>
      <c r="BC47" s="69">
        <f ca="1">$AO47*IF(Auswahllisten!$G$150,BC$25+BC$25*BC$13*$AN47,BC$25*(1+BC$13)^$AN47)</f>
        <v>0</v>
      </c>
      <c r="BD47" s="69">
        <f t="shared" ca="1" si="37"/>
        <v>0</v>
      </c>
      <c r="BE47" s="69">
        <f t="shared" ca="1" si="38"/>
        <v>0</v>
      </c>
      <c r="BF47" s="69">
        <f t="shared" ca="1" si="39"/>
        <v>0</v>
      </c>
      <c r="BG47" s="69">
        <f t="shared" ca="1" si="40"/>
        <v>0</v>
      </c>
      <c r="BI47" s="69">
        <f t="shared" ca="1" si="67"/>
        <v>0</v>
      </c>
      <c r="BJ47" s="69">
        <f t="shared" ca="1" si="67"/>
        <v>0</v>
      </c>
      <c r="BK47" s="69">
        <f t="shared" si="67"/>
        <v>0</v>
      </c>
      <c r="BL47" s="69">
        <f t="shared" ca="1" si="67"/>
        <v>0</v>
      </c>
      <c r="BM47" s="69">
        <f t="shared" ca="1" si="67"/>
        <v>0</v>
      </c>
      <c r="BN47" s="69">
        <f t="shared" ca="1" si="67"/>
        <v>0</v>
      </c>
      <c r="BO47" s="69">
        <f t="shared" si="67"/>
        <v>0</v>
      </c>
      <c r="BP47" s="69">
        <f t="shared" ca="1" si="27"/>
        <v>0</v>
      </c>
      <c r="BQ47" s="69">
        <f t="shared" ca="1" si="41"/>
        <v>0</v>
      </c>
      <c r="BR47" s="69">
        <f t="shared" ca="1" si="28"/>
        <v>0</v>
      </c>
      <c r="BS47" s="69">
        <f ca="1">$AO47*IF(Auswahllisten!$G$150,BS$25+BS$25*BS$13*$AN47,BS$25*(1+BS$13)^$AN47)</f>
        <v>0</v>
      </c>
      <c r="BT47" s="69">
        <f ca="1">$AO47*IF(Auswahllisten!$G$150,BT$25+BT$25*BT$13*$AN47,BT$25*(1+BT$13)^$AN47)</f>
        <v>0</v>
      </c>
      <c r="BU47" s="69">
        <f ca="1">$AO47*IF(Auswahllisten!$G$150,BU$25+BU$25*BU$13*$AN47,BU$25*(1+BU$13)^$AN47)</f>
        <v>0</v>
      </c>
      <c r="BV47" s="69">
        <f ca="1">$AO47*IF(Auswahllisten!$G$150,BV$25+BV$25*BV$13*$AN47,BV$25*(1+BV$13)^$AN47)</f>
        <v>0</v>
      </c>
      <c r="BW47" s="69">
        <f t="shared" ca="1" si="42"/>
        <v>0</v>
      </c>
      <c r="BX47" s="69">
        <f t="shared" ca="1" si="43"/>
        <v>0</v>
      </c>
      <c r="BY47" s="69">
        <f t="shared" ca="1" si="29"/>
        <v>0</v>
      </c>
      <c r="BZ47" s="69">
        <f t="shared" ca="1" si="30"/>
        <v>0</v>
      </c>
    </row>
    <row r="48" spans="1:78">
      <c r="A48" s="306" t="s">
        <v>1256</v>
      </c>
      <c r="B48" s="297" t="s">
        <v>303</v>
      </c>
      <c r="C48" s="134" t="s">
        <v>186</v>
      </c>
      <c r="D48" s="163" t="str" cm="1">
        <f t="array" aca="1" ref="D48" ca="1">INDIRECT("Vergleich!"&amp;$G$2&amp;Z48)</f>
        <v>mittel</v>
      </c>
      <c r="E48" s="163" cm="1">
        <f t="array" aca="1" ref="E48" ca="1">INDIRECT("Investition_gewählt!"&amp;$I$5&amp;AA48)</f>
        <v>0</v>
      </c>
      <c r="F48" s="61" cm="1">
        <f t="array" aca="1" ref="F48" ca="1">IF($C$5=0,0,INDEX(Faktoren!E34:GQ34,1,VLOOKUP($F$5,$L$2:$O$14,4,FALSE)+$C$9*5+VLOOKUP(D48,Auswahllisten!$E$25:$F$29,2,FALSE)))</f>
        <v>0</v>
      </c>
      <c r="G48" s="296">
        <f t="shared" ca="1" si="68"/>
        <v>0</v>
      </c>
      <c r="H48" s="296" cm="1">
        <f t="array" aca="1" ref="H48" ca="1">INDIRECT("Investition_gewählt!"&amp;$I$6&amp;AA48)</f>
        <v>0</v>
      </c>
      <c r="I48" s="61" cm="1">
        <f t="array" aca="1" ref="I48" ca="1">IF($C$5=0,0,INDEX(Faktoren!E34:GQ34,1,VLOOKUP($F$6,$L$2:$O$14,4,FALSE)+$C$9*5+VLOOKUP(D48,Auswahllisten!$E$25:$F$29,2,FALSE)))</f>
        <v>0</v>
      </c>
      <c r="J48" s="93">
        <f t="shared" ca="1" si="69"/>
        <v>0</v>
      </c>
      <c r="K48" s="93">
        <f t="shared" ca="1" si="60"/>
        <v>0</v>
      </c>
      <c r="L48" s="93" t="b">
        <f t="shared" ca="1" si="61"/>
        <v>0</v>
      </c>
      <c r="M48" s="163">
        <f t="shared" ca="1" si="62"/>
        <v>0</v>
      </c>
      <c r="O48" s="93" t="str" cm="1">
        <f t="array" aca="1" ref="O48" ca="1">INDIRECT("Vergleich!"&amp;$Y$2&amp;Z48)</f>
        <v>gering</v>
      </c>
      <c r="P48" s="163" cm="1">
        <f t="array" aca="1" ref="P48" ca="1">INDIRECT("Investition_gewählt!"&amp;$AA$5&amp;AA48)</f>
        <v>0</v>
      </c>
      <c r="Q48" s="93" cm="1">
        <f t="array" aca="1" ref="Q48" ca="1">IF($U$5=0,0,INDEX(Faktoren!E34:GQ34,1,VLOOKUP($X$5,$L$2:$O$14,4,FALSE)+$U$9*5+VLOOKUP(O48,Auswahllisten!$E$25:$F$29,2,FALSE)))</f>
        <v>0</v>
      </c>
      <c r="R48" s="163">
        <f t="shared" ca="1" si="63"/>
        <v>0</v>
      </c>
      <c r="S48" s="163" cm="1">
        <f t="array" aca="1" ref="S48" ca="1">INDIRECT("Investition_gewählt!"&amp;$AA$6&amp;AA48)</f>
        <v>0</v>
      </c>
      <c r="T48" s="93" cm="1">
        <f t="array" aca="1" ref="T48" ca="1">IF($U$5=0,0,INDEX(Faktoren!E34:QG34,1,VLOOKUP($X$6,$L$3:$O$14,4,FALSE)+$U$9*5+VLOOKUP(O48,Auswahllisten!$E$25:$F$29,2,FALSE)))</f>
        <v>0</v>
      </c>
      <c r="U48" s="163">
        <f t="shared" ca="1" si="64"/>
        <v>0</v>
      </c>
      <c r="V48" s="163">
        <f t="shared" ca="1" si="14"/>
        <v>0</v>
      </c>
      <c r="W48" s="61" t="b">
        <f t="shared" ca="1" si="70"/>
        <v>0</v>
      </c>
      <c r="X48" s="163">
        <f t="shared" ca="1" si="65"/>
        <v>0</v>
      </c>
      <c r="Z48" s="1">
        <v>48</v>
      </c>
      <c r="AA48" s="1">
        <v>34</v>
      </c>
      <c r="AB48" s="1">
        <v>-2</v>
      </c>
      <c r="AF48" s="69"/>
      <c r="AN48" s="1">
        <v>23</v>
      </c>
      <c r="AO48" s="1">
        <f t="shared" si="24"/>
        <v>0</v>
      </c>
      <c r="AP48" s="69">
        <f t="shared" ca="1" si="71"/>
        <v>0</v>
      </c>
      <c r="AQ48" s="69">
        <f t="shared" ca="1" si="71"/>
        <v>0</v>
      </c>
      <c r="AR48" s="69">
        <f t="shared" si="71"/>
        <v>0</v>
      </c>
      <c r="AS48" s="69">
        <f t="shared" ca="1" si="71"/>
        <v>0</v>
      </c>
      <c r="AT48" s="69">
        <f t="shared" ca="1" si="71"/>
        <v>0</v>
      </c>
      <c r="AU48" s="69">
        <f t="shared" ca="1" si="71"/>
        <v>0</v>
      </c>
      <c r="AV48" s="69">
        <f t="shared" si="71"/>
        <v>0</v>
      </c>
      <c r="AW48" s="69">
        <f t="shared" ca="1" si="72"/>
        <v>0</v>
      </c>
      <c r="AX48" s="69">
        <f t="shared" ca="1" si="35"/>
        <v>0</v>
      </c>
      <c r="AY48" s="69">
        <f t="shared" ca="1" si="36"/>
        <v>0</v>
      </c>
      <c r="AZ48" s="69">
        <f ca="1">$AO48*IF(Auswahllisten!$G$150,AZ$25+AZ$25*AZ$13*$AN48,AZ$25*(1+AZ$13)^$AN48)</f>
        <v>0</v>
      </c>
      <c r="BA48" s="69">
        <f ca="1">$AO48*IF(Auswahllisten!$G$150,BA$25+BA$25*BA$13*$AN48,BA$25*(1+BA$13)^$AN48)</f>
        <v>0</v>
      </c>
      <c r="BB48" s="69">
        <f ca="1">$AO48*IF(Auswahllisten!$G$150,BB$25+BB$25*BB$13*$AN48,BB$25*(1+BB$13)^$AN48)</f>
        <v>0</v>
      </c>
      <c r="BC48" s="69">
        <f ca="1">$AO48*IF(Auswahllisten!$G$150,BC$25+BC$25*BC$13*$AN48,BC$25*(1+BC$13)^$AN48)</f>
        <v>0</v>
      </c>
      <c r="BD48" s="69">
        <f t="shared" ca="1" si="37"/>
        <v>0</v>
      </c>
      <c r="BE48" s="69">
        <f t="shared" ca="1" si="38"/>
        <v>0</v>
      </c>
      <c r="BF48" s="69">
        <f t="shared" ca="1" si="39"/>
        <v>0</v>
      </c>
      <c r="BG48" s="69">
        <f t="shared" ca="1" si="40"/>
        <v>0</v>
      </c>
      <c r="BI48" s="69">
        <f t="shared" ca="1" si="67"/>
        <v>0</v>
      </c>
      <c r="BJ48" s="69">
        <f t="shared" ca="1" si="67"/>
        <v>0</v>
      </c>
      <c r="BK48" s="69">
        <f t="shared" si="67"/>
        <v>0</v>
      </c>
      <c r="BL48" s="69">
        <f t="shared" ca="1" si="67"/>
        <v>0</v>
      </c>
      <c r="BM48" s="69">
        <f t="shared" ca="1" si="67"/>
        <v>0</v>
      </c>
      <c r="BN48" s="69">
        <f t="shared" ca="1" si="67"/>
        <v>0</v>
      </c>
      <c r="BO48" s="69">
        <f t="shared" si="67"/>
        <v>0</v>
      </c>
      <c r="BP48" s="69">
        <f t="shared" ca="1" si="27"/>
        <v>0</v>
      </c>
      <c r="BQ48" s="69">
        <f t="shared" ca="1" si="41"/>
        <v>0</v>
      </c>
      <c r="BR48" s="69">
        <f t="shared" ca="1" si="28"/>
        <v>0</v>
      </c>
      <c r="BS48" s="69">
        <f ca="1">$AO48*IF(Auswahllisten!$G$150,BS$25+BS$25*BS$13*$AN48,BS$25*(1+BS$13)^$AN48)</f>
        <v>0</v>
      </c>
      <c r="BT48" s="69">
        <f ca="1">$AO48*IF(Auswahllisten!$G$150,BT$25+BT$25*BT$13*$AN48,BT$25*(1+BT$13)^$AN48)</f>
        <v>0</v>
      </c>
      <c r="BU48" s="69">
        <f ca="1">$AO48*IF(Auswahllisten!$G$150,BU$25+BU$25*BU$13*$AN48,BU$25*(1+BU$13)^$AN48)</f>
        <v>0</v>
      </c>
      <c r="BV48" s="69">
        <f ca="1">$AO48*IF(Auswahllisten!$G$150,BV$25+BV$25*BV$13*$AN48,BV$25*(1+BV$13)^$AN48)</f>
        <v>0</v>
      </c>
      <c r="BW48" s="69">
        <f t="shared" ca="1" si="42"/>
        <v>0</v>
      </c>
      <c r="BX48" s="69">
        <f t="shared" ca="1" si="43"/>
        <v>0</v>
      </c>
      <c r="BY48" s="69">
        <f t="shared" ca="1" si="29"/>
        <v>0</v>
      </c>
      <c r="BZ48" s="69">
        <f t="shared" ca="1" si="30"/>
        <v>0</v>
      </c>
    </row>
    <row r="49" spans="1:78">
      <c r="A49" s="125"/>
      <c r="B49" s="64"/>
      <c r="C49" s="64"/>
      <c r="D49" s="69"/>
      <c r="M49" s="69"/>
      <c r="X49" s="69"/>
      <c r="AA49" s="1">
        <v>35</v>
      </c>
      <c r="AB49" s="1">
        <v>-2</v>
      </c>
      <c r="AF49" s="69"/>
      <c r="AN49" s="1">
        <v>24</v>
      </c>
      <c r="AO49" s="1">
        <f t="shared" si="24"/>
        <v>0</v>
      </c>
      <c r="AP49" s="69">
        <f t="shared" ca="1" si="71"/>
        <v>0</v>
      </c>
      <c r="AQ49" s="69">
        <f t="shared" ca="1" si="71"/>
        <v>0</v>
      </c>
      <c r="AR49" s="69">
        <f t="shared" si="71"/>
        <v>0</v>
      </c>
      <c r="AS49" s="69">
        <f t="shared" ca="1" si="71"/>
        <v>0</v>
      </c>
      <c r="AT49" s="69">
        <f t="shared" ca="1" si="71"/>
        <v>0</v>
      </c>
      <c r="AU49" s="69">
        <f t="shared" ca="1" si="71"/>
        <v>0</v>
      </c>
      <c r="AV49" s="69">
        <f t="shared" si="71"/>
        <v>0</v>
      </c>
      <c r="AW49" s="69">
        <f t="shared" ca="1" si="72"/>
        <v>0</v>
      </c>
      <c r="AX49" s="69">
        <f t="shared" ca="1" si="35"/>
        <v>0</v>
      </c>
      <c r="AY49" s="69">
        <f t="shared" ca="1" si="36"/>
        <v>0</v>
      </c>
      <c r="AZ49" s="69">
        <f ca="1">$AO49*IF(Auswahllisten!$G$150,AZ$25+AZ$25*AZ$13*$AN49,AZ$25*(1+AZ$13)^$AN49)</f>
        <v>0</v>
      </c>
      <c r="BA49" s="69">
        <f ca="1">$AO49*IF(Auswahllisten!$G$150,BA$25+BA$25*BA$13*$AN49,BA$25*(1+BA$13)^$AN49)</f>
        <v>0</v>
      </c>
      <c r="BB49" s="69">
        <f ca="1">$AO49*IF(Auswahllisten!$G$150,BB$25+BB$25*BB$13*$AN49,BB$25*(1+BB$13)^$AN49)</f>
        <v>0</v>
      </c>
      <c r="BC49" s="69">
        <f ca="1">$AO49*IF(Auswahllisten!$G$150,BC$25+BC$25*BC$13*$AN49,BC$25*(1+BC$13)^$AN49)</f>
        <v>0</v>
      </c>
      <c r="BD49" s="69">
        <f t="shared" ca="1" si="37"/>
        <v>0</v>
      </c>
      <c r="BE49" s="69">
        <f t="shared" ca="1" si="38"/>
        <v>0</v>
      </c>
      <c r="BF49" s="69">
        <f t="shared" ca="1" si="39"/>
        <v>0</v>
      </c>
      <c r="BG49" s="69">
        <f t="shared" ca="1" si="40"/>
        <v>0</v>
      </c>
      <c r="BI49" s="69">
        <f t="shared" ca="1" si="67"/>
        <v>0</v>
      </c>
      <c r="BJ49" s="69">
        <f t="shared" ca="1" si="67"/>
        <v>0</v>
      </c>
      <c r="BK49" s="69">
        <f t="shared" si="67"/>
        <v>0</v>
      </c>
      <c r="BL49" s="69">
        <f t="shared" ca="1" si="67"/>
        <v>0</v>
      </c>
      <c r="BM49" s="69">
        <f t="shared" ca="1" si="67"/>
        <v>0</v>
      </c>
      <c r="BN49" s="69">
        <f t="shared" ca="1" si="67"/>
        <v>0</v>
      </c>
      <c r="BO49" s="69">
        <f t="shared" si="67"/>
        <v>0</v>
      </c>
      <c r="BP49" s="69">
        <f t="shared" ca="1" si="27"/>
        <v>0</v>
      </c>
      <c r="BQ49" s="69">
        <f t="shared" ca="1" si="41"/>
        <v>0</v>
      </c>
      <c r="BR49" s="69">
        <f t="shared" ca="1" si="28"/>
        <v>0</v>
      </c>
      <c r="BS49" s="69">
        <f ca="1">$AO49*IF(Auswahllisten!$G$150,BS$25+BS$25*BS$13*$AN49,BS$25*(1+BS$13)^$AN49)</f>
        <v>0</v>
      </c>
      <c r="BT49" s="69">
        <f ca="1">$AO49*IF(Auswahllisten!$G$150,BT$25+BT$25*BT$13*$AN49,BT$25*(1+BT$13)^$AN49)</f>
        <v>0</v>
      </c>
      <c r="BU49" s="69">
        <f ca="1">$AO49*IF(Auswahllisten!$G$150,BU$25+BU$25*BU$13*$AN49,BU$25*(1+BU$13)^$AN49)</f>
        <v>0</v>
      </c>
      <c r="BV49" s="69">
        <f ca="1">$AO49*IF(Auswahllisten!$G$150,BV$25+BV$25*BV$13*$AN49,BV$25*(1+BV$13)^$AN49)</f>
        <v>0</v>
      </c>
      <c r="BW49" s="69">
        <f t="shared" ca="1" si="42"/>
        <v>0</v>
      </c>
      <c r="BX49" s="69">
        <f t="shared" ca="1" si="43"/>
        <v>0</v>
      </c>
      <c r="BY49" s="69">
        <f t="shared" ca="1" si="29"/>
        <v>0</v>
      </c>
      <c r="BZ49" s="69">
        <f t="shared" ca="1" si="30"/>
        <v>0</v>
      </c>
    </row>
    <row r="50" spans="1:78">
      <c r="A50" s="125" t="s">
        <v>996</v>
      </c>
      <c r="B50" s="125" t="s">
        <v>141</v>
      </c>
      <c r="C50" s="125"/>
      <c r="D50" s="69"/>
      <c r="L50" s="155">
        <v>5</v>
      </c>
      <c r="M50" s="69"/>
      <c r="X50" s="69"/>
      <c r="AA50" s="1">
        <v>36</v>
      </c>
      <c r="AB50" s="1">
        <v>-2</v>
      </c>
      <c r="AN50" s="1">
        <v>25</v>
      </c>
      <c r="AO50" s="1">
        <f t="shared" si="24"/>
        <v>0</v>
      </c>
      <c r="AP50" s="69">
        <f t="shared" ca="1" si="71"/>
        <v>0</v>
      </c>
      <c r="AQ50" s="69">
        <f t="shared" ca="1" si="71"/>
        <v>0</v>
      </c>
      <c r="AR50" s="69">
        <f t="shared" si="71"/>
        <v>0</v>
      </c>
      <c r="AS50" s="69">
        <f t="shared" ca="1" si="71"/>
        <v>0</v>
      </c>
      <c r="AT50" s="69">
        <f t="shared" ca="1" si="71"/>
        <v>0</v>
      </c>
      <c r="AU50" s="69">
        <f t="shared" ca="1" si="71"/>
        <v>0</v>
      </c>
      <c r="AV50" s="69">
        <f t="shared" si="71"/>
        <v>0</v>
      </c>
      <c r="AW50" s="69">
        <f t="shared" ca="1" si="72"/>
        <v>0</v>
      </c>
      <c r="AX50" s="69">
        <f t="shared" ca="1" si="35"/>
        <v>0</v>
      </c>
      <c r="AY50" s="69">
        <f t="shared" ca="1" si="36"/>
        <v>0</v>
      </c>
      <c r="AZ50" s="69">
        <f ca="1">$AO50*IF(Auswahllisten!$G$150,AZ$25+AZ$25*AZ$13*$AN50,AZ$25*(1+AZ$13)^$AN50)</f>
        <v>0</v>
      </c>
      <c r="BA50" s="69">
        <f ca="1">$AO50*IF(Auswahllisten!$G$150,BA$25+BA$25*BA$13*$AN50,BA$25*(1+BA$13)^$AN50)</f>
        <v>0</v>
      </c>
      <c r="BB50" s="69">
        <f ca="1">$AO50*IF(Auswahllisten!$G$150,BB$25+BB$25*BB$13*$AN50,BB$25*(1+BB$13)^$AN50)</f>
        <v>0</v>
      </c>
      <c r="BC50" s="69">
        <f ca="1">$AO50*IF(Auswahllisten!$G$150,BC$25+BC$25*BC$13*$AN50,BC$25*(1+BC$13)^$AN50)</f>
        <v>0</v>
      </c>
      <c r="BD50" s="69">
        <f t="shared" ca="1" si="37"/>
        <v>0</v>
      </c>
      <c r="BE50" s="69">
        <f t="shared" ca="1" si="38"/>
        <v>0</v>
      </c>
      <c r="BF50" s="69">
        <f t="shared" ca="1" si="39"/>
        <v>0</v>
      </c>
      <c r="BG50" s="69">
        <f t="shared" ca="1" si="40"/>
        <v>0</v>
      </c>
      <c r="BI50" s="69">
        <f t="shared" ca="1" si="67"/>
        <v>0</v>
      </c>
      <c r="BJ50" s="69">
        <f t="shared" ca="1" si="67"/>
        <v>0</v>
      </c>
      <c r="BK50" s="69">
        <f t="shared" si="67"/>
        <v>0</v>
      </c>
      <c r="BL50" s="69">
        <f t="shared" ca="1" si="67"/>
        <v>0</v>
      </c>
      <c r="BM50" s="69">
        <f t="shared" ca="1" si="67"/>
        <v>0</v>
      </c>
      <c r="BN50" s="69">
        <f t="shared" ca="1" si="67"/>
        <v>0</v>
      </c>
      <c r="BO50" s="69">
        <f t="shared" si="67"/>
        <v>0</v>
      </c>
      <c r="BP50" s="69">
        <f t="shared" ca="1" si="27"/>
        <v>0</v>
      </c>
      <c r="BQ50" s="69">
        <f t="shared" ca="1" si="41"/>
        <v>0</v>
      </c>
      <c r="BR50" s="69">
        <f t="shared" ca="1" si="28"/>
        <v>0</v>
      </c>
      <c r="BS50" s="69">
        <f ca="1">$AO50*IF(Auswahllisten!$G$150,BS$25+BS$25*BS$13*$AN50,BS$25*(1+BS$13)^$AN50)</f>
        <v>0</v>
      </c>
      <c r="BT50" s="69">
        <f ca="1">$AO50*IF(Auswahllisten!$G$150,BT$25+BT$25*BT$13*$AN50,BT$25*(1+BT$13)^$AN50)</f>
        <v>0</v>
      </c>
      <c r="BU50" s="69">
        <f ca="1">$AO50*IF(Auswahllisten!$G$150,BU$25+BU$25*BU$13*$AN50,BU$25*(1+BU$13)^$AN50)</f>
        <v>0</v>
      </c>
      <c r="BV50" s="69">
        <f ca="1">$AO50*IF(Auswahllisten!$G$150,BV$25+BV$25*BV$13*$AN50,BV$25*(1+BV$13)^$AN50)</f>
        <v>0</v>
      </c>
      <c r="BW50" s="69">
        <f t="shared" ca="1" si="42"/>
        <v>0</v>
      </c>
      <c r="BX50" s="69">
        <f t="shared" ca="1" si="43"/>
        <v>0</v>
      </c>
      <c r="BY50" s="69">
        <f t="shared" ca="1" si="29"/>
        <v>0</v>
      </c>
      <c r="BZ50" s="69">
        <f t="shared" ca="1" si="30"/>
        <v>0</v>
      </c>
    </row>
    <row r="51" spans="1:78">
      <c r="A51" s="304" t="s">
        <v>1217</v>
      </c>
      <c r="B51" s="131" t="s">
        <v>1242</v>
      </c>
      <c r="C51" s="131" t="s">
        <v>964</v>
      </c>
      <c r="D51" s="162" t="str" cm="1">
        <f t="array" aca="1" ref="D51" ca="1">INDIRECT("Vergleich!"&amp;$G$2&amp;Z51)</f>
        <v>mittel</v>
      </c>
      <c r="E51" s="162" cm="1">
        <f t="array" aca="1" ref="E51" ca="1">INDIRECT("Investition_gewählt!"&amp;$I$5&amp;AA51)</f>
        <v>3000</v>
      </c>
      <c r="F51" s="25" cm="1">
        <f t="array" aca="1" ref="F51" ca="1">IF($C$5=0,0,INDEX(Faktoren!E37:GQ37,1,VLOOKUP($F$5,$L$2:$O$14,4,FALSE)+$C$9*5+VLOOKUP(D51,Auswahllisten!$E$25:$F$29,2,FALSE)))</f>
        <v>0</v>
      </c>
      <c r="G51" s="162">
        <f ca="1">E51*F51</f>
        <v>0</v>
      </c>
      <c r="H51" s="162" cm="1">
        <f t="array" aca="1" ref="H51" ca="1">INDIRECT("Investition_gewählt!"&amp;$I$6&amp;AA51)</f>
        <v>3000</v>
      </c>
      <c r="I51" s="25" cm="1">
        <f t="array" aca="1" ref="I51" ca="1">IF($C$5=0,0,INDEX(Faktoren!E37:GQ37,1,VLOOKUP($F$6,$L$2:$O$14,4,FALSE)+$C$9*5+VLOOKUP(D51,Auswahllisten!$E$25:$F$29,2,FALSE)))</f>
        <v>0</v>
      </c>
      <c r="J51" s="162">
        <f ca="1">H51*I51</f>
        <v>0</v>
      </c>
      <c r="K51" s="162">
        <f t="shared" ref="K51:K58" ca="1" si="73">IF($C$5=0,0,G51+(J51-G51)*($C$6-$F$5)/($F$6-$F$5))</f>
        <v>0</v>
      </c>
      <c r="L51" s="25" t="b">
        <f t="shared" ref="L51:L58" ca="1" si="74">($C$5=$L$50)</f>
        <v>0</v>
      </c>
      <c r="M51" s="162">
        <f t="shared" ref="M51:M58" ca="1" si="75">IFERROR(ROUND(K51*L51,AB51),0)</f>
        <v>0</v>
      </c>
      <c r="O51" s="25" t="str" cm="1">
        <f t="array" aca="1" ref="O51" ca="1">INDIRECT("Vergleich!"&amp;$Y$2&amp;Z51)</f>
        <v>gering</v>
      </c>
      <c r="P51" s="162" cm="1">
        <f t="array" aca="1" ref="P51" ca="1">INDIRECT("Investition_gewählt!"&amp;$AA$5&amp;AA51)</f>
        <v>3000</v>
      </c>
      <c r="Q51" s="25" cm="1">
        <f t="array" aca="1" ref="Q51" ca="1">IF($U$5=0,0,INDEX(Faktoren!E37:GQ37,1,VLOOKUP($X$5,$L$2:$O$14,4,FALSE)+$U$9*5+VLOOKUP(O51,Auswahllisten!$E$25:$F$29,2,FALSE)))</f>
        <v>0</v>
      </c>
      <c r="R51" s="162">
        <f t="shared" ref="R51:R58" ca="1" si="76">P51*Q51</f>
        <v>0</v>
      </c>
      <c r="S51" s="162" cm="1">
        <f t="array" aca="1" ref="S51" ca="1">INDIRECT("Investition_gewählt!"&amp;$AA$6&amp;AA51)</f>
        <v>3000</v>
      </c>
      <c r="T51" s="25" cm="1">
        <f t="array" aca="1" ref="T51" ca="1">IF($U$5=0,0,INDEX(Faktoren!E37:QG37,1,VLOOKUP($X$6,$L$3:$O$14,4,FALSE)+$U$9*5+VLOOKUP(O51,Auswahllisten!$E$25:$F$29,2,FALSE)))</f>
        <v>0</v>
      </c>
      <c r="U51" s="25">
        <f t="shared" ref="U51:U58" ca="1" si="77">S51*T51</f>
        <v>0</v>
      </c>
      <c r="V51" s="25">
        <f t="shared" ca="1" si="14"/>
        <v>0</v>
      </c>
      <c r="W51" s="25" t="b">
        <f ca="1">($U$5=$L$50)</f>
        <v>0</v>
      </c>
      <c r="X51" s="162">
        <f t="shared" ref="X51:X58" ca="1" si="78">IFERROR(ROUND(V51*W51,AB51),0)</f>
        <v>0</v>
      </c>
      <c r="Z51" s="1">
        <v>33</v>
      </c>
      <c r="AA51" s="1">
        <v>37</v>
      </c>
      <c r="AB51" s="1">
        <v>-2</v>
      </c>
      <c r="AN51" s="1">
        <v>26</v>
      </c>
      <c r="AO51" s="1">
        <f t="shared" si="24"/>
        <v>0</v>
      </c>
      <c r="AP51" s="69">
        <f t="shared" ca="1" si="71"/>
        <v>0</v>
      </c>
      <c r="AQ51" s="69">
        <f t="shared" ca="1" si="71"/>
        <v>0</v>
      </c>
      <c r="AR51" s="69">
        <f t="shared" si="71"/>
        <v>0</v>
      </c>
      <c r="AS51" s="69">
        <f t="shared" ca="1" si="71"/>
        <v>0</v>
      </c>
      <c r="AT51" s="69">
        <f t="shared" ca="1" si="71"/>
        <v>0</v>
      </c>
      <c r="AU51" s="69">
        <f t="shared" ca="1" si="71"/>
        <v>0</v>
      </c>
      <c r="AV51" s="69">
        <f t="shared" si="71"/>
        <v>0</v>
      </c>
      <c r="AW51" s="69">
        <f t="shared" ca="1" si="72"/>
        <v>0</v>
      </c>
      <c r="AX51" s="69">
        <f t="shared" ca="1" si="35"/>
        <v>0</v>
      </c>
      <c r="AY51" s="69">
        <f t="shared" ca="1" si="36"/>
        <v>0</v>
      </c>
      <c r="AZ51" s="69">
        <f ca="1">$AO51*IF(Auswahllisten!$G$150,AZ$25+AZ$25*AZ$13*$AN51,AZ$25*(1+AZ$13)^$AN51)</f>
        <v>0</v>
      </c>
      <c r="BA51" s="69">
        <f ca="1">$AO51*IF(Auswahllisten!$G$150,BA$25+BA$25*BA$13*$AN51,BA$25*(1+BA$13)^$AN51)</f>
        <v>0</v>
      </c>
      <c r="BB51" s="69">
        <f ca="1">$AO51*IF(Auswahllisten!$G$150,BB$25+BB$25*BB$13*$AN51,BB$25*(1+BB$13)^$AN51)</f>
        <v>0</v>
      </c>
      <c r="BC51" s="69">
        <f ca="1">$AO51*IF(Auswahllisten!$G$150,BC$25+BC$25*BC$13*$AN51,BC$25*(1+BC$13)^$AN51)</f>
        <v>0</v>
      </c>
      <c r="BD51" s="69">
        <f t="shared" ca="1" si="37"/>
        <v>0</v>
      </c>
      <c r="BE51" s="69">
        <f t="shared" ca="1" si="38"/>
        <v>0</v>
      </c>
      <c r="BF51" s="69">
        <f t="shared" ca="1" si="39"/>
        <v>0</v>
      </c>
      <c r="BG51" s="69">
        <f t="shared" ca="1" si="40"/>
        <v>0</v>
      </c>
      <c r="BI51" s="69">
        <f t="shared" ca="1" si="67"/>
        <v>0</v>
      </c>
      <c r="BJ51" s="69">
        <f t="shared" ca="1" si="67"/>
        <v>0</v>
      </c>
      <c r="BK51" s="69">
        <f t="shared" si="67"/>
        <v>0</v>
      </c>
      <c r="BL51" s="69">
        <f t="shared" ca="1" si="67"/>
        <v>0</v>
      </c>
      <c r="BM51" s="69">
        <f t="shared" ca="1" si="67"/>
        <v>0</v>
      </c>
      <c r="BN51" s="69">
        <f t="shared" ca="1" si="67"/>
        <v>0</v>
      </c>
      <c r="BO51" s="69">
        <f t="shared" si="67"/>
        <v>0</v>
      </c>
      <c r="BP51" s="69">
        <f t="shared" ca="1" si="27"/>
        <v>0</v>
      </c>
      <c r="BQ51" s="69">
        <f t="shared" ca="1" si="41"/>
        <v>0</v>
      </c>
      <c r="BR51" s="69">
        <f t="shared" ca="1" si="28"/>
        <v>0</v>
      </c>
      <c r="BS51" s="69">
        <f ca="1">$AO51*IF(Auswahllisten!$G$150,BS$25+BS$25*BS$13*$AN51,BS$25*(1+BS$13)^$AN51)</f>
        <v>0</v>
      </c>
      <c r="BT51" s="69">
        <f ca="1">$AO51*IF(Auswahllisten!$G$150,BT$25+BT$25*BT$13*$AN51,BT$25*(1+BT$13)^$AN51)</f>
        <v>0</v>
      </c>
      <c r="BU51" s="69">
        <f ca="1">$AO51*IF(Auswahllisten!$G$150,BU$25+BU$25*BU$13*$AN51,BU$25*(1+BU$13)^$AN51)</f>
        <v>0</v>
      </c>
      <c r="BV51" s="69">
        <f ca="1">$AO51*IF(Auswahllisten!$G$150,BV$25+BV$25*BV$13*$AN51,BV$25*(1+BV$13)^$AN51)</f>
        <v>0</v>
      </c>
      <c r="BW51" s="69">
        <f t="shared" ca="1" si="42"/>
        <v>0</v>
      </c>
      <c r="BX51" s="69">
        <f t="shared" ca="1" si="43"/>
        <v>0</v>
      </c>
      <c r="BY51" s="69">
        <f t="shared" ca="1" si="29"/>
        <v>0</v>
      </c>
      <c r="BZ51" s="69">
        <f t="shared" ca="1" si="30"/>
        <v>0</v>
      </c>
    </row>
    <row r="52" spans="1:78">
      <c r="A52" s="305" t="s">
        <v>1215</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IF($C$5=0,0,INDEX(Faktoren!E38:GQ38,1,VLOOKUP($F$5,$L$2:$O$14,4,FALSE)+$C$9*5+VLOOKUP(D52,Auswahllisten!$E$25:$F$29,2,FALSE)))</f>
        <v>0</v>
      </c>
      <c r="G52" s="26">
        <f t="shared" ref="G52:G58" ca="1" si="79">E52*F52</f>
        <v>0</v>
      </c>
      <c r="H52" s="26" cm="1">
        <f t="array" aca="1" ref="H52" ca="1">INDIRECT("Investition_gewählt!"&amp;$I$6&amp;AA52)</f>
        <v>15800</v>
      </c>
      <c r="I52" s="25" cm="1">
        <f t="array" aca="1" ref="I52" ca="1">IF($C$5=0,0,INDEX(Faktoren!E38:GQ38,1,VLOOKUP($F$6,$L$2:$O$14,4,FALSE)+$C$9*5+VLOOKUP(D52,Auswahllisten!$E$25:$F$29,2,FALSE)))</f>
        <v>0</v>
      </c>
      <c r="J52" s="26">
        <f t="shared" ref="J52:J58" ca="1" si="80">H52*I52</f>
        <v>0</v>
      </c>
      <c r="K52" s="26">
        <f t="shared" ca="1" si="73"/>
        <v>0</v>
      </c>
      <c r="L52" s="16" t="b">
        <f t="shared" ca="1" si="74"/>
        <v>0</v>
      </c>
      <c r="M52" s="26">
        <f t="shared" ca="1" si="75"/>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IF($U$5=0,0,INDEX(Faktoren!E38:GQ38,1,VLOOKUP($X$5,$L$2:$O$14,4,FALSE)+$U$9*5+VLOOKUP(O52,Auswahllisten!$E$25:$F$29,2,FALSE)))</f>
        <v>0</v>
      </c>
      <c r="R52" s="26">
        <f t="shared" ca="1" si="76"/>
        <v>0</v>
      </c>
      <c r="S52" s="26" cm="1">
        <f t="array" aca="1" ref="S52" ca="1">INDIRECT("Investition_gewählt!"&amp;$AA$6&amp;AA52)</f>
        <v>15800</v>
      </c>
      <c r="T52" s="16" cm="1">
        <f t="array" aca="1" ref="T52" ca="1">IF($U$5=0,0,INDEX(Faktoren!E38:QG38,1,VLOOKUP($X$6,$L$3:$O$14,4,FALSE)+$U$9*5+VLOOKUP(O52,Auswahllisten!$E$25:$F$29,2,FALSE)))</f>
        <v>0</v>
      </c>
      <c r="U52" s="26">
        <f t="shared" ca="1" si="77"/>
        <v>0</v>
      </c>
      <c r="V52" s="26">
        <f t="shared" ca="1" si="14"/>
        <v>0</v>
      </c>
      <c r="W52" s="16" t="b">
        <f t="shared" ref="W52:W58" ca="1" si="81">($U$5=$L$50)</f>
        <v>0</v>
      </c>
      <c r="X52" s="26">
        <f t="shared" ca="1" si="78"/>
        <v>0</v>
      </c>
      <c r="Z52" s="1">
        <v>40</v>
      </c>
      <c r="AA52" s="1">
        <v>38</v>
      </c>
      <c r="AB52" s="1">
        <v>-2</v>
      </c>
      <c r="AN52" s="1">
        <v>27</v>
      </c>
      <c r="AO52" s="1">
        <f t="shared" si="24"/>
        <v>0</v>
      </c>
      <c r="AP52" s="69">
        <f t="shared" ca="1" si="71"/>
        <v>0</v>
      </c>
      <c r="AQ52" s="69">
        <f t="shared" ca="1" si="71"/>
        <v>0</v>
      </c>
      <c r="AR52" s="69">
        <f t="shared" si="71"/>
        <v>0</v>
      </c>
      <c r="AS52" s="69">
        <f t="shared" ca="1" si="71"/>
        <v>0</v>
      </c>
      <c r="AT52" s="69">
        <f t="shared" ca="1" si="71"/>
        <v>0</v>
      </c>
      <c r="AU52" s="69">
        <f t="shared" ca="1" si="71"/>
        <v>0</v>
      </c>
      <c r="AV52" s="69">
        <f t="shared" si="71"/>
        <v>0</v>
      </c>
      <c r="AW52" s="69">
        <f t="shared" ca="1" si="72"/>
        <v>0</v>
      </c>
      <c r="AX52" s="69">
        <f t="shared" ca="1" si="35"/>
        <v>0</v>
      </c>
      <c r="AY52" s="69">
        <f t="shared" ca="1" si="36"/>
        <v>0</v>
      </c>
      <c r="AZ52" s="69">
        <f ca="1">$AO52*IF(Auswahllisten!$G$150,AZ$25+AZ$25*AZ$13*$AN52,AZ$25*(1+AZ$13)^$AN52)</f>
        <v>0</v>
      </c>
      <c r="BA52" s="69">
        <f ca="1">$AO52*IF(Auswahllisten!$G$150,BA$25+BA$25*BA$13*$AN52,BA$25*(1+BA$13)^$AN52)</f>
        <v>0</v>
      </c>
      <c r="BB52" s="69">
        <f ca="1">$AO52*IF(Auswahllisten!$G$150,BB$25+BB$25*BB$13*$AN52,BB$25*(1+BB$13)^$AN52)</f>
        <v>0</v>
      </c>
      <c r="BC52" s="69">
        <f ca="1">$AO52*IF(Auswahllisten!$G$150,BC$25+BC$25*BC$13*$AN52,BC$25*(1+BC$13)^$AN52)</f>
        <v>0</v>
      </c>
      <c r="BD52" s="69">
        <f t="shared" ca="1" si="37"/>
        <v>0</v>
      </c>
      <c r="BE52" s="69">
        <f t="shared" ca="1" si="38"/>
        <v>0</v>
      </c>
      <c r="BF52" s="69">
        <f t="shared" ca="1" si="39"/>
        <v>0</v>
      </c>
      <c r="BG52" s="69">
        <f t="shared" ca="1" si="40"/>
        <v>0</v>
      </c>
      <c r="BI52" s="69">
        <f t="shared" ca="1" si="67"/>
        <v>0</v>
      </c>
      <c r="BJ52" s="69">
        <f t="shared" ca="1" si="67"/>
        <v>0</v>
      </c>
      <c r="BK52" s="69">
        <f t="shared" si="67"/>
        <v>0</v>
      </c>
      <c r="BL52" s="69">
        <f t="shared" ca="1" si="67"/>
        <v>0</v>
      </c>
      <c r="BM52" s="69">
        <f t="shared" ca="1" si="67"/>
        <v>0</v>
      </c>
      <c r="BN52" s="69">
        <f t="shared" ca="1" si="67"/>
        <v>0</v>
      </c>
      <c r="BO52" s="69">
        <f t="shared" si="67"/>
        <v>0</v>
      </c>
      <c r="BP52" s="69">
        <f t="shared" ca="1" si="27"/>
        <v>0</v>
      </c>
      <c r="BQ52" s="69">
        <f t="shared" ca="1" si="41"/>
        <v>0</v>
      </c>
      <c r="BR52" s="69">
        <f t="shared" ca="1" si="28"/>
        <v>0</v>
      </c>
      <c r="BS52" s="69">
        <f ca="1">$AO52*IF(Auswahllisten!$G$150,BS$25+BS$25*BS$13*$AN52,BS$25*(1+BS$13)^$AN52)</f>
        <v>0</v>
      </c>
      <c r="BT52" s="69">
        <f ca="1">$AO52*IF(Auswahllisten!$G$150,BT$25+BT$25*BT$13*$AN52,BT$25*(1+BT$13)^$AN52)</f>
        <v>0</v>
      </c>
      <c r="BU52" s="69">
        <f ca="1">$AO52*IF(Auswahllisten!$G$150,BU$25+BU$25*BU$13*$AN52,BU$25*(1+BU$13)^$AN52)</f>
        <v>0</v>
      </c>
      <c r="BV52" s="69">
        <f ca="1">$AO52*IF(Auswahllisten!$G$150,BV$25+BV$25*BV$13*$AN52,BV$25*(1+BV$13)^$AN52)</f>
        <v>0</v>
      </c>
      <c r="BW52" s="69">
        <f t="shared" ca="1" si="42"/>
        <v>0</v>
      </c>
      <c r="BX52" s="69">
        <f t="shared" ca="1" si="43"/>
        <v>0</v>
      </c>
      <c r="BY52" s="69">
        <f t="shared" ca="1" si="29"/>
        <v>0</v>
      </c>
      <c r="BZ52" s="69">
        <f t="shared" ca="1" si="30"/>
        <v>0</v>
      </c>
    </row>
    <row r="53" spans="1:78">
      <c r="A53" s="305" t="s">
        <v>1215</v>
      </c>
      <c r="B53" s="126" t="s">
        <v>303</v>
      </c>
      <c r="C53" s="126" t="s">
        <v>965</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IF($C$5=0,0,INDEX(Faktoren!E39:GQ39,1,VLOOKUP($F$5,$L$2:$O$14,4,FALSE)+$C$9*5+VLOOKUP(D53,Auswahllisten!$E$25:$F$29,2,FALSE)))</f>
        <v>0</v>
      </c>
      <c r="G53" s="26">
        <f t="shared" ca="1" si="79"/>
        <v>0</v>
      </c>
      <c r="H53" s="26" cm="1">
        <f t="array" aca="1" ref="H53" ca="1">INDIRECT("Investition_gewählt!"&amp;$I$6&amp;AA53)</f>
        <v>3800</v>
      </c>
      <c r="I53" s="25" cm="1">
        <f t="array" aca="1" ref="I53" ca="1">IF($C$5=0,0,INDEX(Faktoren!E39:GQ39,1,VLOOKUP($F$6,$L$2:$O$14,4,FALSE)+$C$9*5+VLOOKUP(D53,Auswahllisten!$E$25:$F$29,2,FALSE)))</f>
        <v>0</v>
      </c>
      <c r="J53" s="26">
        <f t="shared" ca="1" si="80"/>
        <v>0</v>
      </c>
      <c r="K53" s="26">
        <f t="shared" ca="1" si="73"/>
        <v>0</v>
      </c>
      <c r="L53" s="16" t="b">
        <f t="shared" ca="1" si="74"/>
        <v>0</v>
      </c>
      <c r="M53" s="26">
        <f t="shared" ca="1" si="75"/>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IF($U$5=0,0,INDEX(Faktoren!E39:GQ39,1,VLOOKUP($X$5,$L$2:$O$14,4,FALSE)+$U$9*5+VLOOKUP(O53,Auswahllisten!$E$25:$F$29,2,FALSE)))</f>
        <v>0</v>
      </c>
      <c r="R53" s="26">
        <f t="shared" ca="1" si="76"/>
        <v>0</v>
      </c>
      <c r="S53" s="26" cm="1">
        <f t="array" aca="1" ref="S53" ca="1">INDIRECT("Investition_gewählt!"&amp;$AA$6&amp;AA53)</f>
        <v>3800</v>
      </c>
      <c r="T53" s="16" cm="1">
        <f t="array" aca="1" ref="T53" ca="1">IF($U$5=0,0,INDEX(Faktoren!E39:QG39,1,VLOOKUP($X$6,$L$3:$O$14,4,FALSE)+$U$9*5+VLOOKUP(O53,Auswahllisten!$E$25:$F$29,2,FALSE)))</f>
        <v>0</v>
      </c>
      <c r="U53" s="26">
        <f t="shared" ca="1" si="77"/>
        <v>0</v>
      </c>
      <c r="V53" s="26">
        <f t="shared" ca="1" si="14"/>
        <v>0</v>
      </c>
      <c r="W53" s="16" t="b">
        <f t="shared" ca="1" si="81"/>
        <v>0</v>
      </c>
      <c r="X53" s="26">
        <f t="shared" ca="1" si="78"/>
        <v>0</v>
      </c>
      <c r="Z53" s="1">
        <v>42</v>
      </c>
      <c r="AA53" s="1">
        <v>39</v>
      </c>
      <c r="AB53" s="1">
        <v>-2</v>
      </c>
      <c r="AN53" s="1">
        <v>28</v>
      </c>
      <c r="AO53" s="1">
        <f t="shared" si="24"/>
        <v>0</v>
      </c>
      <c r="AP53" s="69">
        <f t="shared" ca="1" si="71"/>
        <v>0</v>
      </c>
      <c r="AQ53" s="69">
        <f t="shared" ca="1" si="71"/>
        <v>0</v>
      </c>
      <c r="AR53" s="69">
        <f t="shared" si="71"/>
        <v>0</v>
      </c>
      <c r="AS53" s="69">
        <f t="shared" ca="1" si="71"/>
        <v>0</v>
      </c>
      <c r="AT53" s="69">
        <f t="shared" ca="1" si="71"/>
        <v>0</v>
      </c>
      <c r="AU53" s="69">
        <f t="shared" ca="1" si="71"/>
        <v>0</v>
      </c>
      <c r="AV53" s="69">
        <f t="shared" si="71"/>
        <v>0</v>
      </c>
      <c r="AW53" s="69">
        <f t="shared" ca="1" si="72"/>
        <v>0</v>
      </c>
      <c r="AX53" s="69">
        <f t="shared" ca="1" si="35"/>
        <v>0</v>
      </c>
      <c r="AY53" s="69">
        <f t="shared" ca="1" si="36"/>
        <v>0</v>
      </c>
      <c r="AZ53" s="69">
        <f ca="1">$AO53*IF(Auswahllisten!$G$150,AZ$25+AZ$25*AZ$13*$AN53,AZ$25*(1+AZ$13)^$AN53)</f>
        <v>0</v>
      </c>
      <c r="BA53" s="69">
        <f ca="1">$AO53*IF(Auswahllisten!$G$150,BA$25+BA$25*BA$13*$AN53,BA$25*(1+BA$13)^$AN53)</f>
        <v>0</v>
      </c>
      <c r="BB53" s="69">
        <f ca="1">$AO53*IF(Auswahllisten!$G$150,BB$25+BB$25*BB$13*$AN53,BB$25*(1+BB$13)^$AN53)</f>
        <v>0</v>
      </c>
      <c r="BC53" s="69">
        <f ca="1">$AO53*IF(Auswahllisten!$G$150,BC$25+BC$25*BC$13*$AN53,BC$25*(1+BC$13)^$AN53)</f>
        <v>0</v>
      </c>
      <c r="BD53" s="69">
        <f t="shared" ca="1" si="37"/>
        <v>0</v>
      </c>
      <c r="BE53" s="69">
        <f t="shared" ca="1" si="38"/>
        <v>0</v>
      </c>
      <c r="BF53" s="69">
        <f t="shared" ca="1" si="39"/>
        <v>0</v>
      </c>
      <c r="BG53" s="69">
        <f t="shared" ca="1" si="40"/>
        <v>0</v>
      </c>
      <c r="BI53" s="69">
        <f t="shared" ca="1" si="67"/>
        <v>0</v>
      </c>
      <c r="BJ53" s="69">
        <f t="shared" ca="1" si="67"/>
        <v>0</v>
      </c>
      <c r="BK53" s="69">
        <f t="shared" si="67"/>
        <v>0</v>
      </c>
      <c r="BL53" s="69">
        <f t="shared" ca="1" si="67"/>
        <v>0</v>
      </c>
      <c r="BM53" s="69">
        <f t="shared" ca="1" si="67"/>
        <v>0</v>
      </c>
      <c r="BN53" s="69">
        <f t="shared" ca="1" si="67"/>
        <v>0</v>
      </c>
      <c r="BO53" s="69">
        <f t="shared" si="67"/>
        <v>0</v>
      </c>
      <c r="BP53" s="69">
        <f t="shared" ca="1" si="27"/>
        <v>0</v>
      </c>
      <c r="BQ53" s="69">
        <f t="shared" ca="1" si="41"/>
        <v>0</v>
      </c>
      <c r="BR53" s="69">
        <f t="shared" ca="1" si="28"/>
        <v>0</v>
      </c>
      <c r="BS53" s="69">
        <f ca="1">$AO53*IF(Auswahllisten!$G$150,BS$25+BS$25*BS$13*$AN53,BS$25*(1+BS$13)^$AN53)</f>
        <v>0</v>
      </c>
      <c r="BT53" s="69">
        <f ca="1">$AO53*IF(Auswahllisten!$G$150,BT$25+BT$25*BT$13*$AN53,BT$25*(1+BT$13)^$AN53)</f>
        <v>0</v>
      </c>
      <c r="BU53" s="69">
        <f ca="1">$AO53*IF(Auswahllisten!$G$150,BU$25+BU$25*BU$13*$AN53,BU$25*(1+BU$13)^$AN53)</f>
        <v>0</v>
      </c>
      <c r="BV53" s="69">
        <f ca="1">$AO53*IF(Auswahllisten!$G$150,BV$25+BV$25*BV$13*$AN53,BV$25*(1+BV$13)^$AN53)</f>
        <v>0</v>
      </c>
      <c r="BW53" s="69">
        <f t="shared" ca="1" si="42"/>
        <v>0</v>
      </c>
      <c r="BX53" s="69">
        <f t="shared" ca="1" si="43"/>
        <v>0</v>
      </c>
      <c r="BY53" s="69">
        <f t="shared" ca="1" si="29"/>
        <v>0</v>
      </c>
      <c r="BZ53" s="69">
        <f t="shared" ca="1" si="30"/>
        <v>0</v>
      </c>
    </row>
    <row r="54" spans="1:78">
      <c r="A54" s="305" t="s">
        <v>1218</v>
      </c>
      <c r="B54" s="126" t="s">
        <v>1243</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IF($C$5=0,0,INDEX(Faktoren!E40:GQ40,1,VLOOKUP($F$5,$L$2:$O$14,4,FALSE)+$C$9*5+VLOOKUP(D54,Auswahllisten!$E$25:$F$29,2,FALSE)))</f>
        <v>0</v>
      </c>
      <c r="G54" s="26">
        <f t="shared" ca="1" si="79"/>
        <v>0</v>
      </c>
      <c r="H54" s="26" cm="1">
        <f t="array" aca="1" ref="H54" ca="1">INDIRECT("Investition_gewählt!"&amp;$I$6&amp;AA54)</f>
        <v>1500</v>
      </c>
      <c r="I54" s="25" cm="1">
        <f t="array" aca="1" ref="I54" ca="1">IF($C$5=0,0,INDEX(Faktoren!E40:GQ40,1,VLOOKUP($F$6,$L$2:$O$14,4,FALSE)+$C$9*5+VLOOKUP(D54,Auswahllisten!$E$25:$F$29,2,FALSE)))</f>
        <v>0</v>
      </c>
      <c r="J54" s="26">
        <f t="shared" ca="1" si="80"/>
        <v>0</v>
      </c>
      <c r="K54" s="26">
        <f t="shared" ca="1" si="73"/>
        <v>0</v>
      </c>
      <c r="L54" s="16" t="b">
        <f t="shared" ca="1" si="74"/>
        <v>0</v>
      </c>
      <c r="M54" s="26">
        <f t="shared" ca="1" si="75"/>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IF($U$5=0,0,INDEX(Faktoren!E40:GQ40,1,VLOOKUP($X$5,$L$2:$O$14,4,FALSE)+$U$9*5+VLOOKUP(O54,Auswahllisten!$E$25:$F$29,2,FALSE)))</f>
        <v>0</v>
      </c>
      <c r="R54" s="26">
        <f t="shared" ca="1" si="76"/>
        <v>0</v>
      </c>
      <c r="S54" s="26" cm="1">
        <f t="array" aca="1" ref="S54" ca="1">INDIRECT("Investition_gewählt!"&amp;$AA$6&amp;AA54)</f>
        <v>1500</v>
      </c>
      <c r="T54" s="16" cm="1">
        <f t="array" aca="1" ref="T54" ca="1">IF($U$5=0,0,INDEX(Faktoren!E40:QG40,1,VLOOKUP($X$6,$L$3:$O$14,4,FALSE)+$U$9*5+VLOOKUP(O54,Auswahllisten!$E$25:$F$29,2,FALSE)))</f>
        <v>0</v>
      </c>
      <c r="U54" s="26">
        <f t="shared" ca="1" si="77"/>
        <v>0</v>
      </c>
      <c r="V54" s="26">
        <f t="shared" ca="1" si="14"/>
        <v>0</v>
      </c>
      <c r="W54" s="16" t="b">
        <f t="shared" ca="1" si="81"/>
        <v>0</v>
      </c>
      <c r="X54" s="26">
        <f t="shared" ca="1" si="78"/>
        <v>0</v>
      </c>
      <c r="Z54" s="1">
        <v>41</v>
      </c>
      <c r="AA54" s="1">
        <v>40</v>
      </c>
      <c r="AB54" s="1">
        <v>-2</v>
      </c>
      <c r="AN54" s="1">
        <v>29</v>
      </c>
      <c r="AO54" s="1">
        <f t="shared" si="24"/>
        <v>0</v>
      </c>
      <c r="AP54" s="69">
        <f t="shared" ca="1" si="71"/>
        <v>0</v>
      </c>
      <c r="AQ54" s="69">
        <f t="shared" ca="1" si="71"/>
        <v>0</v>
      </c>
      <c r="AR54" s="69">
        <f t="shared" si="71"/>
        <v>0</v>
      </c>
      <c r="AS54" s="69">
        <f t="shared" ca="1" si="71"/>
        <v>0</v>
      </c>
      <c r="AT54" s="69">
        <f t="shared" ca="1" si="71"/>
        <v>0</v>
      </c>
      <c r="AU54" s="69">
        <f t="shared" ca="1" si="71"/>
        <v>0</v>
      </c>
      <c r="AV54" s="69">
        <f t="shared" si="71"/>
        <v>0</v>
      </c>
      <c r="AW54" s="69">
        <f t="shared" ca="1" si="72"/>
        <v>0</v>
      </c>
      <c r="AX54" s="69">
        <f t="shared" ca="1" si="35"/>
        <v>0</v>
      </c>
      <c r="AY54" s="69">
        <f t="shared" ca="1" si="36"/>
        <v>0</v>
      </c>
      <c r="AZ54" s="69">
        <f ca="1">$AO54*IF(Auswahllisten!$G$150,AZ$25+AZ$25*AZ$13*$AN54,AZ$25*(1+AZ$13)^$AN54)</f>
        <v>0</v>
      </c>
      <c r="BA54" s="69">
        <f ca="1">$AO54*IF(Auswahllisten!$G$150,BA$25+BA$25*BA$13*$AN54,BA$25*(1+BA$13)^$AN54)</f>
        <v>0</v>
      </c>
      <c r="BB54" s="69">
        <f ca="1">$AO54*IF(Auswahllisten!$G$150,BB$25+BB$25*BB$13*$AN54,BB$25*(1+BB$13)^$AN54)</f>
        <v>0</v>
      </c>
      <c r="BC54" s="69">
        <f ca="1">$AO54*IF(Auswahllisten!$G$150,BC$25+BC$25*BC$13*$AN54,BC$25*(1+BC$13)^$AN54)</f>
        <v>0</v>
      </c>
      <c r="BD54" s="69">
        <f t="shared" ca="1" si="37"/>
        <v>0</v>
      </c>
      <c r="BE54" s="69">
        <f t="shared" ca="1" si="38"/>
        <v>0</v>
      </c>
      <c r="BF54" s="69">
        <f t="shared" ca="1" si="39"/>
        <v>0</v>
      </c>
      <c r="BG54" s="69">
        <f t="shared" ca="1" si="40"/>
        <v>0</v>
      </c>
      <c r="BI54" s="69">
        <f t="shared" ca="1" si="67"/>
        <v>0</v>
      </c>
      <c r="BJ54" s="69">
        <f t="shared" ca="1" si="67"/>
        <v>0</v>
      </c>
      <c r="BK54" s="69">
        <f t="shared" si="67"/>
        <v>0</v>
      </c>
      <c r="BL54" s="69">
        <f t="shared" ca="1" si="67"/>
        <v>0</v>
      </c>
      <c r="BM54" s="69">
        <f t="shared" ca="1" si="67"/>
        <v>0</v>
      </c>
      <c r="BN54" s="69">
        <f t="shared" ca="1" si="67"/>
        <v>0</v>
      </c>
      <c r="BO54" s="69">
        <f t="shared" si="67"/>
        <v>0</v>
      </c>
      <c r="BP54" s="69">
        <f t="shared" ca="1" si="27"/>
        <v>0</v>
      </c>
      <c r="BQ54" s="69">
        <f t="shared" ca="1" si="41"/>
        <v>0</v>
      </c>
      <c r="BR54" s="69">
        <f t="shared" ca="1" si="28"/>
        <v>0</v>
      </c>
      <c r="BS54" s="69">
        <f ca="1">$AO54*IF(Auswahllisten!$G$150,BS$25+BS$25*BS$13*$AN54,BS$25*(1+BS$13)^$AN54)</f>
        <v>0</v>
      </c>
      <c r="BT54" s="69">
        <f ca="1">$AO54*IF(Auswahllisten!$G$150,BT$25+BT$25*BT$13*$AN54,BT$25*(1+BT$13)^$AN54)</f>
        <v>0</v>
      </c>
      <c r="BU54" s="69">
        <f ca="1">$AO54*IF(Auswahllisten!$G$150,BU$25+BU$25*BU$13*$AN54,BU$25*(1+BU$13)^$AN54)</f>
        <v>0</v>
      </c>
      <c r="BV54" s="69">
        <f ca="1">$AO54*IF(Auswahllisten!$G$150,BV$25+BV$25*BV$13*$AN54,BV$25*(1+BV$13)^$AN54)</f>
        <v>0</v>
      </c>
      <c r="BW54" s="69">
        <f t="shared" ca="1" si="42"/>
        <v>0</v>
      </c>
      <c r="BX54" s="69">
        <f t="shared" ca="1" si="43"/>
        <v>0</v>
      </c>
      <c r="BY54" s="69">
        <f t="shared" ca="1" si="29"/>
        <v>0</v>
      </c>
      <c r="BZ54" s="69">
        <f t="shared" ca="1" si="30"/>
        <v>0</v>
      </c>
    </row>
    <row r="55" spans="1:78">
      <c r="A55" s="305" t="s">
        <v>1215</v>
      </c>
      <c r="B55" s="126" t="s">
        <v>303</v>
      </c>
      <c r="C55" s="126" t="s">
        <v>966</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IF($C$5=0,0,INDEX(Faktoren!E41:GQ41,1,VLOOKUP($F$5,$L$2:$O$14,4,FALSE)+$C$9*5+VLOOKUP(D55,Auswahllisten!$E$25:$F$29,2,FALSE)))</f>
        <v>0</v>
      </c>
      <c r="G55" s="26">
        <f t="shared" ca="1" si="79"/>
        <v>0</v>
      </c>
      <c r="H55" s="26" cm="1">
        <f t="array" aca="1" ref="H55" ca="1">INDIRECT("Investition_gewählt!"&amp;$I$6&amp;AA55)</f>
        <v>6000</v>
      </c>
      <c r="I55" s="25" cm="1">
        <f t="array" aca="1" ref="I55" ca="1">IF($C$5=0,0,INDEX(Faktoren!E41:GQ41,1,VLOOKUP($F$6,$L$2:$O$14,4,FALSE)+$C$9*5+VLOOKUP(D55,Auswahllisten!$E$25:$F$29,2,FALSE)))</f>
        <v>0</v>
      </c>
      <c r="J55" s="26">
        <f t="shared" ca="1" si="80"/>
        <v>0</v>
      </c>
      <c r="K55" s="26">
        <f t="shared" ca="1" si="73"/>
        <v>0</v>
      </c>
      <c r="L55" s="16" t="b">
        <f t="shared" ca="1" si="74"/>
        <v>0</v>
      </c>
      <c r="M55" s="26">
        <f t="shared" ca="1" si="75"/>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IF($U$5=0,0,INDEX(Faktoren!E41:GQ41,1,VLOOKUP($X$5,$L$2:$O$14,4,FALSE)+$U$9*5+VLOOKUP(O55,Auswahllisten!$E$25:$F$29,2,FALSE)))</f>
        <v>0</v>
      </c>
      <c r="R55" s="26">
        <f t="shared" ca="1" si="76"/>
        <v>0</v>
      </c>
      <c r="S55" s="26" cm="1">
        <f t="array" aca="1" ref="S55" ca="1">INDIRECT("Investition_gewählt!"&amp;$AA$6&amp;AA55)</f>
        <v>6000</v>
      </c>
      <c r="T55" s="16" cm="1">
        <f t="array" aca="1" ref="T55" ca="1">IF($U$5=0,0,INDEX(Faktoren!E41:QG41,1,VLOOKUP($X$6,$L$3:$O$14,4,FALSE)+$U$9*5+VLOOKUP(O55,Auswahllisten!$E$25:$F$29,2,FALSE)))</f>
        <v>0</v>
      </c>
      <c r="U55" s="26">
        <f t="shared" ca="1" si="77"/>
        <v>0</v>
      </c>
      <c r="V55" s="26">
        <f t="shared" ca="1" si="14"/>
        <v>0</v>
      </c>
      <c r="W55" s="16" t="b">
        <f t="shared" ca="1" si="81"/>
        <v>0</v>
      </c>
      <c r="X55" s="26">
        <f t="shared" ca="1" si="78"/>
        <v>0</v>
      </c>
      <c r="Z55" s="1">
        <v>47</v>
      </c>
      <c r="AA55" s="1">
        <v>41</v>
      </c>
      <c r="AB55" s="1">
        <v>-2</v>
      </c>
      <c r="AN55" s="1">
        <v>30</v>
      </c>
      <c r="AO55" s="1">
        <f t="shared" si="24"/>
        <v>0</v>
      </c>
      <c r="AP55" s="69">
        <f t="shared" ca="1" si="71"/>
        <v>0</v>
      </c>
      <c r="AQ55" s="69">
        <f t="shared" ca="1" si="71"/>
        <v>0</v>
      </c>
      <c r="AR55" s="69">
        <f t="shared" si="71"/>
        <v>0</v>
      </c>
      <c r="AS55" s="69">
        <f t="shared" ca="1" si="71"/>
        <v>0</v>
      </c>
      <c r="AT55" s="69">
        <f t="shared" ca="1" si="71"/>
        <v>0</v>
      </c>
      <c r="AU55" s="69">
        <f t="shared" ca="1" si="71"/>
        <v>0</v>
      </c>
      <c r="AV55" s="69">
        <f t="shared" si="71"/>
        <v>0</v>
      </c>
      <c r="AW55" s="69">
        <f t="shared" ca="1" si="72"/>
        <v>0</v>
      </c>
      <c r="AX55" s="69">
        <f t="shared" ca="1" si="35"/>
        <v>0</v>
      </c>
      <c r="AY55" s="69">
        <f t="shared" ca="1" si="36"/>
        <v>0</v>
      </c>
      <c r="AZ55" s="69">
        <f ca="1">$AO55*IF(Auswahllisten!$G$150,AZ$25+AZ$25*AZ$13*$AN55,AZ$25*(1+AZ$13)^$AN55)</f>
        <v>0</v>
      </c>
      <c r="BA55" s="69">
        <f ca="1">$AO55*IF(Auswahllisten!$G$150,BA$25+BA$25*BA$13*$AN55,BA$25*(1+BA$13)^$AN55)</f>
        <v>0</v>
      </c>
      <c r="BB55" s="69">
        <f ca="1">$AO55*IF(Auswahllisten!$G$150,BB$25+BB$25*BB$13*$AN55,BB$25*(1+BB$13)^$AN55)</f>
        <v>0</v>
      </c>
      <c r="BC55" s="69">
        <f ca="1">$AO55*IF(Auswahllisten!$G$150,BC$25+BC$25*BC$13*$AN55,BC$25*(1+BC$13)^$AN55)</f>
        <v>0</v>
      </c>
      <c r="BD55" s="69">
        <f t="shared" ca="1" si="37"/>
        <v>0</v>
      </c>
      <c r="BE55" s="69">
        <f t="shared" ca="1" si="38"/>
        <v>0</v>
      </c>
      <c r="BF55" s="69">
        <f t="shared" ca="1" si="39"/>
        <v>0</v>
      </c>
      <c r="BG55" s="69">
        <f t="shared" ca="1" si="40"/>
        <v>0</v>
      </c>
      <c r="BI55" s="69">
        <f t="shared" ca="1" si="67"/>
        <v>0</v>
      </c>
      <c r="BJ55" s="69">
        <f t="shared" ca="1" si="67"/>
        <v>0</v>
      </c>
      <c r="BK55" s="69">
        <f t="shared" si="67"/>
        <v>0</v>
      </c>
      <c r="BL55" s="69">
        <f t="shared" ca="1" si="67"/>
        <v>0</v>
      </c>
      <c r="BM55" s="69">
        <f t="shared" ca="1" si="67"/>
        <v>0</v>
      </c>
      <c r="BN55" s="69">
        <f t="shared" ca="1" si="67"/>
        <v>0</v>
      </c>
      <c r="BO55" s="69">
        <f t="shared" si="67"/>
        <v>0</v>
      </c>
      <c r="BP55" s="69">
        <f t="shared" ca="1" si="27"/>
        <v>0</v>
      </c>
      <c r="BQ55" s="69">
        <f t="shared" ca="1" si="41"/>
        <v>0</v>
      </c>
      <c r="BR55" s="69">
        <f t="shared" ca="1" si="28"/>
        <v>0</v>
      </c>
      <c r="BS55" s="69">
        <f ca="1">$AO55*IF(Auswahllisten!$G$150,BS$25+BS$25*BS$13*$AN55,BS$25*(1+BS$13)^$AN55)</f>
        <v>0</v>
      </c>
      <c r="BT55" s="69">
        <f ca="1">$AO55*IF(Auswahllisten!$G$150,BT$25+BT$25*BT$13*$AN55,BT$25*(1+BT$13)^$AN55)</f>
        <v>0</v>
      </c>
      <c r="BU55" s="69">
        <f ca="1">$AO55*IF(Auswahllisten!$G$150,BU$25+BU$25*BU$13*$AN55,BU$25*(1+BU$13)^$AN55)</f>
        <v>0</v>
      </c>
      <c r="BV55" s="69">
        <f ca="1">$AO55*IF(Auswahllisten!$G$150,BV$25+BV$25*BV$13*$AN55,BV$25*(1+BV$13)^$AN55)</f>
        <v>0</v>
      </c>
      <c r="BW55" s="69">
        <f t="shared" ca="1" si="42"/>
        <v>0</v>
      </c>
      <c r="BX55" s="69">
        <f t="shared" ca="1" si="43"/>
        <v>0</v>
      </c>
      <c r="BY55" s="69">
        <f t="shared" ca="1" si="29"/>
        <v>0</v>
      </c>
      <c r="BZ55" s="69">
        <f t="shared" ca="1" si="30"/>
        <v>0</v>
      </c>
    </row>
    <row r="56" spans="1:78">
      <c r="A56" s="305" t="s">
        <v>1244</v>
      </c>
      <c r="B56" s="126" t="s">
        <v>1245</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IF($C$5=0,0,INDEX(Faktoren!E42:GQ42,1,VLOOKUP($F$5,$L$2:$O$14,4,FALSE)+$C$9*5+VLOOKUP(D56,Auswahllisten!$E$25:$F$29,2,FALSE)))</f>
        <v>0</v>
      </c>
      <c r="G56" s="26">
        <f t="shared" ca="1" si="79"/>
        <v>0</v>
      </c>
      <c r="H56" s="26" cm="1">
        <f t="array" aca="1" ref="H56" ca="1">INDIRECT("Investition_gewählt!"&amp;$I$6&amp;AA56)</f>
        <v>0</v>
      </c>
      <c r="I56" s="25" cm="1">
        <f t="array" aca="1" ref="I56" ca="1">IF($C$5=0,0,INDEX(Faktoren!E42:GQ42,1,VLOOKUP($F$6,$L$2:$O$14,4,FALSE)+$C$9*5+VLOOKUP(D56,Auswahllisten!$E$25:$F$29,2,FALSE)))</f>
        <v>0</v>
      </c>
      <c r="J56" s="26">
        <f t="shared" ca="1" si="80"/>
        <v>0</v>
      </c>
      <c r="K56" s="26">
        <f t="shared" ca="1" si="73"/>
        <v>0</v>
      </c>
      <c r="L56" s="16" t="b">
        <f t="shared" ca="1" si="74"/>
        <v>0</v>
      </c>
      <c r="M56" s="26">
        <f t="shared" ca="1" si="75"/>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IF($U$5=0,0,INDEX(Faktoren!E42:GQ42,1,VLOOKUP($X$5,$L$2:$O$14,4,FALSE)+$U$9*5+VLOOKUP(O56,Auswahllisten!$E$25:$F$29,2,FALSE)))</f>
        <v>0</v>
      </c>
      <c r="R56" s="26">
        <f t="shared" ca="1" si="76"/>
        <v>0</v>
      </c>
      <c r="S56" s="26" cm="1">
        <f t="array" aca="1" ref="S56" ca="1">INDIRECT("Investition_gewählt!"&amp;$AA$6&amp;AA56)</f>
        <v>0</v>
      </c>
      <c r="T56" s="16" cm="1">
        <f t="array" aca="1" ref="T56" ca="1">IF($U$5=0,0,INDEX(Faktoren!E42:QG42,1,VLOOKUP($X$6,$L$3:$O$14,4,FALSE)+$U$9*5+VLOOKUP(O56,Auswahllisten!$E$25:$F$29,2,FALSE)))</f>
        <v>0</v>
      </c>
      <c r="U56" s="26">
        <f t="shared" ca="1" si="77"/>
        <v>0</v>
      </c>
      <c r="V56" s="26">
        <f t="shared" ca="1" si="14"/>
        <v>0</v>
      </c>
      <c r="W56" s="16" t="b">
        <f t="shared" ca="1" si="81"/>
        <v>0</v>
      </c>
      <c r="X56" s="26">
        <f t="shared" ca="1" si="78"/>
        <v>0</v>
      </c>
      <c r="Z56" s="1">
        <v>51</v>
      </c>
      <c r="AA56" s="1">
        <v>42</v>
      </c>
      <c r="AB56" s="1">
        <v>-2</v>
      </c>
      <c r="AN56" s="1">
        <v>31</v>
      </c>
      <c r="AO56" s="1">
        <f t="shared" si="24"/>
        <v>0</v>
      </c>
      <c r="AP56" s="69">
        <f t="shared" ca="1" si="71"/>
        <v>0</v>
      </c>
      <c r="AQ56" s="69">
        <f t="shared" ca="1" si="71"/>
        <v>0</v>
      </c>
      <c r="AR56" s="69">
        <f t="shared" si="71"/>
        <v>0</v>
      </c>
      <c r="AS56" s="69">
        <f t="shared" ca="1" si="71"/>
        <v>0</v>
      </c>
      <c r="AT56" s="69">
        <f t="shared" ca="1" si="71"/>
        <v>0</v>
      </c>
      <c r="AU56" s="69">
        <f t="shared" ca="1" si="71"/>
        <v>0</v>
      </c>
      <c r="AV56" s="69">
        <f t="shared" si="71"/>
        <v>0</v>
      </c>
      <c r="AW56" s="69">
        <f t="shared" ca="1" si="72"/>
        <v>0</v>
      </c>
      <c r="AX56" s="69">
        <f t="shared" ca="1" si="35"/>
        <v>0</v>
      </c>
      <c r="AY56" s="69">
        <f t="shared" ca="1" si="36"/>
        <v>0</v>
      </c>
      <c r="AZ56" s="69">
        <f ca="1">$AO56*IF(Auswahllisten!$G$150,AZ$25+AZ$25*AZ$13*$AN56,AZ$25*(1+AZ$13)^$AN56)</f>
        <v>0</v>
      </c>
      <c r="BA56" s="69">
        <f ca="1">$AO56*IF(Auswahllisten!$G$150,BA$25+BA$25*BA$13*$AN56,BA$25*(1+BA$13)^$AN56)</f>
        <v>0</v>
      </c>
      <c r="BB56" s="69">
        <f ca="1">$AO56*IF(Auswahllisten!$G$150,BB$25+BB$25*BB$13*$AN56,BB$25*(1+BB$13)^$AN56)</f>
        <v>0</v>
      </c>
      <c r="BC56" s="69">
        <f ca="1">$AO56*IF(Auswahllisten!$G$150,BC$25+BC$25*BC$13*$AN56,BC$25*(1+BC$13)^$AN56)</f>
        <v>0</v>
      </c>
      <c r="BD56" s="69">
        <f t="shared" ca="1" si="37"/>
        <v>0</v>
      </c>
      <c r="BE56" s="69">
        <f t="shared" ca="1" si="38"/>
        <v>0</v>
      </c>
      <c r="BF56" s="69">
        <f t="shared" ca="1" si="39"/>
        <v>0</v>
      </c>
      <c r="BG56" s="69">
        <f t="shared" ca="1" si="40"/>
        <v>0</v>
      </c>
      <c r="BI56" s="69">
        <f t="shared" ca="1" si="67"/>
        <v>0</v>
      </c>
      <c r="BJ56" s="69">
        <f t="shared" ca="1" si="67"/>
        <v>0</v>
      </c>
      <c r="BK56" s="69">
        <f t="shared" si="67"/>
        <v>0</v>
      </c>
      <c r="BL56" s="69">
        <f t="shared" ca="1" si="67"/>
        <v>0</v>
      </c>
      <c r="BM56" s="69">
        <f t="shared" ca="1" si="67"/>
        <v>0</v>
      </c>
      <c r="BN56" s="69">
        <f t="shared" ca="1" si="67"/>
        <v>0</v>
      </c>
      <c r="BO56" s="69">
        <f t="shared" si="67"/>
        <v>0</v>
      </c>
      <c r="BP56" s="69">
        <f t="shared" ca="1" si="27"/>
        <v>0</v>
      </c>
      <c r="BQ56" s="69">
        <f t="shared" ca="1" si="41"/>
        <v>0</v>
      </c>
      <c r="BR56" s="69">
        <f t="shared" ca="1" si="28"/>
        <v>0</v>
      </c>
      <c r="BS56" s="69">
        <f ca="1">$AO56*IF(Auswahllisten!$G$150,BS$25+BS$25*BS$13*$AN56,BS$25*(1+BS$13)^$AN56)</f>
        <v>0</v>
      </c>
      <c r="BT56" s="69">
        <f ca="1">$AO56*IF(Auswahllisten!$G$150,BT$25+BT$25*BT$13*$AN56,BT$25*(1+BT$13)^$AN56)</f>
        <v>0</v>
      </c>
      <c r="BU56" s="69">
        <f ca="1">$AO56*IF(Auswahllisten!$G$150,BU$25+BU$25*BU$13*$AN56,BU$25*(1+BU$13)^$AN56)</f>
        <v>0</v>
      </c>
      <c r="BV56" s="69">
        <f ca="1">$AO56*IF(Auswahllisten!$G$150,BV$25+BV$25*BV$13*$AN56,BV$25*(1+BV$13)^$AN56)</f>
        <v>0</v>
      </c>
      <c r="BW56" s="69">
        <f t="shared" ca="1" si="42"/>
        <v>0</v>
      </c>
      <c r="BX56" s="69">
        <f t="shared" ca="1" si="43"/>
        <v>0</v>
      </c>
      <c r="BY56" s="69">
        <f t="shared" ca="1" si="29"/>
        <v>0</v>
      </c>
      <c r="BZ56" s="69">
        <f t="shared" ca="1" si="30"/>
        <v>0</v>
      </c>
    </row>
    <row r="57" spans="1:78">
      <c r="A57" s="305" t="s">
        <v>1244</v>
      </c>
      <c r="B57" s="126" t="s">
        <v>1245</v>
      </c>
      <c r="C57" s="126" t="s">
        <v>967</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IF($C$5=0,0,INDEX(Faktoren!E43:GQ43,1,VLOOKUP($F$5,$L$2:$O$14,4,FALSE)+$C$9*5+VLOOKUP(D57,Auswahllisten!$E$25:$F$29,2,FALSE)))</f>
        <v>0</v>
      </c>
      <c r="G57" s="26">
        <f t="shared" ca="1" si="79"/>
        <v>0</v>
      </c>
      <c r="H57" s="26" cm="1">
        <f t="array" aca="1" ref="H57" ca="1">INDIRECT("Investition_gewählt!"&amp;$I$6&amp;AA57)</f>
        <v>0</v>
      </c>
      <c r="I57" s="25" cm="1">
        <f t="array" aca="1" ref="I57" ca="1">IF($C$5=0,0,INDEX(Faktoren!E43:GQ43,1,VLOOKUP($F$6,$L$2:$O$14,4,FALSE)+$C$9*5+VLOOKUP(D57,Auswahllisten!$E$25:$F$29,2,FALSE)))</f>
        <v>0</v>
      </c>
      <c r="J57" s="26">
        <f t="shared" ca="1" si="80"/>
        <v>0</v>
      </c>
      <c r="K57" s="26">
        <f t="shared" ca="1" si="73"/>
        <v>0</v>
      </c>
      <c r="L57" s="16" t="b">
        <f t="shared" ca="1" si="74"/>
        <v>0</v>
      </c>
      <c r="M57" s="26">
        <f t="shared" ca="1" si="75"/>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IF($U$5=0,0,INDEX(Faktoren!E43:GQ43,1,VLOOKUP($X$5,$L$2:$O$14,4,FALSE)+$U$9*5+VLOOKUP(O57,Auswahllisten!$E$25:$F$29,2,FALSE)))</f>
        <v>0</v>
      </c>
      <c r="R57" s="26">
        <f t="shared" ca="1" si="76"/>
        <v>0</v>
      </c>
      <c r="S57" s="26" cm="1">
        <f t="array" aca="1" ref="S57" ca="1">INDIRECT("Investition_gewählt!"&amp;$AA$6&amp;AA57)</f>
        <v>0</v>
      </c>
      <c r="T57" s="16" cm="1">
        <f t="array" aca="1" ref="T57" ca="1">IF($U$5=0,0,INDEX(Faktoren!E43:QG43,1,VLOOKUP($X$6,$L$3:$O$14,4,FALSE)+$U$9*5+VLOOKUP(O57,Auswahllisten!$E$25:$F$29,2,FALSE)))</f>
        <v>0</v>
      </c>
      <c r="U57" s="26">
        <f t="shared" ca="1" si="77"/>
        <v>0</v>
      </c>
      <c r="V57" s="26">
        <f t="shared" ca="1" si="14"/>
        <v>0</v>
      </c>
      <c r="W57" s="16" t="b">
        <f t="shared" ca="1" si="81"/>
        <v>0</v>
      </c>
      <c r="X57" s="26">
        <f t="shared" ca="1" si="78"/>
        <v>0</v>
      </c>
      <c r="Z57" s="1">
        <v>49</v>
      </c>
      <c r="AA57" s="1">
        <v>43</v>
      </c>
      <c r="AB57" s="1">
        <v>-2</v>
      </c>
      <c r="AN57" s="1">
        <v>32</v>
      </c>
      <c r="AO57" s="1">
        <f t="shared" si="24"/>
        <v>0</v>
      </c>
      <c r="AP57" s="69">
        <f t="shared" ca="1" si="71"/>
        <v>0</v>
      </c>
      <c r="AQ57" s="69">
        <f t="shared" ca="1" si="71"/>
        <v>0</v>
      </c>
      <c r="AR57" s="69">
        <f t="shared" si="71"/>
        <v>0</v>
      </c>
      <c r="AS57" s="69">
        <f t="shared" ca="1" si="71"/>
        <v>0</v>
      </c>
      <c r="AT57" s="69">
        <f t="shared" ca="1" si="71"/>
        <v>0</v>
      </c>
      <c r="AU57" s="69">
        <f t="shared" ca="1" si="71"/>
        <v>0</v>
      </c>
      <c r="AV57" s="69">
        <f t="shared" si="71"/>
        <v>0</v>
      </c>
      <c r="AW57" s="69">
        <f t="shared" ca="1" si="72"/>
        <v>0</v>
      </c>
      <c r="AX57" s="69">
        <f t="shared" ca="1" si="35"/>
        <v>0</v>
      </c>
      <c r="AY57" s="69">
        <f t="shared" ca="1" si="36"/>
        <v>0</v>
      </c>
      <c r="AZ57" s="69">
        <f ca="1">$AO57*IF(Auswahllisten!$G$150,AZ$25+AZ$25*AZ$13*$AN57,AZ$25*(1+AZ$13)^$AN57)</f>
        <v>0</v>
      </c>
      <c r="BA57" s="69">
        <f ca="1">$AO57*IF(Auswahllisten!$G$150,BA$25+BA$25*BA$13*$AN57,BA$25*(1+BA$13)^$AN57)</f>
        <v>0</v>
      </c>
      <c r="BB57" s="69">
        <f ca="1">$AO57*IF(Auswahllisten!$G$150,BB$25+BB$25*BB$13*$AN57,BB$25*(1+BB$13)^$AN57)</f>
        <v>0</v>
      </c>
      <c r="BC57" s="69">
        <f ca="1">$AO57*IF(Auswahllisten!$G$150,BC$25+BC$25*BC$13*$AN57,BC$25*(1+BC$13)^$AN57)</f>
        <v>0</v>
      </c>
      <c r="BD57" s="69">
        <f t="shared" ca="1" si="37"/>
        <v>0</v>
      </c>
      <c r="BE57" s="69">
        <f t="shared" ca="1" si="38"/>
        <v>0</v>
      </c>
      <c r="BF57" s="69">
        <f t="shared" ca="1" si="39"/>
        <v>0</v>
      </c>
      <c r="BG57" s="69">
        <f t="shared" ca="1" si="40"/>
        <v>0</v>
      </c>
      <c r="BI57" s="69">
        <f t="shared" ca="1" si="67"/>
        <v>0</v>
      </c>
      <c r="BJ57" s="69">
        <f t="shared" ca="1" si="67"/>
        <v>0</v>
      </c>
      <c r="BK57" s="69">
        <f t="shared" si="67"/>
        <v>0</v>
      </c>
      <c r="BL57" s="69">
        <f t="shared" ca="1" si="67"/>
        <v>0</v>
      </c>
      <c r="BM57" s="69">
        <f t="shared" ca="1" si="67"/>
        <v>0</v>
      </c>
      <c r="BN57" s="69">
        <f t="shared" ca="1" si="67"/>
        <v>0</v>
      </c>
      <c r="BO57" s="69">
        <f t="shared" si="67"/>
        <v>0</v>
      </c>
      <c r="BP57" s="69">
        <f t="shared" ca="1" si="27"/>
        <v>0</v>
      </c>
      <c r="BQ57" s="69">
        <f t="shared" ca="1" si="41"/>
        <v>0</v>
      </c>
      <c r="BR57" s="69">
        <f t="shared" ca="1" si="28"/>
        <v>0</v>
      </c>
      <c r="BS57" s="69">
        <f ca="1">$AO57*IF(Auswahllisten!$G$150,BS$25+BS$25*BS$13*$AN57,BS$25*(1+BS$13)^$AN57)</f>
        <v>0</v>
      </c>
      <c r="BT57" s="69">
        <f ca="1">$AO57*IF(Auswahllisten!$G$150,BT$25+BT$25*BT$13*$AN57,BT$25*(1+BT$13)^$AN57)</f>
        <v>0</v>
      </c>
      <c r="BU57" s="69">
        <f ca="1">$AO57*IF(Auswahllisten!$G$150,BU$25+BU$25*BU$13*$AN57,BU$25*(1+BU$13)^$AN57)</f>
        <v>0</v>
      </c>
      <c r="BV57" s="69">
        <f ca="1">$AO57*IF(Auswahllisten!$G$150,BV$25+BV$25*BV$13*$AN57,BV$25*(1+BV$13)^$AN57)</f>
        <v>0</v>
      </c>
      <c r="BW57" s="69">
        <f t="shared" ca="1" si="42"/>
        <v>0</v>
      </c>
      <c r="BX57" s="69">
        <f t="shared" ca="1" si="43"/>
        <v>0</v>
      </c>
      <c r="BY57" s="69">
        <f t="shared" ca="1" si="29"/>
        <v>0</v>
      </c>
      <c r="BZ57" s="69">
        <f t="shared" ca="1" si="30"/>
        <v>0</v>
      </c>
    </row>
    <row r="58" spans="1:78">
      <c r="A58" s="307" t="s">
        <v>1244</v>
      </c>
      <c r="B58" s="297" t="s">
        <v>1245</v>
      </c>
      <c r="C58" s="134" t="s">
        <v>359</v>
      </c>
      <c r="D58" s="163" t="str" cm="1">
        <f t="array" aca="1" ref="D58" ca="1">INDIRECT("Vergleich!"&amp;$G$2&amp;Z58)</f>
        <v>mittel</v>
      </c>
      <c r="E58" s="163" cm="1">
        <f t="array" aca="1" ref="E58" ca="1">INDIRECT("Investition_gewählt!"&amp;$I$5&amp;AA58)</f>
        <v>4500</v>
      </c>
      <c r="F58" s="61" cm="1">
        <f t="array" aca="1" ref="F58" ca="1">IF($C$5=0,0,INDEX(Faktoren!E44:GQ44,1,VLOOKUP($F$5,$L$2:$O$14,4,FALSE)+$C$9*5+VLOOKUP(D58,Auswahllisten!$E$25:$F$29,2,FALSE)))</f>
        <v>0</v>
      </c>
      <c r="G58" s="296">
        <f t="shared" ca="1" si="79"/>
        <v>0</v>
      </c>
      <c r="H58" s="296" cm="1">
        <f t="array" aca="1" ref="H58" ca="1">INDIRECT("Investition_gewählt!"&amp;$I$6&amp;AA58)</f>
        <v>4500</v>
      </c>
      <c r="I58" s="61" cm="1">
        <f t="array" aca="1" ref="I58" ca="1">IF($C$5=0,0,INDEX(Faktoren!E44:GQ44,1,VLOOKUP($F$6,$L$2:$O$14,4,FALSE)+$C$9*5+VLOOKUP(D58,Auswahllisten!$E$25:$F$29,2,FALSE)))</f>
        <v>0</v>
      </c>
      <c r="J58" s="163">
        <f t="shared" ca="1" si="80"/>
        <v>0</v>
      </c>
      <c r="K58" s="163">
        <f t="shared" ca="1" si="73"/>
        <v>0</v>
      </c>
      <c r="L58" s="93" t="b">
        <f t="shared" ca="1" si="74"/>
        <v>0</v>
      </c>
      <c r="M58" s="163">
        <f t="shared" ca="1" si="75"/>
        <v>0</v>
      </c>
      <c r="O58" s="93" t="str" cm="1">
        <f t="array" aca="1" ref="O58" ca="1">INDIRECT("Vergleich!"&amp;$Y$2&amp;Z58)</f>
        <v>gering</v>
      </c>
      <c r="P58" s="163" cm="1">
        <f t="array" aca="1" ref="P58" ca="1">INDIRECT("Investition_gewählt!"&amp;$AA$5&amp;AA58)</f>
        <v>4500</v>
      </c>
      <c r="Q58" s="93" cm="1">
        <f t="array" aca="1" ref="Q58" ca="1">IF($U$5=0,0,INDEX(Faktoren!E44:GQ44,1,VLOOKUP($X$5,$L$2:$O$14,4,FALSE)+$U$9*5+VLOOKUP(O58,Auswahllisten!$E$25:$F$29,2,FALSE)))</f>
        <v>0</v>
      </c>
      <c r="R58" s="163">
        <f t="shared" ca="1" si="76"/>
        <v>0</v>
      </c>
      <c r="S58" s="163" cm="1">
        <f t="array" aca="1" ref="S58" ca="1">INDIRECT("Investition_gewählt!"&amp;$AA$6&amp;AA58)</f>
        <v>4500</v>
      </c>
      <c r="T58" s="93" cm="1">
        <f t="array" aca="1" ref="T58" ca="1">IF($U$5=0,0,INDEX(Faktoren!E44:QG44,1,VLOOKUP($X$6,$L$3:$O$14,4,FALSE)+$U$9*5+VLOOKUP(O58,Auswahllisten!$E$25:$F$29,2,FALSE)))</f>
        <v>0</v>
      </c>
      <c r="U58" s="163">
        <f t="shared" ca="1" si="77"/>
        <v>0</v>
      </c>
      <c r="V58" s="163">
        <f t="shared" ca="1" si="14"/>
        <v>0</v>
      </c>
      <c r="W58" s="93" t="b">
        <f t="shared" ca="1" si="81"/>
        <v>0</v>
      </c>
      <c r="X58" s="163">
        <f t="shared" ca="1" si="78"/>
        <v>0</v>
      </c>
      <c r="Z58" s="1">
        <v>50</v>
      </c>
      <c r="AA58" s="1">
        <v>44</v>
      </c>
      <c r="AB58" s="1">
        <v>-2</v>
      </c>
      <c r="AN58" s="1">
        <v>33</v>
      </c>
      <c r="AO58" s="1">
        <f t="shared" si="24"/>
        <v>0</v>
      </c>
      <c r="AP58" s="69">
        <f t="shared" ca="1" si="71"/>
        <v>0</v>
      </c>
      <c r="AQ58" s="69">
        <f t="shared" ca="1" si="71"/>
        <v>0</v>
      </c>
      <c r="AR58" s="69">
        <f t="shared" si="71"/>
        <v>0</v>
      </c>
      <c r="AS58" s="69">
        <f t="shared" ca="1" si="71"/>
        <v>0</v>
      </c>
      <c r="AT58" s="69">
        <f t="shared" ca="1" si="71"/>
        <v>0</v>
      </c>
      <c r="AU58" s="69">
        <f t="shared" ca="1" si="71"/>
        <v>0</v>
      </c>
      <c r="AV58" s="69">
        <f t="shared" si="71"/>
        <v>0</v>
      </c>
      <c r="AW58" s="69">
        <f t="shared" ca="1" si="72"/>
        <v>0</v>
      </c>
      <c r="AX58" s="69">
        <f t="shared" ca="1" si="35"/>
        <v>0</v>
      </c>
      <c r="AY58" s="69">
        <f t="shared" ca="1" si="36"/>
        <v>0</v>
      </c>
      <c r="AZ58" s="69">
        <f ca="1">$AO58*IF(Auswahllisten!$G$150,AZ$25+AZ$25*AZ$13*$AN58,AZ$25*(1+AZ$13)^$AN58)</f>
        <v>0</v>
      </c>
      <c r="BA58" s="69">
        <f ca="1">$AO58*IF(Auswahllisten!$G$150,BA$25+BA$25*BA$13*$AN58,BA$25*(1+BA$13)^$AN58)</f>
        <v>0</v>
      </c>
      <c r="BB58" s="69">
        <f ca="1">$AO58*IF(Auswahllisten!$G$150,BB$25+BB$25*BB$13*$AN58,BB$25*(1+BB$13)^$AN58)</f>
        <v>0</v>
      </c>
      <c r="BC58" s="69">
        <f ca="1">$AO58*IF(Auswahllisten!$G$150,BC$25+BC$25*BC$13*$AN58,BC$25*(1+BC$13)^$AN58)</f>
        <v>0</v>
      </c>
      <c r="BD58" s="69">
        <f t="shared" ca="1" si="37"/>
        <v>0</v>
      </c>
      <c r="BE58" s="69">
        <f t="shared" ca="1" si="38"/>
        <v>0</v>
      </c>
      <c r="BF58" s="69">
        <f t="shared" ca="1" si="39"/>
        <v>0</v>
      </c>
      <c r="BG58" s="69">
        <f t="shared" ca="1" si="40"/>
        <v>0</v>
      </c>
      <c r="BI58" s="69">
        <f t="shared" ca="1" si="67"/>
        <v>0</v>
      </c>
      <c r="BJ58" s="69">
        <f t="shared" ca="1" si="67"/>
        <v>0</v>
      </c>
      <c r="BK58" s="69">
        <f t="shared" si="67"/>
        <v>0</v>
      </c>
      <c r="BL58" s="69">
        <f t="shared" ca="1" si="67"/>
        <v>0</v>
      </c>
      <c r="BM58" s="69">
        <f t="shared" ca="1" si="67"/>
        <v>0</v>
      </c>
      <c r="BN58" s="69">
        <f t="shared" ca="1" si="67"/>
        <v>0</v>
      </c>
      <c r="BO58" s="69">
        <f t="shared" si="67"/>
        <v>0</v>
      </c>
      <c r="BP58" s="69">
        <f t="shared" ref="BP58:BP96" ca="1" si="82">SUM(BI58:BO58)/(1+$AS$11)^AN58</f>
        <v>0</v>
      </c>
      <c r="BQ58" s="69">
        <f t="shared" ca="1" si="41"/>
        <v>0</v>
      </c>
      <c r="BR58" s="69">
        <f t="shared" ref="BR58:BR96" ca="1" si="83">SUM(BQ58)/(1+$AS$11)^AN58</f>
        <v>0</v>
      </c>
      <c r="BS58" s="69">
        <f ca="1">$AO58*IF(Auswahllisten!$G$150,BS$25+BS$25*BS$13*$AN58,BS$25*(1+BS$13)^$AN58)</f>
        <v>0</v>
      </c>
      <c r="BT58" s="69">
        <f ca="1">$AO58*IF(Auswahllisten!$G$150,BT$25+BT$25*BT$13*$AN58,BT$25*(1+BT$13)^$AN58)</f>
        <v>0</v>
      </c>
      <c r="BU58" s="69">
        <f ca="1">$AO58*IF(Auswahllisten!$G$150,BU$25+BU$25*BU$13*$AN58,BU$25*(1+BU$13)^$AN58)</f>
        <v>0</v>
      </c>
      <c r="BV58" s="69">
        <f ca="1">$AO58*IF(Auswahllisten!$G$150,BV$25+BV$25*BV$13*$AN58,BV$25*(1+BV$13)^$AN58)</f>
        <v>0</v>
      </c>
      <c r="BW58" s="69">
        <f t="shared" ca="1" si="42"/>
        <v>0</v>
      </c>
      <c r="BX58" s="69">
        <f t="shared" ca="1" si="43"/>
        <v>0</v>
      </c>
      <c r="BY58" s="69">
        <f t="shared" ca="1" si="29"/>
        <v>0</v>
      </c>
      <c r="BZ58" s="69">
        <f t="shared" ca="1" si="30"/>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24"/>
        <v>0</v>
      </c>
      <c r="AP59" s="69">
        <f t="shared" ca="1" si="71"/>
        <v>0</v>
      </c>
      <c r="AQ59" s="69">
        <f t="shared" ca="1" si="71"/>
        <v>0</v>
      </c>
      <c r="AR59" s="69">
        <f t="shared" si="71"/>
        <v>0</v>
      </c>
      <c r="AS59" s="69">
        <f t="shared" ca="1" si="71"/>
        <v>0</v>
      </c>
      <c r="AT59" s="69">
        <f t="shared" ca="1" si="71"/>
        <v>0</v>
      </c>
      <c r="AU59" s="69">
        <f t="shared" ca="1" si="71"/>
        <v>0</v>
      </c>
      <c r="AV59" s="69">
        <f t="shared" si="71"/>
        <v>0</v>
      </c>
      <c r="AW59" s="69">
        <f t="shared" ca="1" si="72"/>
        <v>0</v>
      </c>
      <c r="AX59" s="69">
        <f t="shared" ca="1" si="35"/>
        <v>0</v>
      </c>
      <c r="AY59" s="69">
        <f t="shared" ca="1" si="36"/>
        <v>0</v>
      </c>
      <c r="AZ59" s="69">
        <f ca="1">$AO59*IF(Auswahllisten!$G$150,AZ$25+AZ$25*AZ$13*$AN59,AZ$25*(1+AZ$13)^$AN59)</f>
        <v>0</v>
      </c>
      <c r="BA59" s="69">
        <f ca="1">$AO59*IF(Auswahllisten!$G$150,BA$25+BA$25*BA$13*$AN59,BA$25*(1+BA$13)^$AN59)</f>
        <v>0</v>
      </c>
      <c r="BB59" s="69">
        <f ca="1">$AO59*IF(Auswahllisten!$G$150,BB$25+BB$25*BB$13*$AN59,BB$25*(1+BB$13)^$AN59)</f>
        <v>0</v>
      </c>
      <c r="BC59" s="69">
        <f ca="1">$AO59*IF(Auswahllisten!$G$150,BC$25+BC$25*BC$13*$AN59,BC$25*(1+BC$13)^$AN59)</f>
        <v>0</v>
      </c>
      <c r="BD59" s="69">
        <f t="shared" ca="1" si="37"/>
        <v>0</v>
      </c>
      <c r="BE59" s="69">
        <f t="shared" ca="1" si="38"/>
        <v>0</v>
      </c>
      <c r="BF59" s="69">
        <f t="shared" ca="1" si="39"/>
        <v>0</v>
      </c>
      <c r="BG59" s="69">
        <f t="shared" ca="1" si="40"/>
        <v>0</v>
      </c>
      <c r="BI59" s="69">
        <f t="shared" ca="1" si="67"/>
        <v>0</v>
      </c>
      <c r="BJ59" s="69">
        <f t="shared" ca="1" si="67"/>
        <v>0</v>
      </c>
      <c r="BK59" s="69">
        <f t="shared" si="67"/>
        <v>0</v>
      </c>
      <c r="BL59" s="69">
        <f t="shared" ca="1" si="67"/>
        <v>0</v>
      </c>
      <c r="BM59" s="69">
        <f t="shared" ca="1" si="67"/>
        <v>0</v>
      </c>
      <c r="BN59" s="69">
        <f t="shared" ca="1" si="67"/>
        <v>0</v>
      </c>
      <c r="BO59" s="69">
        <f t="shared" si="67"/>
        <v>0</v>
      </c>
      <c r="BP59" s="69">
        <f t="shared" ca="1" si="82"/>
        <v>0</v>
      </c>
      <c r="BQ59" s="69">
        <f t="shared" ca="1" si="41"/>
        <v>0</v>
      </c>
      <c r="BR59" s="69">
        <f t="shared" ca="1" si="83"/>
        <v>0</v>
      </c>
      <c r="BS59" s="69">
        <f ca="1">$AO59*IF(Auswahllisten!$G$150,BS$25+BS$25*BS$13*$AN59,BS$25*(1+BS$13)^$AN59)</f>
        <v>0</v>
      </c>
      <c r="BT59" s="69">
        <f ca="1">$AO59*IF(Auswahllisten!$G$150,BT$25+BT$25*BT$13*$AN59,BT$25*(1+BT$13)^$AN59)</f>
        <v>0</v>
      </c>
      <c r="BU59" s="69">
        <f ca="1">$AO59*IF(Auswahllisten!$G$150,BU$25+BU$25*BU$13*$AN59,BU$25*(1+BU$13)^$AN59)</f>
        <v>0</v>
      </c>
      <c r="BV59" s="69">
        <f ca="1">$AO59*IF(Auswahllisten!$G$150,BV$25+BV$25*BV$13*$AN59,BV$25*(1+BV$13)^$AN59)</f>
        <v>0</v>
      </c>
      <c r="BW59" s="69">
        <f t="shared" ca="1" si="42"/>
        <v>0</v>
      </c>
      <c r="BX59" s="69">
        <f t="shared" ca="1" si="43"/>
        <v>0</v>
      </c>
      <c r="BY59" s="69">
        <f t="shared" ca="1" si="29"/>
        <v>0</v>
      </c>
      <c r="BZ59" s="69">
        <f t="shared" ca="1" si="30"/>
        <v>0</v>
      </c>
    </row>
    <row r="60" spans="1:78">
      <c r="A60" s="125" t="s">
        <v>998</v>
      </c>
      <c r="B60" s="125" t="s">
        <v>999</v>
      </c>
      <c r="C60" s="125"/>
      <c r="D60" s="69"/>
      <c r="E60" s="69"/>
      <c r="G60" s="69"/>
      <c r="H60" s="69"/>
      <c r="J60" s="69"/>
      <c r="K60" s="69"/>
      <c r="L60" s="155">
        <v>6</v>
      </c>
      <c r="M60" s="69"/>
      <c r="P60" s="69"/>
      <c r="R60" s="69"/>
      <c r="S60" s="69"/>
      <c r="U60" s="69"/>
      <c r="V60" s="69"/>
      <c r="X60" s="69"/>
      <c r="AA60" s="1">
        <v>46</v>
      </c>
      <c r="AB60" s="1">
        <v>-2</v>
      </c>
      <c r="AN60" s="1">
        <v>35</v>
      </c>
      <c r="AO60" s="1">
        <f t="shared" si="24"/>
        <v>0</v>
      </c>
      <c r="AP60" s="69">
        <f t="shared" ca="1" si="71"/>
        <v>0</v>
      </c>
      <c r="AQ60" s="69">
        <f t="shared" ca="1" si="71"/>
        <v>0</v>
      </c>
      <c r="AR60" s="69">
        <f t="shared" si="71"/>
        <v>0</v>
      </c>
      <c r="AS60" s="69">
        <f t="shared" ca="1" si="71"/>
        <v>0</v>
      </c>
      <c r="AT60" s="69">
        <f t="shared" ca="1" si="71"/>
        <v>0</v>
      </c>
      <c r="AU60" s="69">
        <f t="shared" ca="1" si="71"/>
        <v>0</v>
      </c>
      <c r="AV60" s="69">
        <f t="shared" si="71"/>
        <v>0</v>
      </c>
      <c r="AW60" s="69">
        <f t="shared" ca="1" si="72"/>
        <v>0</v>
      </c>
      <c r="AX60" s="69">
        <f t="shared" ca="1" si="35"/>
        <v>0</v>
      </c>
      <c r="AY60" s="69">
        <f t="shared" ca="1" si="36"/>
        <v>0</v>
      </c>
      <c r="AZ60" s="69">
        <f ca="1">$AO60*IF(Auswahllisten!$G$150,AZ$25+AZ$25*AZ$13*$AN60,AZ$25*(1+AZ$13)^$AN60)</f>
        <v>0</v>
      </c>
      <c r="BA60" s="69">
        <f ca="1">$AO60*IF(Auswahllisten!$G$150,BA$25+BA$25*BA$13*$AN60,BA$25*(1+BA$13)^$AN60)</f>
        <v>0</v>
      </c>
      <c r="BB60" s="69">
        <f ca="1">$AO60*IF(Auswahllisten!$G$150,BB$25+BB$25*BB$13*$AN60,BB$25*(1+BB$13)^$AN60)</f>
        <v>0</v>
      </c>
      <c r="BC60" s="69">
        <f ca="1">$AO60*IF(Auswahllisten!$G$150,BC$25+BC$25*BC$13*$AN60,BC$25*(1+BC$13)^$AN60)</f>
        <v>0</v>
      </c>
      <c r="BD60" s="69">
        <f t="shared" ca="1" si="37"/>
        <v>0</v>
      </c>
      <c r="BE60" s="69">
        <f t="shared" ca="1" si="38"/>
        <v>0</v>
      </c>
      <c r="BF60" s="69">
        <f t="shared" ca="1" si="39"/>
        <v>0</v>
      </c>
      <c r="BG60" s="69">
        <f t="shared" ca="1" si="40"/>
        <v>0</v>
      </c>
      <c r="BI60" s="69">
        <f t="shared" ca="1" si="67"/>
        <v>0</v>
      </c>
      <c r="BJ60" s="69">
        <f t="shared" ca="1" si="67"/>
        <v>0</v>
      </c>
      <c r="BK60" s="69">
        <f t="shared" si="67"/>
        <v>0</v>
      </c>
      <c r="BL60" s="69">
        <f t="shared" ca="1" si="67"/>
        <v>0</v>
      </c>
      <c r="BM60" s="69">
        <f t="shared" ca="1" si="67"/>
        <v>0</v>
      </c>
      <c r="BN60" s="69">
        <f t="shared" ca="1" si="67"/>
        <v>0</v>
      </c>
      <c r="BO60" s="69">
        <f t="shared" si="67"/>
        <v>0</v>
      </c>
      <c r="BP60" s="69">
        <f t="shared" ca="1" si="82"/>
        <v>0</v>
      </c>
      <c r="BQ60" s="69">
        <f t="shared" ca="1" si="41"/>
        <v>0</v>
      </c>
      <c r="BR60" s="69">
        <f t="shared" ca="1" si="83"/>
        <v>0</v>
      </c>
      <c r="BS60" s="69">
        <f ca="1">$AO60*IF(Auswahllisten!$G$150,BS$25+BS$25*BS$13*$AN60,BS$25*(1+BS$13)^$AN60)</f>
        <v>0</v>
      </c>
      <c r="BT60" s="69">
        <f ca="1">$AO60*IF(Auswahllisten!$G$150,BT$25+BT$25*BT$13*$AN60,BT$25*(1+BT$13)^$AN60)</f>
        <v>0</v>
      </c>
      <c r="BU60" s="69">
        <f ca="1">$AO60*IF(Auswahllisten!$G$150,BU$25+BU$25*BU$13*$AN60,BU$25*(1+BU$13)^$AN60)</f>
        <v>0</v>
      </c>
      <c r="BV60" s="69">
        <f ca="1">$AO60*IF(Auswahllisten!$G$150,BV$25+BV$25*BV$13*$AN60,BV$25*(1+BV$13)^$AN60)</f>
        <v>0</v>
      </c>
      <c r="BW60" s="69">
        <f t="shared" ca="1" si="42"/>
        <v>0</v>
      </c>
      <c r="BX60" s="69">
        <f t="shared" ca="1" si="43"/>
        <v>0</v>
      </c>
      <c r="BY60" s="69">
        <f t="shared" ca="1" si="29"/>
        <v>0</v>
      </c>
      <c r="BZ60" s="69">
        <f t="shared" ca="1" si="30"/>
        <v>0</v>
      </c>
    </row>
    <row r="61" spans="1:78">
      <c r="A61" s="304" t="s">
        <v>1217</v>
      </c>
      <c r="B61" s="131" t="s">
        <v>1242</v>
      </c>
      <c r="C61" s="131" t="s">
        <v>245</v>
      </c>
      <c r="D61" s="162" t="str" cm="1">
        <f t="array" aca="1" ref="D61" ca="1">INDIRECT("Vergleich!"&amp;$G$2&amp;Z61)</f>
        <v>mittel</v>
      </c>
      <c r="E61" s="162" cm="1">
        <f t="array" aca="1" ref="E61" ca="1">INDIRECT("Investition_gewählt!"&amp;$I$5&amp;AA61)</f>
        <v>23500</v>
      </c>
      <c r="F61" s="25" cm="1">
        <f t="array" aca="1" ref="F61" ca="1">IF($C$5=0,0,INDEX(Faktoren!E47:GQ47,1,VLOOKUP($F$5,$L$2:$O$14,4,FALSE)+$C$9*5+VLOOKUP(D61,Auswahllisten!$E$25:$F$29,2,FALSE)))</f>
        <v>0</v>
      </c>
      <c r="G61" s="162">
        <f ca="1">E61*F61</f>
        <v>0</v>
      </c>
      <c r="H61" s="162" cm="1">
        <f t="array" aca="1" ref="H61" ca="1">INDIRECT("Investition_gewählt!"&amp;$I$6&amp;AA61)</f>
        <v>23500</v>
      </c>
      <c r="I61" s="25" cm="1">
        <f t="array" aca="1" ref="I61" ca="1">IF($C$5=0,0,INDEX(Faktoren!E47:GQ47,1,VLOOKUP($F$6,$L$2:$O$14,4,FALSE)+$C$9*5+VLOOKUP(D61,Auswahllisten!$E$25:$F$29,2,FALSE)))</f>
        <v>0</v>
      </c>
      <c r="J61" s="162">
        <f ca="1">H61*I61</f>
        <v>0</v>
      </c>
      <c r="K61" s="162">
        <f t="shared" ref="K61:K69" ca="1" si="84">IF($C$5=0,0,G61+(J61-G61)*($C$6-$F$5)/($F$6-$F$5))</f>
        <v>0</v>
      </c>
      <c r="L61" s="25" t="b">
        <f t="shared" ref="L61:L69" ca="1" si="85">($C$5=$L$60)</f>
        <v>0</v>
      </c>
      <c r="M61" s="162">
        <f t="shared" ref="M61:M69" ca="1" si="86">IFERROR(ROUND(K61*L61,AB61),0)</f>
        <v>0</v>
      </c>
      <c r="O61" s="25" t="str" cm="1">
        <f t="array" aca="1" ref="O61" ca="1">INDIRECT("Vergleich!"&amp;$Y$2&amp;Z61)</f>
        <v>gering</v>
      </c>
      <c r="P61" s="162" cm="1">
        <f t="array" aca="1" ref="P61" ca="1">INDIRECT("Investition_gewählt!"&amp;$AA$5&amp;AA61)</f>
        <v>23500</v>
      </c>
      <c r="Q61" s="25" cm="1">
        <f t="array" aca="1" ref="Q61" ca="1">IF($U$5=0,0,INDEX(Faktoren!E47:GQ47,1,VLOOKUP($X$5,$L$2:$O$14,4,FALSE)+$U$9*5+VLOOKUP(O61,Auswahllisten!$E$25:$F$29,2,FALSE)))</f>
        <v>0</v>
      </c>
      <c r="R61" s="162">
        <f t="shared" ref="R61:R69" ca="1" si="87">P61*Q61</f>
        <v>0</v>
      </c>
      <c r="S61" s="162" cm="1">
        <f t="array" aca="1" ref="S61" ca="1">INDIRECT("Investition_gewählt!"&amp;$AA$6&amp;AA61)</f>
        <v>23500</v>
      </c>
      <c r="T61" s="25" cm="1">
        <f t="array" aca="1" ref="T61" ca="1">IF($U$5=0,0,INDEX(Faktoren!E47:QG47,1,VLOOKUP($X$6,$L$3:$O$14,4,FALSE)+$U$9*5+VLOOKUP(O61,Auswahllisten!$E$25:$F$29,2,FALSE)))</f>
        <v>0</v>
      </c>
      <c r="U61" s="162">
        <f t="shared" ref="U61:U69" ca="1" si="88">S61*T61</f>
        <v>0</v>
      </c>
      <c r="V61" s="162">
        <f t="shared" ca="1" si="14"/>
        <v>0</v>
      </c>
      <c r="W61" s="25" t="b">
        <f ca="1">($U$5=$L$60)</f>
        <v>0</v>
      </c>
      <c r="X61" s="162">
        <f t="shared" ref="X61:X69" ca="1" si="89">IFERROR(ROUND(V61*W61,AB61),0)</f>
        <v>0</v>
      </c>
      <c r="Z61" s="1">
        <v>32</v>
      </c>
      <c r="AA61" s="1">
        <v>47</v>
      </c>
      <c r="AB61" s="1">
        <v>-2</v>
      </c>
      <c r="AN61" s="1">
        <v>36</v>
      </c>
      <c r="AO61" s="1">
        <f t="shared" si="24"/>
        <v>0</v>
      </c>
      <c r="AP61" s="69">
        <f t="shared" ca="1" si="71"/>
        <v>0</v>
      </c>
      <c r="AQ61" s="69">
        <f t="shared" ca="1" si="71"/>
        <v>0</v>
      </c>
      <c r="AR61" s="69">
        <f t="shared" si="71"/>
        <v>0</v>
      </c>
      <c r="AS61" s="69">
        <f t="shared" ca="1" si="71"/>
        <v>0</v>
      </c>
      <c r="AT61" s="69">
        <f t="shared" ca="1" si="71"/>
        <v>0</v>
      </c>
      <c r="AU61" s="69">
        <f t="shared" ca="1" si="71"/>
        <v>0</v>
      </c>
      <c r="AV61" s="69">
        <f t="shared" si="71"/>
        <v>0</v>
      </c>
      <c r="AW61" s="69">
        <f t="shared" ca="1" si="72"/>
        <v>0</v>
      </c>
      <c r="AX61" s="69">
        <f t="shared" ca="1" si="35"/>
        <v>0</v>
      </c>
      <c r="AY61" s="69">
        <f t="shared" ca="1" si="36"/>
        <v>0</v>
      </c>
      <c r="AZ61" s="69">
        <f ca="1">$AO61*IF(Auswahllisten!$G$150,AZ$25+AZ$25*AZ$13*$AN61,AZ$25*(1+AZ$13)^$AN61)</f>
        <v>0</v>
      </c>
      <c r="BA61" s="69">
        <f ca="1">$AO61*IF(Auswahllisten!$G$150,BA$25+BA$25*BA$13*$AN61,BA$25*(1+BA$13)^$AN61)</f>
        <v>0</v>
      </c>
      <c r="BB61" s="69">
        <f ca="1">$AO61*IF(Auswahllisten!$G$150,BB$25+BB$25*BB$13*$AN61,BB$25*(1+BB$13)^$AN61)</f>
        <v>0</v>
      </c>
      <c r="BC61" s="69">
        <f ca="1">$AO61*IF(Auswahllisten!$G$150,BC$25+BC$25*BC$13*$AN61,BC$25*(1+BC$13)^$AN61)</f>
        <v>0</v>
      </c>
      <c r="BD61" s="69">
        <f t="shared" ca="1" si="37"/>
        <v>0</v>
      </c>
      <c r="BE61" s="69">
        <f t="shared" ca="1" si="38"/>
        <v>0</v>
      </c>
      <c r="BF61" s="69">
        <f t="shared" ca="1" si="39"/>
        <v>0</v>
      </c>
      <c r="BG61" s="69">
        <f t="shared" ca="1" si="40"/>
        <v>0</v>
      </c>
      <c r="BI61" s="69">
        <f t="shared" ca="1" si="67"/>
        <v>0</v>
      </c>
      <c r="BJ61" s="69">
        <f t="shared" ca="1" si="67"/>
        <v>0</v>
      </c>
      <c r="BK61" s="69">
        <f t="shared" si="67"/>
        <v>0</v>
      </c>
      <c r="BL61" s="69">
        <f t="shared" ca="1" si="67"/>
        <v>0</v>
      </c>
      <c r="BM61" s="69">
        <f t="shared" ca="1" si="67"/>
        <v>0</v>
      </c>
      <c r="BN61" s="69">
        <f t="shared" ca="1" si="67"/>
        <v>0</v>
      </c>
      <c r="BO61" s="69">
        <f t="shared" si="67"/>
        <v>0</v>
      </c>
      <c r="BP61" s="69">
        <f t="shared" ca="1" si="82"/>
        <v>0</v>
      </c>
      <c r="BQ61" s="69">
        <f t="shared" ca="1" si="41"/>
        <v>0</v>
      </c>
      <c r="BR61" s="69">
        <f t="shared" ca="1" si="83"/>
        <v>0</v>
      </c>
      <c r="BS61" s="69">
        <f ca="1">$AO61*IF(Auswahllisten!$G$150,BS$25+BS$25*BS$13*$AN61,BS$25*(1+BS$13)^$AN61)</f>
        <v>0</v>
      </c>
      <c r="BT61" s="69">
        <f ca="1">$AO61*IF(Auswahllisten!$G$150,BT$25+BT$25*BT$13*$AN61,BT$25*(1+BT$13)^$AN61)</f>
        <v>0</v>
      </c>
      <c r="BU61" s="69">
        <f ca="1">$AO61*IF(Auswahllisten!$G$150,BU$25+BU$25*BU$13*$AN61,BU$25*(1+BU$13)^$AN61)</f>
        <v>0</v>
      </c>
      <c r="BV61" s="69">
        <f ca="1">$AO61*IF(Auswahllisten!$G$150,BV$25+BV$25*BV$13*$AN61,BV$25*(1+BV$13)^$AN61)</f>
        <v>0</v>
      </c>
      <c r="BW61" s="69">
        <f t="shared" ca="1" si="42"/>
        <v>0</v>
      </c>
      <c r="BX61" s="69">
        <f t="shared" ca="1" si="43"/>
        <v>0</v>
      </c>
      <c r="BY61" s="69">
        <f t="shared" ca="1" si="29"/>
        <v>0</v>
      </c>
      <c r="BZ61" s="69">
        <f t="shared" ca="1" si="30"/>
        <v>0</v>
      </c>
    </row>
    <row r="62" spans="1:78">
      <c r="A62" s="305" t="s">
        <v>1215</v>
      </c>
      <c r="B62" s="126" t="s">
        <v>303</v>
      </c>
      <c r="C62" s="126" t="s">
        <v>1000</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IF($C$5=0,0,INDEX(Faktoren!E48:GQ48,1,VLOOKUP($F$5,$L$2:$O$14,4,FALSE)+$C$9*5+VLOOKUP(D62,Auswahllisten!$E$25:$F$29,2,FALSE)))</f>
        <v>0</v>
      </c>
      <c r="G62" s="26">
        <f t="shared" ref="G62:G69" ca="1" si="90">E62*F62</f>
        <v>0</v>
      </c>
      <c r="H62" s="26" cm="1">
        <f t="array" aca="1" ref="H62" ca="1">INDIRECT("Investition_gewählt!"&amp;$I$6&amp;AA62)</f>
        <v>8800</v>
      </c>
      <c r="I62" s="25" cm="1">
        <f t="array" aca="1" ref="I62" ca="1">IF($C$5=0,0,INDEX(Faktoren!E48:GQ48,1,VLOOKUP($F$6,$L$2:$O$14,4,FALSE)+$C$9*5+VLOOKUP(D62,Auswahllisten!$E$25:$F$29,2,FALSE)))</f>
        <v>0</v>
      </c>
      <c r="J62" s="26">
        <f t="shared" ref="J62:J69" ca="1" si="91">H62*I62</f>
        <v>0</v>
      </c>
      <c r="K62" s="26">
        <f t="shared" ca="1" si="84"/>
        <v>0</v>
      </c>
      <c r="L62" s="16" t="b">
        <f t="shared" ca="1" si="85"/>
        <v>0</v>
      </c>
      <c r="M62" s="26">
        <f t="shared" ca="1" si="86"/>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IF($U$5=0,0,INDEX(Faktoren!E48:GQ48,1,VLOOKUP($X$5,$L$2:$O$14,4,FALSE)+$U$9*5+VLOOKUP(O62,Auswahllisten!$E$25:$F$29,2,FALSE)))</f>
        <v>0</v>
      </c>
      <c r="R62" s="26">
        <f t="shared" ca="1" si="87"/>
        <v>0</v>
      </c>
      <c r="S62" s="26" cm="1">
        <f t="array" aca="1" ref="S62" ca="1">INDIRECT("Investition_gewählt!"&amp;$AA$6&amp;AA62)</f>
        <v>8800</v>
      </c>
      <c r="T62" s="16" cm="1">
        <f t="array" aca="1" ref="T62" ca="1">IF($U$5=0,0,INDEX(Faktoren!E48:QG48,1,VLOOKUP($X$6,$L$3:$O$14,4,FALSE)+$U$9*5+VLOOKUP(O62,Auswahllisten!$E$25:$F$29,2,FALSE)))</f>
        <v>0</v>
      </c>
      <c r="U62" s="26">
        <f t="shared" ca="1" si="88"/>
        <v>0</v>
      </c>
      <c r="V62" s="26">
        <f t="shared" ca="1" si="14"/>
        <v>0</v>
      </c>
      <c r="W62" s="16" t="b">
        <f t="shared" ref="W62:W69" ca="1" si="92">($U$5=$L$60)</f>
        <v>0</v>
      </c>
      <c r="X62" s="26">
        <f t="shared" ca="1" si="89"/>
        <v>0</v>
      </c>
      <c r="Z62" s="1">
        <v>40</v>
      </c>
      <c r="AA62" s="1">
        <v>48</v>
      </c>
      <c r="AB62" s="1">
        <v>-2</v>
      </c>
      <c r="AN62" s="1">
        <v>37</v>
      </c>
      <c r="AO62" s="1">
        <f t="shared" si="24"/>
        <v>0</v>
      </c>
      <c r="AP62" s="69">
        <f t="shared" ref="AP62:AV77" ca="1" si="93">IFERROR($AO62*IF(MOD($AN62,AP$20)=0,AP$25,0)*(1+$AS$10)^$AN62*IF($AS$3=$AN62,0,1),0)</f>
        <v>0</v>
      </c>
      <c r="AQ62" s="69">
        <f t="shared" ca="1" si="93"/>
        <v>0</v>
      </c>
      <c r="AR62" s="69">
        <f t="shared" si="93"/>
        <v>0</v>
      </c>
      <c r="AS62" s="69">
        <f t="shared" ca="1" si="93"/>
        <v>0</v>
      </c>
      <c r="AT62" s="69">
        <f t="shared" ca="1" si="93"/>
        <v>0</v>
      </c>
      <c r="AU62" s="69">
        <f t="shared" ca="1" si="93"/>
        <v>0</v>
      </c>
      <c r="AV62" s="69">
        <f t="shared" si="93"/>
        <v>0</v>
      </c>
      <c r="AW62" s="69">
        <f t="shared" ca="1" si="72"/>
        <v>0</v>
      </c>
      <c r="AX62" s="69">
        <f t="shared" ca="1" si="35"/>
        <v>0</v>
      </c>
      <c r="AY62" s="69">
        <f t="shared" ca="1" si="36"/>
        <v>0</v>
      </c>
      <c r="AZ62" s="69">
        <f ca="1">$AO62*IF(Auswahllisten!$G$150,AZ$25+AZ$25*AZ$13*$AN62,AZ$25*(1+AZ$13)^$AN62)</f>
        <v>0</v>
      </c>
      <c r="BA62" s="69">
        <f ca="1">$AO62*IF(Auswahllisten!$G$150,BA$25+BA$25*BA$13*$AN62,BA$25*(1+BA$13)^$AN62)</f>
        <v>0</v>
      </c>
      <c r="BB62" s="69">
        <f ca="1">$AO62*IF(Auswahllisten!$G$150,BB$25+BB$25*BB$13*$AN62,BB$25*(1+BB$13)^$AN62)</f>
        <v>0</v>
      </c>
      <c r="BC62" s="69">
        <f ca="1">$AO62*IF(Auswahllisten!$G$150,BC$25+BC$25*BC$13*$AN62,BC$25*(1+BC$13)^$AN62)</f>
        <v>0</v>
      </c>
      <c r="BD62" s="69">
        <f t="shared" ca="1" si="37"/>
        <v>0</v>
      </c>
      <c r="BE62" s="69">
        <f t="shared" ca="1" si="38"/>
        <v>0</v>
      </c>
      <c r="BF62" s="69">
        <f t="shared" ca="1" si="39"/>
        <v>0</v>
      </c>
      <c r="BG62" s="69">
        <f t="shared" ca="1" si="40"/>
        <v>0</v>
      </c>
      <c r="BI62" s="69">
        <f t="shared" ca="1" si="67"/>
        <v>0</v>
      </c>
      <c r="BJ62" s="69">
        <f t="shared" ca="1" si="67"/>
        <v>0</v>
      </c>
      <c r="BK62" s="69">
        <f t="shared" si="67"/>
        <v>0</v>
      </c>
      <c r="BL62" s="69">
        <f t="shared" ca="1" si="67"/>
        <v>0</v>
      </c>
      <c r="BM62" s="69">
        <f t="shared" ca="1" si="67"/>
        <v>0</v>
      </c>
      <c r="BN62" s="69">
        <f t="shared" ca="1" si="67"/>
        <v>0</v>
      </c>
      <c r="BO62" s="69">
        <f t="shared" si="67"/>
        <v>0</v>
      </c>
      <c r="BP62" s="69">
        <f t="shared" ca="1" si="82"/>
        <v>0</v>
      </c>
      <c r="BQ62" s="69">
        <f t="shared" ca="1" si="41"/>
        <v>0</v>
      </c>
      <c r="BR62" s="69">
        <f t="shared" ca="1" si="83"/>
        <v>0</v>
      </c>
      <c r="BS62" s="69">
        <f ca="1">$AO62*IF(Auswahllisten!$G$150,BS$25+BS$25*BS$13*$AN62,BS$25*(1+BS$13)^$AN62)</f>
        <v>0</v>
      </c>
      <c r="BT62" s="69">
        <f ca="1">$AO62*IF(Auswahllisten!$G$150,BT$25+BT$25*BT$13*$AN62,BT$25*(1+BT$13)^$AN62)</f>
        <v>0</v>
      </c>
      <c r="BU62" s="69">
        <f ca="1">$AO62*IF(Auswahllisten!$G$150,BU$25+BU$25*BU$13*$AN62,BU$25*(1+BU$13)^$AN62)</f>
        <v>0</v>
      </c>
      <c r="BV62" s="69">
        <f ca="1">$AO62*IF(Auswahllisten!$G$150,BV$25+BV$25*BV$13*$AN62,BV$25*(1+BV$13)^$AN62)</f>
        <v>0</v>
      </c>
      <c r="BW62" s="69">
        <f t="shared" ca="1" si="42"/>
        <v>0</v>
      </c>
      <c r="BX62" s="69">
        <f t="shared" ca="1" si="43"/>
        <v>0</v>
      </c>
      <c r="BY62" s="69">
        <f t="shared" ca="1" si="29"/>
        <v>0</v>
      </c>
      <c r="BZ62" s="69">
        <f t="shared" ca="1" si="30"/>
        <v>0</v>
      </c>
    </row>
    <row r="63" spans="1:78">
      <c r="A63" s="305" t="s">
        <v>1215</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IF($C$5=0,0,INDEX(Faktoren!E49:GQ49,1,VLOOKUP($F$5,$L$2:$O$14,4,FALSE)+$C$9*5+VLOOKUP(D63,Auswahllisten!$E$25:$F$29,2,FALSE)))</f>
        <v>0</v>
      </c>
      <c r="G63" s="26">
        <f t="shared" ca="1" si="90"/>
        <v>0</v>
      </c>
      <c r="H63" s="26" cm="1">
        <f t="array" aca="1" ref="H63" ca="1">INDIRECT("Investition_gewählt!"&amp;$I$6&amp;AA63)</f>
        <v>3600</v>
      </c>
      <c r="I63" s="25" cm="1">
        <f t="array" aca="1" ref="I63" ca="1">IF($C$5=0,0,INDEX(Faktoren!E49:GQ49,1,VLOOKUP($F$6,$L$2:$O$14,4,FALSE)+$C$9*5+VLOOKUP(D63,Auswahllisten!$E$25:$F$29,2,FALSE)))</f>
        <v>0</v>
      </c>
      <c r="J63" s="26">
        <f t="shared" ca="1" si="91"/>
        <v>0</v>
      </c>
      <c r="K63" s="26">
        <f t="shared" ca="1" si="84"/>
        <v>0</v>
      </c>
      <c r="L63" s="16" t="b">
        <f t="shared" ca="1" si="85"/>
        <v>0</v>
      </c>
      <c r="M63" s="26">
        <f t="shared" ca="1" si="86"/>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IF($U$5=0,0,INDEX(Faktoren!E49:GQ49,1,VLOOKUP($X$5,$L$2:$O$14,4,FALSE)+$U$9*5+VLOOKUP(O63,Auswahllisten!$E$25:$F$29,2,FALSE)))</f>
        <v>0</v>
      </c>
      <c r="R63" s="26">
        <f t="shared" ca="1" si="87"/>
        <v>0</v>
      </c>
      <c r="S63" s="26" cm="1">
        <f t="array" aca="1" ref="S63" ca="1">INDIRECT("Investition_gewählt!"&amp;$AA$6&amp;AA63)</f>
        <v>3600</v>
      </c>
      <c r="T63" s="16" cm="1">
        <f t="array" aca="1" ref="T63" ca="1">IF($U$5=0,0,INDEX(Faktoren!E49:QG49,1,VLOOKUP($X$6,$L$3:$O$14,4,FALSE)+$U$9*5+VLOOKUP(O63,Auswahllisten!$E$25:$F$29,2,FALSE)))</f>
        <v>0</v>
      </c>
      <c r="U63" s="26">
        <f t="shared" ca="1" si="88"/>
        <v>0</v>
      </c>
      <c r="V63" s="26">
        <f t="shared" ca="1" si="14"/>
        <v>0</v>
      </c>
      <c r="W63" s="16" t="b">
        <f t="shared" ca="1" si="92"/>
        <v>0</v>
      </c>
      <c r="X63" s="26">
        <f t="shared" ca="1" si="89"/>
        <v>0</v>
      </c>
      <c r="Z63" s="1">
        <v>42</v>
      </c>
      <c r="AA63" s="1">
        <v>49</v>
      </c>
      <c r="AB63" s="1">
        <v>-2</v>
      </c>
      <c r="AN63" s="1">
        <v>38</v>
      </c>
      <c r="AO63" s="1">
        <f t="shared" si="24"/>
        <v>0</v>
      </c>
      <c r="AP63" s="69">
        <f t="shared" ca="1" si="93"/>
        <v>0</v>
      </c>
      <c r="AQ63" s="69">
        <f t="shared" ca="1" si="93"/>
        <v>0</v>
      </c>
      <c r="AR63" s="69">
        <f t="shared" si="93"/>
        <v>0</v>
      </c>
      <c r="AS63" s="69">
        <f t="shared" ca="1" si="93"/>
        <v>0</v>
      </c>
      <c r="AT63" s="69">
        <f t="shared" ca="1" si="93"/>
        <v>0</v>
      </c>
      <c r="AU63" s="69">
        <f t="shared" ca="1" si="93"/>
        <v>0</v>
      </c>
      <c r="AV63" s="69">
        <f t="shared" si="93"/>
        <v>0</v>
      </c>
      <c r="AW63" s="69">
        <f t="shared" ca="1" si="72"/>
        <v>0</v>
      </c>
      <c r="AX63" s="69">
        <f t="shared" ca="1" si="35"/>
        <v>0</v>
      </c>
      <c r="AY63" s="69">
        <f t="shared" ca="1" si="36"/>
        <v>0</v>
      </c>
      <c r="AZ63" s="69">
        <f ca="1">$AO63*IF(Auswahllisten!$G$150,AZ$25+AZ$25*AZ$13*$AN63,AZ$25*(1+AZ$13)^$AN63)</f>
        <v>0</v>
      </c>
      <c r="BA63" s="69">
        <f ca="1">$AO63*IF(Auswahllisten!$G$150,BA$25+BA$25*BA$13*$AN63,BA$25*(1+BA$13)^$AN63)</f>
        <v>0</v>
      </c>
      <c r="BB63" s="69">
        <f ca="1">$AO63*IF(Auswahllisten!$G$150,BB$25+BB$25*BB$13*$AN63,BB$25*(1+BB$13)^$AN63)</f>
        <v>0</v>
      </c>
      <c r="BC63" s="69">
        <f ca="1">$AO63*IF(Auswahllisten!$G$150,BC$25+BC$25*BC$13*$AN63,BC$25*(1+BC$13)^$AN63)</f>
        <v>0</v>
      </c>
      <c r="BD63" s="69">
        <f t="shared" ca="1" si="37"/>
        <v>0</v>
      </c>
      <c r="BE63" s="69">
        <f t="shared" ca="1" si="38"/>
        <v>0</v>
      </c>
      <c r="BF63" s="69">
        <f t="shared" ca="1" si="39"/>
        <v>0</v>
      </c>
      <c r="BG63" s="69">
        <f t="shared" ca="1" si="40"/>
        <v>0</v>
      </c>
      <c r="BI63" s="69">
        <f t="shared" ca="1" si="67"/>
        <v>0</v>
      </c>
      <c r="BJ63" s="69">
        <f t="shared" ca="1" si="67"/>
        <v>0</v>
      </c>
      <c r="BK63" s="69">
        <f t="shared" si="67"/>
        <v>0</v>
      </c>
      <c r="BL63" s="69">
        <f t="shared" ca="1" si="67"/>
        <v>0</v>
      </c>
      <c r="BM63" s="69">
        <f t="shared" ca="1" si="67"/>
        <v>0</v>
      </c>
      <c r="BN63" s="69">
        <f t="shared" ca="1" si="67"/>
        <v>0</v>
      </c>
      <c r="BO63" s="69">
        <f t="shared" si="67"/>
        <v>0</v>
      </c>
      <c r="BP63" s="69">
        <f t="shared" ca="1" si="82"/>
        <v>0</v>
      </c>
      <c r="BQ63" s="69">
        <f t="shared" ca="1" si="41"/>
        <v>0</v>
      </c>
      <c r="BR63" s="69">
        <f t="shared" ca="1" si="83"/>
        <v>0</v>
      </c>
      <c r="BS63" s="69">
        <f ca="1">$AO63*IF(Auswahllisten!$G$150,BS$25+BS$25*BS$13*$AN63,BS$25*(1+BS$13)^$AN63)</f>
        <v>0</v>
      </c>
      <c r="BT63" s="69">
        <f ca="1">$AO63*IF(Auswahllisten!$G$150,BT$25+BT$25*BT$13*$AN63,BT$25*(1+BT$13)^$AN63)</f>
        <v>0</v>
      </c>
      <c r="BU63" s="69">
        <f ca="1">$AO63*IF(Auswahllisten!$G$150,BU$25+BU$25*BU$13*$AN63,BU$25*(1+BU$13)^$AN63)</f>
        <v>0</v>
      </c>
      <c r="BV63" s="69">
        <f ca="1">$AO63*IF(Auswahllisten!$G$150,BV$25+BV$25*BV$13*$AN63,BV$25*(1+BV$13)^$AN63)</f>
        <v>0</v>
      </c>
      <c r="BW63" s="69">
        <f t="shared" ca="1" si="42"/>
        <v>0</v>
      </c>
      <c r="BX63" s="69">
        <f t="shared" ca="1" si="43"/>
        <v>0</v>
      </c>
      <c r="BY63" s="69">
        <f t="shared" ca="1" si="29"/>
        <v>0</v>
      </c>
      <c r="BZ63" s="69">
        <f t="shared" ca="1" si="30"/>
        <v>0</v>
      </c>
    </row>
    <row r="64" spans="1:78">
      <c r="A64" s="305" t="s">
        <v>1218</v>
      </c>
      <c r="B64" s="126" t="s">
        <v>1243</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IF($C$5=0,0,INDEX(Faktoren!E50:GQ50,1,VLOOKUP($F$5,$L$2:$O$14,4,FALSE)+$C$9*5+VLOOKUP(D64,Auswahllisten!$E$25:$F$29,2,FALSE)))</f>
        <v>0</v>
      </c>
      <c r="G64" s="26">
        <f t="shared" ca="1" si="90"/>
        <v>0</v>
      </c>
      <c r="H64" s="26" cm="1">
        <f t="array" aca="1" ref="H64" ca="1">INDIRECT("Investition_gewählt!"&amp;$I$6&amp;AA64)</f>
        <v>1500</v>
      </c>
      <c r="I64" s="25" cm="1">
        <f t="array" aca="1" ref="I64" ca="1">IF($C$5=0,0,INDEX(Faktoren!E50:GQ50,1,VLOOKUP($F$6,$L$2:$O$14,4,FALSE)+$C$9*5+VLOOKUP(D64,Auswahllisten!$E$25:$F$29,2,FALSE)))</f>
        <v>0</v>
      </c>
      <c r="J64" s="26">
        <f t="shared" ca="1" si="91"/>
        <v>0</v>
      </c>
      <c r="K64" s="26">
        <f t="shared" ca="1" si="84"/>
        <v>0</v>
      </c>
      <c r="L64" s="16" t="b">
        <f t="shared" ca="1" si="85"/>
        <v>0</v>
      </c>
      <c r="M64" s="26">
        <f t="shared" ca="1" si="86"/>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IF($U$5=0,0,INDEX(Faktoren!E50:GQ50,1,VLOOKUP($X$5,$L$2:$O$14,4,FALSE)+$U$9*5+VLOOKUP(O64,Auswahllisten!$E$25:$F$29,2,FALSE)))</f>
        <v>0</v>
      </c>
      <c r="R64" s="26">
        <f t="shared" ca="1" si="87"/>
        <v>0</v>
      </c>
      <c r="S64" s="26" cm="1">
        <f t="array" aca="1" ref="S64" ca="1">INDIRECT("Investition_gewählt!"&amp;$AA$6&amp;AA64)</f>
        <v>1500</v>
      </c>
      <c r="T64" s="16" cm="1">
        <f t="array" aca="1" ref="T64" ca="1">IF($U$5=0,0,INDEX(Faktoren!E50:QG50,1,VLOOKUP($X$6,$L$3:$O$14,4,FALSE)+$U$9*5+VLOOKUP(O64,Auswahllisten!$E$25:$F$29,2,FALSE)))</f>
        <v>0</v>
      </c>
      <c r="U64" s="26">
        <f t="shared" ca="1" si="88"/>
        <v>0</v>
      </c>
      <c r="V64" s="26">
        <f t="shared" ca="1" si="14"/>
        <v>0</v>
      </c>
      <c r="W64" s="16" t="b">
        <f t="shared" ca="1" si="92"/>
        <v>0</v>
      </c>
      <c r="X64" s="26">
        <f t="shared" ca="1" si="89"/>
        <v>0</v>
      </c>
      <c r="Z64" s="1">
        <v>41</v>
      </c>
      <c r="AA64" s="1">
        <v>50</v>
      </c>
      <c r="AB64" s="1">
        <v>-2</v>
      </c>
      <c r="AN64" s="1">
        <v>39</v>
      </c>
      <c r="AO64" s="1">
        <f t="shared" si="24"/>
        <v>0</v>
      </c>
      <c r="AP64" s="69">
        <f t="shared" ca="1" si="93"/>
        <v>0</v>
      </c>
      <c r="AQ64" s="69">
        <f t="shared" ca="1" si="93"/>
        <v>0</v>
      </c>
      <c r="AR64" s="69">
        <f t="shared" si="93"/>
        <v>0</v>
      </c>
      <c r="AS64" s="69">
        <f t="shared" ca="1" si="93"/>
        <v>0</v>
      </c>
      <c r="AT64" s="69">
        <f t="shared" ca="1" si="93"/>
        <v>0</v>
      </c>
      <c r="AU64" s="69">
        <f t="shared" ca="1" si="93"/>
        <v>0</v>
      </c>
      <c r="AV64" s="69">
        <f t="shared" si="93"/>
        <v>0</v>
      </c>
      <c r="AW64" s="69">
        <f t="shared" ca="1" si="72"/>
        <v>0</v>
      </c>
      <c r="AX64" s="69">
        <f t="shared" ca="1" si="35"/>
        <v>0</v>
      </c>
      <c r="AY64" s="69">
        <f t="shared" ca="1" si="36"/>
        <v>0</v>
      </c>
      <c r="AZ64" s="69">
        <f ca="1">$AO64*IF(Auswahllisten!$G$150,AZ$25+AZ$25*AZ$13*$AN64,AZ$25*(1+AZ$13)^$AN64)</f>
        <v>0</v>
      </c>
      <c r="BA64" s="69">
        <f ca="1">$AO64*IF(Auswahllisten!$G$150,BA$25+BA$25*BA$13*$AN64,BA$25*(1+BA$13)^$AN64)</f>
        <v>0</v>
      </c>
      <c r="BB64" s="69">
        <f ca="1">$AO64*IF(Auswahllisten!$G$150,BB$25+BB$25*BB$13*$AN64,BB$25*(1+BB$13)^$AN64)</f>
        <v>0</v>
      </c>
      <c r="BC64" s="69">
        <f ca="1">$AO64*IF(Auswahllisten!$G$150,BC$25+BC$25*BC$13*$AN64,BC$25*(1+BC$13)^$AN64)</f>
        <v>0</v>
      </c>
      <c r="BD64" s="69">
        <f t="shared" ca="1" si="37"/>
        <v>0</v>
      </c>
      <c r="BE64" s="69">
        <f t="shared" ca="1" si="38"/>
        <v>0</v>
      </c>
      <c r="BF64" s="69">
        <f t="shared" ca="1" si="39"/>
        <v>0</v>
      </c>
      <c r="BG64" s="69">
        <f t="shared" ca="1" si="40"/>
        <v>0</v>
      </c>
      <c r="BI64" s="69">
        <f t="shared" ca="1" si="67"/>
        <v>0</v>
      </c>
      <c r="BJ64" s="69">
        <f t="shared" ca="1" si="67"/>
        <v>0</v>
      </c>
      <c r="BK64" s="69">
        <f t="shared" si="67"/>
        <v>0</v>
      </c>
      <c r="BL64" s="69">
        <f t="shared" ca="1" si="67"/>
        <v>0</v>
      </c>
      <c r="BM64" s="69">
        <f t="shared" ca="1" si="67"/>
        <v>0</v>
      </c>
      <c r="BN64" s="69">
        <f t="shared" ca="1" si="67"/>
        <v>0</v>
      </c>
      <c r="BO64" s="69">
        <f t="shared" si="67"/>
        <v>0</v>
      </c>
      <c r="BP64" s="69">
        <f t="shared" ca="1" si="82"/>
        <v>0</v>
      </c>
      <c r="BQ64" s="69">
        <f t="shared" ca="1" si="41"/>
        <v>0</v>
      </c>
      <c r="BR64" s="69">
        <f t="shared" ca="1" si="83"/>
        <v>0</v>
      </c>
      <c r="BS64" s="69">
        <f ca="1">$AO64*IF(Auswahllisten!$G$150,BS$25+BS$25*BS$13*$AN64,BS$25*(1+BS$13)^$AN64)</f>
        <v>0</v>
      </c>
      <c r="BT64" s="69">
        <f ca="1">$AO64*IF(Auswahllisten!$G$150,BT$25+BT$25*BT$13*$AN64,BT$25*(1+BT$13)^$AN64)</f>
        <v>0</v>
      </c>
      <c r="BU64" s="69">
        <f ca="1">$AO64*IF(Auswahllisten!$G$150,BU$25+BU$25*BU$13*$AN64,BU$25*(1+BU$13)^$AN64)</f>
        <v>0</v>
      </c>
      <c r="BV64" s="69">
        <f ca="1">$AO64*IF(Auswahllisten!$G$150,BV$25+BV$25*BV$13*$AN64,BV$25*(1+BV$13)^$AN64)</f>
        <v>0</v>
      </c>
      <c r="BW64" s="69">
        <f t="shared" ca="1" si="42"/>
        <v>0</v>
      </c>
      <c r="BX64" s="69">
        <f t="shared" ca="1" si="43"/>
        <v>0</v>
      </c>
      <c r="BY64" s="69">
        <f t="shared" ca="1" si="29"/>
        <v>0</v>
      </c>
      <c r="BZ64" s="69">
        <f t="shared" ca="1" si="30"/>
        <v>0</v>
      </c>
    </row>
    <row r="65" spans="1:78">
      <c r="A65" s="305" t="s">
        <v>1215</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IF($C$5=0,0,INDEX(Faktoren!E51:GQ51,1,VLOOKUP($F$5,$L$2:$O$14,4,FALSE)+$C$9*5+VLOOKUP(D65,Auswahllisten!$E$25:$F$29,2,FALSE)))</f>
        <v>0</v>
      </c>
      <c r="G65" s="26">
        <f t="shared" ca="1" si="90"/>
        <v>0</v>
      </c>
      <c r="H65" s="26" cm="1">
        <f t="array" aca="1" ref="H65" ca="1">INDIRECT("Investition_gewählt!"&amp;$I$6&amp;AA65)</f>
        <v>5600</v>
      </c>
      <c r="I65" s="25" cm="1">
        <f t="array" aca="1" ref="I65" ca="1">IF($C$5=0,0,INDEX(Faktoren!E51:GQ51,1,VLOOKUP($F$6,$L$2:$O$14,4,FALSE)+$C$9*5+VLOOKUP(D65,Auswahllisten!$E$25:$F$29,2,FALSE)))</f>
        <v>0</v>
      </c>
      <c r="J65" s="26">
        <f t="shared" ca="1" si="91"/>
        <v>0</v>
      </c>
      <c r="K65" s="26">
        <f t="shared" ca="1" si="84"/>
        <v>0</v>
      </c>
      <c r="L65" s="16" t="b">
        <f t="shared" ca="1" si="85"/>
        <v>0</v>
      </c>
      <c r="M65" s="26">
        <f t="shared" ca="1" si="86"/>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IF($U$5=0,0,INDEX(Faktoren!E51:GQ51,1,VLOOKUP($X$5,$L$2:$O$14,4,FALSE)+$U$9*5+VLOOKUP(O65,Auswahllisten!$E$25:$F$29,2,FALSE)))</f>
        <v>0</v>
      </c>
      <c r="R65" s="26">
        <f t="shared" ca="1" si="87"/>
        <v>0</v>
      </c>
      <c r="S65" s="26" cm="1">
        <f t="array" aca="1" ref="S65" ca="1">INDIRECT("Investition_gewählt!"&amp;$AA$6&amp;AA65)</f>
        <v>5600</v>
      </c>
      <c r="T65" s="16" cm="1">
        <f t="array" aca="1" ref="T65" ca="1">IF($U$5=0,0,INDEX(Faktoren!E51:QG51,1,VLOOKUP($X$6,$L$3:$O$14,4,FALSE)+$U$9*5+VLOOKUP(O65,Auswahllisten!$E$25:$F$29,2,FALSE)))</f>
        <v>0</v>
      </c>
      <c r="U65" s="26">
        <f t="shared" ca="1" si="88"/>
        <v>0</v>
      </c>
      <c r="V65" s="26">
        <f t="shared" ca="1" si="14"/>
        <v>0</v>
      </c>
      <c r="W65" s="16" t="b">
        <f t="shared" ca="1" si="92"/>
        <v>0</v>
      </c>
      <c r="X65" s="26">
        <f t="shared" ca="1" si="89"/>
        <v>0</v>
      </c>
      <c r="Z65" s="1">
        <v>46</v>
      </c>
      <c r="AA65" s="1">
        <v>51</v>
      </c>
      <c r="AB65" s="1">
        <v>-2</v>
      </c>
      <c r="AN65" s="1">
        <v>40</v>
      </c>
      <c r="AO65" s="1">
        <f t="shared" si="24"/>
        <v>0</v>
      </c>
      <c r="AP65" s="69">
        <f t="shared" ca="1" si="93"/>
        <v>0</v>
      </c>
      <c r="AQ65" s="69">
        <f t="shared" ca="1" si="93"/>
        <v>0</v>
      </c>
      <c r="AR65" s="69">
        <f t="shared" ca="1" si="93"/>
        <v>0</v>
      </c>
      <c r="AS65" s="69">
        <f t="shared" ca="1" si="93"/>
        <v>0</v>
      </c>
      <c r="AT65" s="69">
        <f t="shared" ca="1" si="93"/>
        <v>0</v>
      </c>
      <c r="AU65" s="69">
        <f t="shared" ca="1" si="93"/>
        <v>0</v>
      </c>
      <c r="AV65" s="69">
        <f t="shared" ca="1" si="93"/>
        <v>0</v>
      </c>
      <c r="AW65" s="69">
        <f t="shared" ca="1" si="72"/>
        <v>0</v>
      </c>
      <c r="AX65" s="69">
        <f t="shared" ca="1" si="35"/>
        <v>0</v>
      </c>
      <c r="AY65" s="69">
        <f t="shared" ca="1" si="36"/>
        <v>0</v>
      </c>
      <c r="AZ65" s="69">
        <f ca="1">$AO65*IF(Auswahllisten!$G$150,AZ$25+AZ$25*AZ$13*$AN65,AZ$25*(1+AZ$13)^$AN65)</f>
        <v>0</v>
      </c>
      <c r="BA65" s="69">
        <f ca="1">$AO65*IF(Auswahllisten!$G$150,BA$25+BA$25*BA$13*$AN65,BA$25*(1+BA$13)^$AN65)</f>
        <v>0</v>
      </c>
      <c r="BB65" s="69">
        <f ca="1">$AO65*IF(Auswahllisten!$G$150,BB$25+BB$25*BB$13*$AN65,BB$25*(1+BB$13)^$AN65)</f>
        <v>0</v>
      </c>
      <c r="BC65" s="69">
        <f ca="1">$AO65*IF(Auswahllisten!$G$150,BC$25+BC$25*BC$13*$AN65,BC$25*(1+BC$13)^$AN65)</f>
        <v>0</v>
      </c>
      <c r="BD65" s="69">
        <f t="shared" ca="1" si="37"/>
        <v>0</v>
      </c>
      <c r="BE65" s="69">
        <f t="shared" ca="1" si="38"/>
        <v>0</v>
      </c>
      <c r="BF65" s="69">
        <f t="shared" ca="1" si="39"/>
        <v>0</v>
      </c>
      <c r="BG65" s="69">
        <f t="shared" ca="1" si="40"/>
        <v>0</v>
      </c>
      <c r="BI65" s="69">
        <f t="shared" ca="1" si="67"/>
        <v>0</v>
      </c>
      <c r="BJ65" s="69">
        <f t="shared" ca="1" si="67"/>
        <v>0</v>
      </c>
      <c r="BK65" s="69">
        <f t="shared" si="67"/>
        <v>0</v>
      </c>
      <c r="BL65" s="69">
        <f t="shared" ca="1" si="67"/>
        <v>0</v>
      </c>
      <c r="BM65" s="69">
        <f t="shared" ca="1" si="67"/>
        <v>0</v>
      </c>
      <c r="BN65" s="69">
        <f t="shared" ca="1" si="67"/>
        <v>0</v>
      </c>
      <c r="BO65" s="69">
        <f t="shared" si="67"/>
        <v>0</v>
      </c>
      <c r="BP65" s="69">
        <f t="shared" ca="1" si="82"/>
        <v>0</v>
      </c>
      <c r="BQ65" s="69">
        <f t="shared" ca="1" si="41"/>
        <v>0</v>
      </c>
      <c r="BR65" s="69">
        <f t="shared" ca="1" si="83"/>
        <v>0</v>
      </c>
      <c r="BS65" s="69">
        <f ca="1">$AO65*IF(Auswahllisten!$G$150,BS$25+BS$25*BS$13*$AN65,BS$25*(1+BS$13)^$AN65)</f>
        <v>0</v>
      </c>
      <c r="BT65" s="69">
        <f ca="1">$AO65*IF(Auswahllisten!$G$150,BT$25+BT$25*BT$13*$AN65,BT$25*(1+BT$13)^$AN65)</f>
        <v>0</v>
      </c>
      <c r="BU65" s="69">
        <f ca="1">$AO65*IF(Auswahllisten!$G$150,BU$25+BU$25*BU$13*$AN65,BU$25*(1+BU$13)^$AN65)</f>
        <v>0</v>
      </c>
      <c r="BV65" s="69">
        <f ca="1">$AO65*IF(Auswahllisten!$G$150,BV$25+BV$25*BV$13*$AN65,BV$25*(1+BV$13)^$AN65)</f>
        <v>0</v>
      </c>
      <c r="BW65" s="69">
        <f t="shared" ca="1" si="42"/>
        <v>0</v>
      </c>
      <c r="BX65" s="69">
        <f t="shared" ca="1" si="43"/>
        <v>0</v>
      </c>
      <c r="BY65" s="69">
        <f t="shared" ca="1" si="29"/>
        <v>0</v>
      </c>
      <c r="BZ65" s="69">
        <f t="shared" ca="1" si="30"/>
        <v>0</v>
      </c>
    </row>
    <row r="66" spans="1:78">
      <c r="A66" s="305" t="s">
        <v>1215</v>
      </c>
      <c r="B66" s="126" t="s">
        <v>303</v>
      </c>
      <c r="C66" s="126" t="s">
        <v>966</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IF($C$5=0,0,INDEX(Faktoren!E52:GQ52,1,VLOOKUP($F$5,$L$2:$O$14,4,FALSE)+$C$9*5+VLOOKUP(D66,Auswahllisten!$E$25:$F$29,2,FALSE)))</f>
        <v>0</v>
      </c>
      <c r="G66" s="26">
        <f t="shared" ca="1" si="90"/>
        <v>0</v>
      </c>
      <c r="H66" s="26" cm="1">
        <f t="array" aca="1" ref="H66" ca="1">INDIRECT("Investition_gewählt!"&amp;$I$6&amp;AA66)</f>
        <v>8700</v>
      </c>
      <c r="I66" s="25" cm="1">
        <f t="array" aca="1" ref="I66" ca="1">IF($C$5=0,0,INDEX(Faktoren!E52:GQ52,1,VLOOKUP($F$6,$L$2:$O$14,4,FALSE)+$C$9*5+VLOOKUP(D66,Auswahllisten!$E$25:$F$29,2,FALSE)))</f>
        <v>0</v>
      </c>
      <c r="J66" s="26">
        <f t="shared" ca="1" si="91"/>
        <v>0</v>
      </c>
      <c r="K66" s="26">
        <f t="shared" ca="1" si="84"/>
        <v>0</v>
      </c>
      <c r="L66" s="16" t="b">
        <f t="shared" ca="1" si="85"/>
        <v>0</v>
      </c>
      <c r="M66" s="26">
        <f t="shared" ca="1" si="86"/>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IF($U$5=0,0,INDEX(Faktoren!E52:GQ52,1,VLOOKUP($X$5,$L$2:$O$14,4,FALSE)+$U$9*5+VLOOKUP(O66,Auswahllisten!$E$25:$F$29,2,FALSE)))</f>
        <v>0</v>
      </c>
      <c r="R66" s="26">
        <f t="shared" ca="1" si="87"/>
        <v>0</v>
      </c>
      <c r="S66" s="26" cm="1">
        <f t="array" aca="1" ref="S66" ca="1">INDIRECT("Investition_gewählt!"&amp;$AA$6&amp;AA66)</f>
        <v>8700</v>
      </c>
      <c r="T66" s="16" cm="1">
        <f t="array" aca="1" ref="T66" ca="1">IF($U$5=0,0,INDEX(Faktoren!E52:QG52,1,VLOOKUP($X$6,$L$3:$O$14,4,FALSE)+$U$9*5+VLOOKUP(O66,Auswahllisten!$E$25:$F$29,2,FALSE)))</f>
        <v>0</v>
      </c>
      <c r="U66" s="26">
        <f t="shared" ca="1" si="88"/>
        <v>0</v>
      </c>
      <c r="V66" s="26">
        <f t="shared" ca="1" si="14"/>
        <v>0</v>
      </c>
      <c r="W66" s="16" t="b">
        <f t="shared" ca="1" si="92"/>
        <v>0</v>
      </c>
      <c r="X66" s="26">
        <f t="shared" ca="1" si="89"/>
        <v>0</v>
      </c>
      <c r="Z66" s="1">
        <v>47</v>
      </c>
      <c r="AA66" s="1">
        <v>52</v>
      </c>
      <c r="AB66" s="1">
        <v>-2</v>
      </c>
      <c r="AN66" s="1">
        <v>41</v>
      </c>
      <c r="AO66" s="1">
        <f t="shared" si="24"/>
        <v>0</v>
      </c>
      <c r="AP66" s="69">
        <f t="shared" ca="1" si="93"/>
        <v>0</v>
      </c>
      <c r="AQ66" s="69">
        <f t="shared" ca="1" si="93"/>
        <v>0</v>
      </c>
      <c r="AR66" s="69">
        <f t="shared" si="93"/>
        <v>0</v>
      </c>
      <c r="AS66" s="69">
        <f t="shared" ca="1" si="93"/>
        <v>0</v>
      </c>
      <c r="AT66" s="69">
        <f t="shared" ca="1" si="93"/>
        <v>0</v>
      </c>
      <c r="AU66" s="69">
        <f t="shared" ca="1" si="93"/>
        <v>0</v>
      </c>
      <c r="AV66" s="69">
        <f t="shared" si="93"/>
        <v>0</v>
      </c>
      <c r="AW66" s="69">
        <f t="shared" ca="1" si="72"/>
        <v>0</v>
      </c>
      <c r="AX66" s="69">
        <f t="shared" ca="1" si="35"/>
        <v>0</v>
      </c>
      <c r="AY66" s="69">
        <f t="shared" ca="1" si="36"/>
        <v>0</v>
      </c>
      <c r="AZ66" s="69">
        <f ca="1">$AO66*IF(Auswahllisten!$G$150,AZ$25+AZ$25*AZ$13*$AN66,AZ$25*(1+AZ$13)^$AN66)</f>
        <v>0</v>
      </c>
      <c r="BA66" s="69">
        <f ca="1">$AO66*IF(Auswahllisten!$G$150,BA$25+BA$25*BA$13*$AN66,BA$25*(1+BA$13)^$AN66)</f>
        <v>0</v>
      </c>
      <c r="BB66" s="69">
        <f ca="1">$AO66*IF(Auswahllisten!$G$150,BB$25+BB$25*BB$13*$AN66,BB$25*(1+BB$13)^$AN66)</f>
        <v>0</v>
      </c>
      <c r="BC66" s="69">
        <f ca="1">$AO66*IF(Auswahllisten!$G$150,BC$25+BC$25*BC$13*$AN66,BC$25*(1+BC$13)^$AN66)</f>
        <v>0</v>
      </c>
      <c r="BD66" s="69">
        <f t="shared" ca="1" si="37"/>
        <v>0</v>
      </c>
      <c r="BE66" s="69">
        <f t="shared" ca="1" si="38"/>
        <v>0</v>
      </c>
      <c r="BF66" s="69">
        <f t="shared" ca="1" si="39"/>
        <v>0</v>
      </c>
      <c r="BG66" s="69">
        <f t="shared" ca="1" si="40"/>
        <v>0</v>
      </c>
      <c r="BI66" s="69">
        <f t="shared" ca="1" si="67"/>
        <v>0</v>
      </c>
      <c r="BJ66" s="69">
        <f t="shared" ca="1" si="67"/>
        <v>0</v>
      </c>
      <c r="BK66" s="69">
        <f t="shared" si="67"/>
        <v>0</v>
      </c>
      <c r="BL66" s="69">
        <f t="shared" ca="1" si="67"/>
        <v>0</v>
      </c>
      <c r="BM66" s="69">
        <f t="shared" ca="1" si="67"/>
        <v>0</v>
      </c>
      <c r="BN66" s="69">
        <f t="shared" ca="1" si="67"/>
        <v>0</v>
      </c>
      <c r="BO66" s="69">
        <f t="shared" si="67"/>
        <v>0</v>
      </c>
      <c r="BP66" s="69">
        <f t="shared" ca="1" si="82"/>
        <v>0</v>
      </c>
      <c r="BQ66" s="69">
        <f t="shared" ca="1" si="41"/>
        <v>0</v>
      </c>
      <c r="BR66" s="69">
        <f t="shared" ca="1" si="83"/>
        <v>0</v>
      </c>
      <c r="BS66" s="69">
        <f ca="1">$AO66*IF(Auswahllisten!$G$150,BS$25+BS$25*BS$13*$AN66,BS$25*(1+BS$13)^$AN66)</f>
        <v>0</v>
      </c>
      <c r="BT66" s="69">
        <f ca="1">$AO66*IF(Auswahllisten!$G$150,BT$25+BT$25*BT$13*$AN66,BT$25*(1+BT$13)^$AN66)</f>
        <v>0</v>
      </c>
      <c r="BU66" s="69">
        <f ca="1">$AO66*IF(Auswahllisten!$G$150,BU$25+BU$25*BU$13*$AN66,BU$25*(1+BU$13)^$AN66)</f>
        <v>0</v>
      </c>
      <c r="BV66" s="69">
        <f ca="1">$AO66*IF(Auswahllisten!$G$150,BV$25+BV$25*BV$13*$AN66,BV$25*(1+BV$13)^$AN66)</f>
        <v>0</v>
      </c>
      <c r="BW66" s="69">
        <f t="shared" ca="1" si="42"/>
        <v>0</v>
      </c>
      <c r="BX66" s="69">
        <f t="shared" ca="1" si="43"/>
        <v>0</v>
      </c>
      <c r="BY66" s="69">
        <f t="shared" ca="1" si="29"/>
        <v>0</v>
      </c>
      <c r="BZ66" s="69">
        <f t="shared" ca="1" si="30"/>
        <v>0</v>
      </c>
    </row>
    <row r="67" spans="1:78">
      <c r="A67" s="305" t="s">
        <v>1244</v>
      </c>
      <c r="B67" s="126" t="s">
        <v>1245</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IF($C$5=0,0,INDEX(Faktoren!E53:GQ53,1,VLOOKUP($F$5,$L$2:$O$14,4,FALSE)+$C$9*5+VLOOKUP(D67,Auswahllisten!$E$25:$F$29,2,FALSE)))</f>
        <v>0</v>
      </c>
      <c r="G67" s="26">
        <f t="shared" ca="1" si="90"/>
        <v>0</v>
      </c>
      <c r="H67" s="26" cm="1">
        <f t="array" aca="1" ref="H67" ca="1">INDIRECT("Investition_gewählt!"&amp;$I$6&amp;AA67)</f>
        <v>0</v>
      </c>
      <c r="I67" s="25" cm="1">
        <f t="array" aca="1" ref="I67" ca="1">IF($C$5=0,0,INDEX(Faktoren!E53:GQ53,1,VLOOKUP($F$6,$L$2:$O$14,4,FALSE)+$C$9*5+VLOOKUP(D67,Auswahllisten!$E$25:$F$29,2,FALSE)))</f>
        <v>0</v>
      </c>
      <c r="J67" s="26">
        <f t="shared" ca="1" si="91"/>
        <v>0</v>
      </c>
      <c r="K67" s="26">
        <f t="shared" ca="1" si="84"/>
        <v>0</v>
      </c>
      <c r="L67" s="16" t="b">
        <f t="shared" ca="1" si="85"/>
        <v>0</v>
      </c>
      <c r="M67" s="26">
        <f t="shared" ca="1" si="86"/>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IF($U$5=0,0,INDEX(Faktoren!E53:GQ53,1,VLOOKUP($X$5,$L$2:$O$14,4,FALSE)+$U$9*5+VLOOKUP(O67,Auswahllisten!$E$25:$F$29,2,FALSE)))</f>
        <v>0</v>
      </c>
      <c r="R67" s="26">
        <f t="shared" ca="1" si="87"/>
        <v>0</v>
      </c>
      <c r="S67" s="26" cm="1">
        <f t="array" aca="1" ref="S67" ca="1">INDIRECT("Investition_gewählt!"&amp;$AA$6&amp;AA67)</f>
        <v>0</v>
      </c>
      <c r="T67" s="16" cm="1">
        <f t="array" aca="1" ref="T67" ca="1">IF($U$5=0,0,INDEX(Faktoren!E53:QG53,1,VLOOKUP($X$6,$L$3:$O$14,4,FALSE)+$U$9*5+VLOOKUP(O67,Auswahllisten!$E$25:$F$29,2,FALSE)))</f>
        <v>0</v>
      </c>
      <c r="U67" s="26">
        <f t="shared" ca="1" si="88"/>
        <v>0</v>
      </c>
      <c r="V67" s="26">
        <f t="shared" ca="1" si="14"/>
        <v>0</v>
      </c>
      <c r="W67" s="16" t="b">
        <f t="shared" ca="1" si="92"/>
        <v>0</v>
      </c>
      <c r="X67" s="26">
        <f t="shared" ca="1" si="89"/>
        <v>0</v>
      </c>
      <c r="Z67" s="1">
        <v>51</v>
      </c>
      <c r="AA67" s="1">
        <v>53</v>
      </c>
      <c r="AB67" s="1">
        <v>-2</v>
      </c>
      <c r="AN67" s="1">
        <v>42</v>
      </c>
      <c r="AO67" s="1">
        <f t="shared" si="24"/>
        <v>0</v>
      </c>
      <c r="AP67" s="69">
        <f t="shared" ca="1" si="93"/>
        <v>0</v>
      </c>
      <c r="AQ67" s="69">
        <f t="shared" ca="1" si="93"/>
        <v>0</v>
      </c>
      <c r="AR67" s="69">
        <f t="shared" si="93"/>
        <v>0</v>
      </c>
      <c r="AS67" s="69">
        <f t="shared" ca="1" si="93"/>
        <v>0</v>
      </c>
      <c r="AT67" s="69">
        <f t="shared" ca="1" si="93"/>
        <v>0</v>
      </c>
      <c r="AU67" s="69">
        <f t="shared" ca="1" si="93"/>
        <v>0</v>
      </c>
      <c r="AV67" s="69">
        <f t="shared" si="93"/>
        <v>0</v>
      </c>
      <c r="AW67" s="69">
        <f t="shared" ca="1" si="72"/>
        <v>0</v>
      </c>
      <c r="AX67" s="69">
        <f t="shared" ca="1" si="35"/>
        <v>0</v>
      </c>
      <c r="AY67" s="69">
        <f t="shared" ca="1" si="36"/>
        <v>0</v>
      </c>
      <c r="AZ67" s="69">
        <f ca="1">$AO67*IF(Auswahllisten!$G$150,AZ$25+AZ$25*AZ$13*$AN67,AZ$25*(1+AZ$13)^$AN67)</f>
        <v>0</v>
      </c>
      <c r="BA67" s="69">
        <f ca="1">$AO67*IF(Auswahllisten!$G$150,BA$25+BA$25*BA$13*$AN67,BA$25*(1+BA$13)^$AN67)</f>
        <v>0</v>
      </c>
      <c r="BB67" s="69">
        <f ca="1">$AO67*IF(Auswahllisten!$G$150,BB$25+BB$25*BB$13*$AN67,BB$25*(1+BB$13)^$AN67)</f>
        <v>0</v>
      </c>
      <c r="BC67" s="69">
        <f ca="1">$AO67*IF(Auswahllisten!$G$150,BC$25+BC$25*BC$13*$AN67,BC$25*(1+BC$13)^$AN67)</f>
        <v>0</v>
      </c>
      <c r="BD67" s="69">
        <f t="shared" ca="1" si="37"/>
        <v>0</v>
      </c>
      <c r="BE67" s="69">
        <f t="shared" ca="1" si="38"/>
        <v>0</v>
      </c>
      <c r="BF67" s="69">
        <f t="shared" ca="1" si="39"/>
        <v>0</v>
      </c>
      <c r="BG67" s="69">
        <f t="shared" ca="1" si="40"/>
        <v>0</v>
      </c>
      <c r="BI67" s="69">
        <f t="shared" ca="1" si="67"/>
        <v>0</v>
      </c>
      <c r="BJ67" s="69">
        <f t="shared" ca="1" si="67"/>
        <v>0</v>
      </c>
      <c r="BK67" s="69">
        <f t="shared" si="67"/>
        <v>0</v>
      </c>
      <c r="BL67" s="69">
        <f t="shared" ca="1" si="67"/>
        <v>0</v>
      </c>
      <c r="BM67" s="69">
        <f t="shared" ca="1" si="67"/>
        <v>0</v>
      </c>
      <c r="BN67" s="69">
        <f t="shared" ca="1" si="67"/>
        <v>0</v>
      </c>
      <c r="BO67" s="69">
        <f t="shared" si="67"/>
        <v>0</v>
      </c>
      <c r="BP67" s="69">
        <f t="shared" ca="1" si="82"/>
        <v>0</v>
      </c>
      <c r="BQ67" s="69">
        <f t="shared" ca="1" si="41"/>
        <v>0</v>
      </c>
      <c r="BR67" s="69">
        <f t="shared" ca="1" si="83"/>
        <v>0</v>
      </c>
      <c r="BS67" s="69">
        <f ca="1">$AO67*IF(Auswahllisten!$G$150,BS$25+BS$25*BS$13*$AN67,BS$25*(1+BS$13)^$AN67)</f>
        <v>0</v>
      </c>
      <c r="BT67" s="69">
        <f ca="1">$AO67*IF(Auswahllisten!$G$150,BT$25+BT$25*BT$13*$AN67,BT$25*(1+BT$13)^$AN67)</f>
        <v>0</v>
      </c>
      <c r="BU67" s="69">
        <f ca="1">$AO67*IF(Auswahllisten!$G$150,BU$25+BU$25*BU$13*$AN67,BU$25*(1+BU$13)^$AN67)</f>
        <v>0</v>
      </c>
      <c r="BV67" s="69">
        <f ca="1">$AO67*IF(Auswahllisten!$G$150,BV$25+BV$25*BV$13*$AN67,BV$25*(1+BV$13)^$AN67)</f>
        <v>0</v>
      </c>
      <c r="BW67" s="69">
        <f t="shared" ca="1" si="42"/>
        <v>0</v>
      </c>
      <c r="BX67" s="69">
        <f t="shared" ca="1" si="43"/>
        <v>0</v>
      </c>
      <c r="BY67" s="69">
        <f t="shared" ca="1" si="29"/>
        <v>0</v>
      </c>
      <c r="BZ67" s="69">
        <f t="shared" ca="1" si="30"/>
        <v>0</v>
      </c>
    </row>
    <row r="68" spans="1:78">
      <c r="A68" s="305" t="s">
        <v>1244</v>
      </c>
      <c r="B68" s="126" t="s">
        <v>1245</v>
      </c>
      <c r="C68" s="126" t="s">
        <v>967</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IF($C$5=0,0,INDEX(Faktoren!E54:GQ54,1,VLOOKUP($F$5,$L$2:$O$14,4,FALSE)+$C$9*5+VLOOKUP(D68,Auswahllisten!$E$25:$F$29,2,FALSE)))</f>
        <v>0</v>
      </c>
      <c r="G68" s="26">
        <f t="shared" ca="1" si="90"/>
        <v>0</v>
      </c>
      <c r="H68" s="26" cm="1">
        <f t="array" aca="1" ref="H68" ca="1">INDIRECT("Investition_gewählt!"&amp;$I$6&amp;AA68)</f>
        <v>0</v>
      </c>
      <c r="I68" s="25" cm="1">
        <f t="array" aca="1" ref="I68" ca="1">IF($C$5=0,0,INDEX(Faktoren!E54:GQ54,1,VLOOKUP($F$6,$L$2:$O$14,4,FALSE)+$C$9*5+VLOOKUP(D68,Auswahllisten!$E$25:$F$29,2,FALSE)))</f>
        <v>0</v>
      </c>
      <c r="J68" s="26">
        <f t="shared" ca="1" si="91"/>
        <v>0</v>
      </c>
      <c r="K68" s="26">
        <f t="shared" ca="1" si="84"/>
        <v>0</v>
      </c>
      <c r="L68" s="16" t="b">
        <f t="shared" ca="1" si="85"/>
        <v>0</v>
      </c>
      <c r="M68" s="26">
        <f t="shared" ca="1" si="86"/>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IF($U$5=0,0,INDEX(Faktoren!E54:GQ54,1,VLOOKUP($X$5,$L$2:$O$14,4,FALSE)+$U$9*5+VLOOKUP(O68,Auswahllisten!$E$25:$F$29,2,FALSE)))</f>
        <v>0</v>
      </c>
      <c r="R68" s="26">
        <f t="shared" ca="1" si="87"/>
        <v>0</v>
      </c>
      <c r="S68" s="26" cm="1">
        <f t="array" aca="1" ref="S68" ca="1">INDIRECT("Investition_gewählt!"&amp;$AA$6&amp;AA68)</f>
        <v>0</v>
      </c>
      <c r="T68" s="16" cm="1">
        <f t="array" aca="1" ref="T68" ca="1">IF($U$5=0,0,INDEX(Faktoren!E54:QG54,1,VLOOKUP($X$6,$L$3:$O$14,4,FALSE)+$U$9*5+VLOOKUP(O68,Auswahllisten!$E$25:$F$29,2,FALSE)))</f>
        <v>0</v>
      </c>
      <c r="U68" s="26">
        <f t="shared" ca="1" si="88"/>
        <v>0</v>
      </c>
      <c r="V68" s="26">
        <f t="shared" ca="1" si="14"/>
        <v>0</v>
      </c>
      <c r="W68" s="16" t="b">
        <f t="shared" ca="1" si="92"/>
        <v>0</v>
      </c>
      <c r="X68" s="26">
        <f t="shared" ca="1" si="89"/>
        <v>0</v>
      </c>
      <c r="Z68" s="1">
        <v>49</v>
      </c>
      <c r="AA68" s="1">
        <v>54</v>
      </c>
      <c r="AB68" s="1">
        <v>-2</v>
      </c>
      <c r="AN68" s="1">
        <v>43</v>
      </c>
      <c r="AO68" s="1">
        <f t="shared" si="24"/>
        <v>0</v>
      </c>
      <c r="AP68" s="69">
        <f t="shared" ca="1" si="93"/>
        <v>0</v>
      </c>
      <c r="AQ68" s="69">
        <f t="shared" ca="1" si="93"/>
        <v>0</v>
      </c>
      <c r="AR68" s="69">
        <f t="shared" si="93"/>
        <v>0</v>
      </c>
      <c r="AS68" s="69">
        <f t="shared" ca="1" si="93"/>
        <v>0</v>
      </c>
      <c r="AT68" s="69">
        <f t="shared" ca="1" si="93"/>
        <v>0</v>
      </c>
      <c r="AU68" s="69">
        <f t="shared" ca="1" si="93"/>
        <v>0</v>
      </c>
      <c r="AV68" s="69">
        <f t="shared" si="93"/>
        <v>0</v>
      </c>
      <c r="AW68" s="69">
        <f t="shared" ca="1" si="72"/>
        <v>0</v>
      </c>
      <c r="AX68" s="69">
        <f t="shared" ca="1" si="35"/>
        <v>0</v>
      </c>
      <c r="AY68" s="69">
        <f t="shared" ca="1" si="36"/>
        <v>0</v>
      </c>
      <c r="AZ68" s="69">
        <f ca="1">$AO68*IF(Auswahllisten!$G$150,AZ$25+AZ$25*AZ$13*$AN68,AZ$25*(1+AZ$13)^$AN68)</f>
        <v>0</v>
      </c>
      <c r="BA68" s="69">
        <f ca="1">$AO68*IF(Auswahllisten!$G$150,BA$25+BA$25*BA$13*$AN68,BA$25*(1+BA$13)^$AN68)</f>
        <v>0</v>
      </c>
      <c r="BB68" s="69">
        <f ca="1">$AO68*IF(Auswahllisten!$G$150,BB$25+BB$25*BB$13*$AN68,BB$25*(1+BB$13)^$AN68)</f>
        <v>0</v>
      </c>
      <c r="BC68" s="69">
        <f ca="1">$AO68*IF(Auswahllisten!$G$150,BC$25+BC$25*BC$13*$AN68,BC$25*(1+BC$13)^$AN68)</f>
        <v>0</v>
      </c>
      <c r="BD68" s="69">
        <f t="shared" ca="1" si="37"/>
        <v>0</v>
      </c>
      <c r="BE68" s="69">
        <f t="shared" ca="1" si="38"/>
        <v>0</v>
      </c>
      <c r="BF68" s="69">
        <f t="shared" ca="1" si="39"/>
        <v>0</v>
      </c>
      <c r="BG68" s="69">
        <f t="shared" ca="1" si="40"/>
        <v>0</v>
      </c>
      <c r="BI68" s="69">
        <f t="shared" ca="1" si="67"/>
        <v>0</v>
      </c>
      <c r="BJ68" s="69">
        <f t="shared" ca="1" si="67"/>
        <v>0</v>
      </c>
      <c r="BK68" s="69">
        <f t="shared" si="67"/>
        <v>0</v>
      </c>
      <c r="BL68" s="69">
        <f t="shared" ca="1" si="67"/>
        <v>0</v>
      </c>
      <c r="BM68" s="69">
        <f t="shared" ca="1" si="67"/>
        <v>0</v>
      </c>
      <c r="BN68" s="69">
        <f t="shared" ca="1" si="67"/>
        <v>0</v>
      </c>
      <c r="BO68" s="69">
        <f t="shared" si="67"/>
        <v>0</v>
      </c>
      <c r="BP68" s="69">
        <f t="shared" ca="1" si="82"/>
        <v>0</v>
      </c>
      <c r="BQ68" s="69">
        <f t="shared" ca="1" si="41"/>
        <v>0</v>
      </c>
      <c r="BR68" s="69">
        <f t="shared" ca="1" si="83"/>
        <v>0</v>
      </c>
      <c r="BS68" s="69">
        <f ca="1">$AO68*IF(Auswahllisten!$G$150,BS$25+BS$25*BS$13*$AN68,BS$25*(1+BS$13)^$AN68)</f>
        <v>0</v>
      </c>
      <c r="BT68" s="69">
        <f ca="1">$AO68*IF(Auswahllisten!$G$150,BT$25+BT$25*BT$13*$AN68,BT$25*(1+BT$13)^$AN68)</f>
        <v>0</v>
      </c>
      <c r="BU68" s="69">
        <f ca="1">$AO68*IF(Auswahllisten!$G$150,BU$25+BU$25*BU$13*$AN68,BU$25*(1+BU$13)^$AN68)</f>
        <v>0</v>
      </c>
      <c r="BV68" s="69">
        <f ca="1">$AO68*IF(Auswahllisten!$G$150,BV$25+BV$25*BV$13*$AN68,BV$25*(1+BV$13)^$AN68)</f>
        <v>0</v>
      </c>
      <c r="BW68" s="69">
        <f t="shared" ca="1" si="42"/>
        <v>0</v>
      </c>
      <c r="BX68" s="69">
        <f t="shared" ca="1" si="43"/>
        <v>0</v>
      </c>
      <c r="BY68" s="69">
        <f t="shared" ca="1" si="29"/>
        <v>0</v>
      </c>
      <c r="BZ68" s="69">
        <f t="shared" ca="1" si="30"/>
        <v>0</v>
      </c>
    </row>
    <row r="69" spans="1:78">
      <c r="A69" s="307" t="s">
        <v>1244</v>
      </c>
      <c r="B69" s="297" t="s">
        <v>1245</v>
      </c>
      <c r="C69" s="134" t="s">
        <v>359</v>
      </c>
      <c r="D69" s="163" t="str" cm="1">
        <f t="array" aca="1" ref="D69" ca="1">INDIRECT("Vergleich!"&amp;$G$2&amp;Z69)</f>
        <v>mittel</v>
      </c>
      <c r="E69" s="163" cm="1">
        <f t="array" aca="1" ref="E69" ca="1">INDIRECT("Investition_gewählt!"&amp;$I$5&amp;AA69)</f>
        <v>4500</v>
      </c>
      <c r="F69" s="61" cm="1">
        <f t="array" aca="1" ref="F69" ca="1">IF($C$5=0,0,INDEX(Faktoren!E55:GQ55,1,VLOOKUP($F$5,$L$2:$O$14,4,FALSE)+$C$9*5+VLOOKUP(D69,Auswahllisten!$E$25:$F$29,2,FALSE)))</f>
        <v>0</v>
      </c>
      <c r="G69" s="296">
        <f t="shared" ca="1" si="90"/>
        <v>0</v>
      </c>
      <c r="H69" s="296" cm="1">
        <f t="array" aca="1" ref="H69" ca="1">INDIRECT("Investition_gewählt!"&amp;$I$6&amp;AA69)</f>
        <v>4500</v>
      </c>
      <c r="I69" s="61" cm="1">
        <f t="array" aca="1" ref="I69" ca="1">IF($C$5=0,0,INDEX(Faktoren!E55:GQ55,1,VLOOKUP($F$6,$L$2:$O$14,4,FALSE)+$C$9*5+VLOOKUP(D69,Auswahllisten!$E$25:$F$29,2,FALSE)))</f>
        <v>0</v>
      </c>
      <c r="J69" s="163">
        <f t="shared" ca="1" si="91"/>
        <v>0</v>
      </c>
      <c r="K69" s="163">
        <f t="shared" ca="1" si="84"/>
        <v>0</v>
      </c>
      <c r="L69" s="93" t="b">
        <f t="shared" ca="1" si="85"/>
        <v>0</v>
      </c>
      <c r="M69" s="163">
        <f t="shared" ca="1" si="86"/>
        <v>0</v>
      </c>
      <c r="O69" s="93" t="str" cm="1">
        <f t="array" aca="1" ref="O69" ca="1">INDIRECT("Vergleich!"&amp;$Y$2&amp;Z69)</f>
        <v>gering</v>
      </c>
      <c r="P69" s="163" cm="1">
        <f t="array" aca="1" ref="P69" ca="1">INDIRECT("Investition_gewählt!"&amp;$AA$5&amp;AA69)</f>
        <v>4500</v>
      </c>
      <c r="Q69" s="93" cm="1">
        <f t="array" aca="1" ref="Q69" ca="1">IF($U$5=0,0,INDEX(Faktoren!E55:GQ55,1,VLOOKUP($X$5,$L$2:$O$14,4,FALSE)+$U$9*5+VLOOKUP(O69,Auswahllisten!$E$25:$F$29,2,FALSE)))</f>
        <v>0</v>
      </c>
      <c r="R69" s="163">
        <f t="shared" ca="1" si="87"/>
        <v>0</v>
      </c>
      <c r="S69" s="163" cm="1">
        <f t="array" aca="1" ref="S69" ca="1">INDIRECT("Investition_gewählt!"&amp;$AA$6&amp;AA69)</f>
        <v>4500</v>
      </c>
      <c r="T69" s="93" cm="1">
        <f t="array" aca="1" ref="T69" ca="1">IF($U$5=0,0,INDEX(Faktoren!E55:QG55,1,VLOOKUP($X$6,$L$3:$O$14,4,FALSE)+$U$9*5+VLOOKUP(O69,Auswahllisten!$E$25:$F$29,2,FALSE)))</f>
        <v>0</v>
      </c>
      <c r="U69" s="163">
        <f t="shared" ca="1" si="88"/>
        <v>0</v>
      </c>
      <c r="V69" s="163">
        <f t="shared" ca="1" si="14"/>
        <v>0</v>
      </c>
      <c r="W69" s="93" t="b">
        <f t="shared" ca="1" si="92"/>
        <v>0</v>
      </c>
      <c r="X69" s="163">
        <f t="shared" ca="1" si="89"/>
        <v>0</v>
      </c>
      <c r="Z69" s="1">
        <v>50</v>
      </c>
      <c r="AA69" s="1">
        <v>55</v>
      </c>
      <c r="AB69" s="1">
        <v>-2</v>
      </c>
      <c r="AN69" s="1">
        <v>44</v>
      </c>
      <c r="AO69" s="1">
        <f t="shared" si="24"/>
        <v>0</v>
      </c>
      <c r="AP69" s="69">
        <f t="shared" ca="1" si="93"/>
        <v>0</v>
      </c>
      <c r="AQ69" s="69">
        <f t="shared" ca="1" si="93"/>
        <v>0</v>
      </c>
      <c r="AR69" s="69">
        <f t="shared" si="93"/>
        <v>0</v>
      </c>
      <c r="AS69" s="69">
        <f t="shared" ca="1" si="93"/>
        <v>0</v>
      </c>
      <c r="AT69" s="69">
        <f t="shared" ca="1" si="93"/>
        <v>0</v>
      </c>
      <c r="AU69" s="69">
        <f t="shared" ca="1" si="93"/>
        <v>0</v>
      </c>
      <c r="AV69" s="69">
        <f t="shared" si="93"/>
        <v>0</v>
      </c>
      <c r="AW69" s="69">
        <f t="shared" ca="1" si="72"/>
        <v>0</v>
      </c>
      <c r="AX69" s="69">
        <f t="shared" ca="1" si="35"/>
        <v>0</v>
      </c>
      <c r="AY69" s="69">
        <f t="shared" ca="1" si="36"/>
        <v>0</v>
      </c>
      <c r="AZ69" s="69">
        <f ca="1">$AO69*IF(Auswahllisten!$G$150,AZ$25+AZ$25*AZ$13*$AN69,AZ$25*(1+AZ$13)^$AN69)</f>
        <v>0</v>
      </c>
      <c r="BA69" s="69">
        <f ca="1">$AO69*IF(Auswahllisten!$G$150,BA$25+BA$25*BA$13*$AN69,BA$25*(1+BA$13)^$AN69)</f>
        <v>0</v>
      </c>
      <c r="BB69" s="69">
        <f ca="1">$AO69*IF(Auswahllisten!$G$150,BB$25+BB$25*BB$13*$AN69,BB$25*(1+BB$13)^$AN69)</f>
        <v>0</v>
      </c>
      <c r="BC69" s="69">
        <f ca="1">$AO69*IF(Auswahllisten!$G$150,BC$25+BC$25*BC$13*$AN69,BC$25*(1+BC$13)^$AN69)</f>
        <v>0</v>
      </c>
      <c r="BD69" s="69">
        <f t="shared" ca="1" si="37"/>
        <v>0</v>
      </c>
      <c r="BE69" s="69">
        <f t="shared" ca="1" si="38"/>
        <v>0</v>
      </c>
      <c r="BF69" s="69">
        <f t="shared" ca="1" si="39"/>
        <v>0</v>
      </c>
      <c r="BG69" s="69">
        <f t="shared" ca="1" si="40"/>
        <v>0</v>
      </c>
      <c r="BI69" s="69">
        <f t="shared" ca="1" si="67"/>
        <v>0</v>
      </c>
      <c r="BJ69" s="69">
        <f t="shared" ca="1" si="67"/>
        <v>0</v>
      </c>
      <c r="BK69" s="69">
        <f t="shared" si="67"/>
        <v>0</v>
      </c>
      <c r="BL69" s="69">
        <f t="shared" ca="1" si="67"/>
        <v>0</v>
      </c>
      <c r="BM69" s="69">
        <f t="shared" ca="1" si="67"/>
        <v>0</v>
      </c>
      <c r="BN69" s="69">
        <f t="shared" ca="1" si="67"/>
        <v>0</v>
      </c>
      <c r="BO69" s="69">
        <f t="shared" si="67"/>
        <v>0</v>
      </c>
      <c r="BP69" s="69">
        <f t="shared" ca="1" si="82"/>
        <v>0</v>
      </c>
      <c r="BQ69" s="69">
        <f t="shared" ca="1" si="41"/>
        <v>0</v>
      </c>
      <c r="BR69" s="69">
        <f t="shared" ca="1" si="83"/>
        <v>0</v>
      </c>
      <c r="BS69" s="69">
        <f ca="1">$AO69*IF(Auswahllisten!$G$150,BS$25+BS$25*BS$13*$AN69,BS$25*(1+BS$13)^$AN69)</f>
        <v>0</v>
      </c>
      <c r="BT69" s="69">
        <f ca="1">$AO69*IF(Auswahllisten!$G$150,BT$25+BT$25*BT$13*$AN69,BT$25*(1+BT$13)^$AN69)</f>
        <v>0</v>
      </c>
      <c r="BU69" s="69">
        <f ca="1">$AO69*IF(Auswahllisten!$G$150,BU$25+BU$25*BU$13*$AN69,BU$25*(1+BU$13)^$AN69)</f>
        <v>0</v>
      </c>
      <c r="BV69" s="69">
        <f ca="1">$AO69*IF(Auswahllisten!$G$150,BV$25+BV$25*BV$13*$AN69,BV$25*(1+BV$13)^$AN69)</f>
        <v>0</v>
      </c>
      <c r="BW69" s="69">
        <f t="shared" ca="1" si="42"/>
        <v>0</v>
      </c>
      <c r="BX69" s="69">
        <f t="shared" ca="1" si="43"/>
        <v>0</v>
      </c>
      <c r="BY69" s="69">
        <f t="shared" ca="1" si="29"/>
        <v>0</v>
      </c>
      <c r="BZ69" s="69">
        <f t="shared" ca="1" si="30"/>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24"/>
        <v>0</v>
      </c>
      <c r="AP70" s="69">
        <f t="shared" ca="1" si="93"/>
        <v>0</v>
      </c>
      <c r="AQ70" s="69">
        <f t="shared" ca="1" si="93"/>
        <v>0</v>
      </c>
      <c r="AR70" s="69">
        <f t="shared" si="93"/>
        <v>0</v>
      </c>
      <c r="AS70" s="69">
        <f t="shared" ca="1" si="93"/>
        <v>0</v>
      </c>
      <c r="AT70" s="69">
        <f t="shared" ca="1" si="93"/>
        <v>0</v>
      </c>
      <c r="AU70" s="69">
        <f t="shared" ca="1" si="93"/>
        <v>0</v>
      </c>
      <c r="AV70" s="69">
        <f t="shared" si="93"/>
        <v>0</v>
      </c>
      <c r="AW70" s="69">
        <f t="shared" ca="1" si="72"/>
        <v>0</v>
      </c>
      <c r="AX70" s="69">
        <f t="shared" ca="1" si="35"/>
        <v>0</v>
      </c>
      <c r="AY70" s="69">
        <f t="shared" ca="1" si="36"/>
        <v>0</v>
      </c>
      <c r="AZ70" s="69">
        <f ca="1">$AO70*IF(Auswahllisten!$G$150,AZ$25+AZ$25*AZ$13*$AN70,AZ$25*(1+AZ$13)^$AN70)</f>
        <v>0</v>
      </c>
      <c r="BA70" s="69">
        <f ca="1">$AO70*IF(Auswahllisten!$G$150,BA$25+BA$25*BA$13*$AN70,BA$25*(1+BA$13)^$AN70)</f>
        <v>0</v>
      </c>
      <c r="BB70" s="69">
        <f ca="1">$AO70*IF(Auswahllisten!$G$150,BB$25+BB$25*BB$13*$AN70,BB$25*(1+BB$13)^$AN70)</f>
        <v>0</v>
      </c>
      <c r="BC70" s="69">
        <f ca="1">$AO70*IF(Auswahllisten!$G$150,BC$25+BC$25*BC$13*$AN70,BC$25*(1+BC$13)^$AN70)</f>
        <v>0</v>
      </c>
      <c r="BD70" s="69">
        <f t="shared" ca="1" si="37"/>
        <v>0</v>
      </c>
      <c r="BE70" s="69">
        <f t="shared" ca="1" si="38"/>
        <v>0</v>
      </c>
      <c r="BF70" s="69">
        <f t="shared" ca="1" si="39"/>
        <v>0</v>
      </c>
      <c r="BG70" s="69">
        <f t="shared" ca="1" si="40"/>
        <v>0</v>
      </c>
      <c r="BI70" s="69">
        <f t="shared" ca="1" si="67"/>
        <v>0</v>
      </c>
      <c r="BJ70" s="69">
        <f t="shared" ca="1" si="67"/>
        <v>0</v>
      </c>
      <c r="BK70" s="69">
        <f t="shared" si="67"/>
        <v>0</v>
      </c>
      <c r="BL70" s="69">
        <f t="shared" ca="1" si="67"/>
        <v>0</v>
      </c>
      <c r="BM70" s="69">
        <f t="shared" ca="1" si="67"/>
        <v>0</v>
      </c>
      <c r="BN70" s="69">
        <f t="shared" ca="1" si="67"/>
        <v>0</v>
      </c>
      <c r="BO70" s="69">
        <f t="shared" si="67"/>
        <v>0</v>
      </c>
      <c r="BP70" s="69">
        <f t="shared" ca="1" si="82"/>
        <v>0</v>
      </c>
      <c r="BQ70" s="69">
        <f t="shared" ca="1" si="41"/>
        <v>0</v>
      </c>
      <c r="BR70" s="69">
        <f t="shared" ca="1" si="83"/>
        <v>0</v>
      </c>
      <c r="BS70" s="69">
        <f ca="1">$AO70*IF(Auswahllisten!$G$150,BS$25+BS$25*BS$13*$AN70,BS$25*(1+BS$13)^$AN70)</f>
        <v>0</v>
      </c>
      <c r="BT70" s="69">
        <f ca="1">$AO70*IF(Auswahllisten!$G$150,BT$25+BT$25*BT$13*$AN70,BT$25*(1+BT$13)^$AN70)</f>
        <v>0</v>
      </c>
      <c r="BU70" s="69">
        <f ca="1">$AO70*IF(Auswahllisten!$G$150,BU$25+BU$25*BU$13*$AN70,BU$25*(1+BU$13)^$AN70)</f>
        <v>0</v>
      </c>
      <c r="BV70" s="69">
        <f ca="1">$AO70*IF(Auswahllisten!$G$150,BV$25+BV$25*BV$13*$AN70,BV$25*(1+BV$13)^$AN70)</f>
        <v>0</v>
      </c>
      <c r="BW70" s="69">
        <f t="shared" ca="1" si="42"/>
        <v>0</v>
      </c>
      <c r="BX70" s="69">
        <f t="shared" ca="1" si="43"/>
        <v>0</v>
      </c>
      <c r="BY70" s="69">
        <f t="shared" ca="1" si="29"/>
        <v>0</v>
      </c>
      <c r="BZ70" s="69">
        <f t="shared" ca="1" si="30"/>
        <v>0</v>
      </c>
    </row>
    <row r="71" spans="1:78">
      <c r="A71" s="125" t="s">
        <v>1001</v>
      </c>
      <c r="B71" s="125" t="s">
        <v>143</v>
      </c>
      <c r="C71" s="125"/>
      <c r="D71" s="69"/>
      <c r="E71" s="69"/>
      <c r="G71" s="69"/>
      <c r="H71" s="69"/>
      <c r="J71" s="69"/>
      <c r="K71" s="69"/>
      <c r="L71" s="155">
        <v>7</v>
      </c>
      <c r="M71" s="69"/>
      <c r="P71" s="69"/>
      <c r="R71" s="69"/>
      <c r="S71" s="69"/>
      <c r="U71" s="69"/>
      <c r="V71" s="69"/>
      <c r="X71" s="69"/>
      <c r="AA71" s="1">
        <v>57</v>
      </c>
      <c r="AB71" s="1">
        <v>-2</v>
      </c>
      <c r="AN71" s="1">
        <v>46</v>
      </c>
      <c r="AO71" s="1">
        <f t="shared" si="24"/>
        <v>0</v>
      </c>
      <c r="AP71" s="69">
        <f t="shared" ca="1" si="93"/>
        <v>0</v>
      </c>
      <c r="AQ71" s="69">
        <f t="shared" ca="1" si="93"/>
        <v>0</v>
      </c>
      <c r="AR71" s="69">
        <f t="shared" si="93"/>
        <v>0</v>
      </c>
      <c r="AS71" s="69">
        <f t="shared" ca="1" si="93"/>
        <v>0</v>
      </c>
      <c r="AT71" s="69">
        <f t="shared" ca="1" si="93"/>
        <v>0</v>
      </c>
      <c r="AU71" s="69">
        <f t="shared" ca="1" si="93"/>
        <v>0</v>
      </c>
      <c r="AV71" s="69">
        <f t="shared" si="93"/>
        <v>0</v>
      </c>
      <c r="AW71" s="69">
        <f t="shared" ca="1" si="72"/>
        <v>0</v>
      </c>
      <c r="AX71" s="69">
        <f t="shared" ca="1" si="35"/>
        <v>0</v>
      </c>
      <c r="AY71" s="69">
        <f t="shared" ca="1" si="36"/>
        <v>0</v>
      </c>
      <c r="AZ71" s="69">
        <f ca="1">$AO71*IF(Auswahllisten!$G$150,AZ$25+AZ$25*AZ$13*$AN71,AZ$25*(1+AZ$13)^$AN71)</f>
        <v>0</v>
      </c>
      <c r="BA71" s="69">
        <f ca="1">$AO71*IF(Auswahllisten!$G$150,BA$25+BA$25*BA$13*$AN71,BA$25*(1+BA$13)^$AN71)</f>
        <v>0</v>
      </c>
      <c r="BB71" s="69">
        <f ca="1">$AO71*IF(Auswahllisten!$G$150,BB$25+BB$25*BB$13*$AN71,BB$25*(1+BB$13)^$AN71)</f>
        <v>0</v>
      </c>
      <c r="BC71" s="69">
        <f ca="1">$AO71*IF(Auswahllisten!$G$150,BC$25+BC$25*BC$13*$AN71,BC$25*(1+BC$13)^$AN71)</f>
        <v>0</v>
      </c>
      <c r="BD71" s="69">
        <f t="shared" ca="1" si="37"/>
        <v>0</v>
      </c>
      <c r="BE71" s="69">
        <f t="shared" ca="1" si="38"/>
        <v>0</v>
      </c>
      <c r="BF71" s="69">
        <f t="shared" ca="1" si="39"/>
        <v>0</v>
      </c>
      <c r="BG71" s="69">
        <f t="shared" ca="1" si="40"/>
        <v>0</v>
      </c>
      <c r="BI71" s="69">
        <f t="shared" ca="1" si="67"/>
        <v>0</v>
      </c>
      <c r="BJ71" s="69">
        <f t="shared" ca="1" si="67"/>
        <v>0</v>
      </c>
      <c r="BK71" s="69">
        <f t="shared" si="67"/>
        <v>0</v>
      </c>
      <c r="BL71" s="69">
        <f t="shared" ca="1" si="67"/>
        <v>0</v>
      </c>
      <c r="BM71" s="69">
        <f t="shared" ca="1" si="67"/>
        <v>0</v>
      </c>
      <c r="BN71" s="69">
        <f t="shared" ca="1" si="67"/>
        <v>0</v>
      </c>
      <c r="BO71" s="69">
        <f t="shared" si="67"/>
        <v>0</v>
      </c>
      <c r="BP71" s="69">
        <f t="shared" ca="1" si="82"/>
        <v>0</v>
      </c>
      <c r="BQ71" s="69">
        <f t="shared" ca="1" si="41"/>
        <v>0</v>
      </c>
      <c r="BR71" s="69">
        <f t="shared" ca="1" si="83"/>
        <v>0</v>
      </c>
      <c r="BS71" s="69">
        <f ca="1">$AO71*IF(Auswahllisten!$G$150,BS$25+BS$25*BS$13*$AN71,BS$25*(1+BS$13)^$AN71)</f>
        <v>0</v>
      </c>
      <c r="BT71" s="69">
        <f ca="1">$AO71*IF(Auswahllisten!$G$150,BT$25+BT$25*BT$13*$AN71,BT$25*(1+BT$13)^$AN71)</f>
        <v>0</v>
      </c>
      <c r="BU71" s="69">
        <f ca="1">$AO71*IF(Auswahllisten!$G$150,BU$25+BU$25*BU$13*$AN71,BU$25*(1+BU$13)^$AN71)</f>
        <v>0</v>
      </c>
      <c r="BV71" s="69">
        <f ca="1">$AO71*IF(Auswahllisten!$G$150,BV$25+BV$25*BV$13*$AN71,BV$25*(1+BV$13)^$AN71)</f>
        <v>0</v>
      </c>
      <c r="BW71" s="69">
        <f t="shared" ca="1" si="42"/>
        <v>0</v>
      </c>
      <c r="BX71" s="69">
        <f t="shared" ca="1" si="43"/>
        <v>0</v>
      </c>
      <c r="BY71" s="69">
        <f t="shared" ca="1" si="29"/>
        <v>0</v>
      </c>
      <c r="BZ71" s="69">
        <f t="shared" ca="1" si="30"/>
        <v>0</v>
      </c>
    </row>
    <row r="72" spans="1:78">
      <c r="A72" s="304" t="s">
        <v>1217</v>
      </c>
      <c r="B72" s="131" t="s">
        <v>1242</v>
      </c>
      <c r="C72" s="131" t="s">
        <v>246</v>
      </c>
      <c r="D72" s="162" t="str" cm="1">
        <f t="array" aca="1" ref="D72" ca="1">INDIRECT("Vergleich!"&amp;$G$2&amp;Z72)</f>
        <v>mittel</v>
      </c>
      <c r="E72" s="162" cm="1">
        <f t="array" aca="1" ref="E72" ca="1">INDIRECT("Investition_gewählt!"&amp;$I$5&amp;AA72)</f>
        <v>12200</v>
      </c>
      <c r="F72" s="25" cm="1">
        <f t="array" aca="1" ref="F72" ca="1">IF($C$5=0,0,INDEX(Faktoren!E58:GQ58,1,VLOOKUP($F$5,$L$2:$O$14,4,FALSE)+$C$9*5+VLOOKUP(D72,Auswahllisten!$E$25:$F$29,2,FALSE)))</f>
        <v>0</v>
      </c>
      <c r="G72" s="162">
        <f ca="1">E72*F72</f>
        <v>0</v>
      </c>
      <c r="H72" s="162" cm="1">
        <f t="array" aca="1" ref="H72" ca="1">INDIRECT("Investition_gewählt!"&amp;$I$6&amp;AA72)</f>
        <v>12200</v>
      </c>
      <c r="I72" s="25" cm="1">
        <f t="array" aca="1" ref="I72" ca="1">IF($C$5=0,0,INDEX(Faktoren!E58:GQ58,1,VLOOKUP($F$6,$L$2:$O$14,4,FALSE)+$C$9*5+VLOOKUP(D72,Auswahllisten!$E$25:$F$29,2,FALSE)))</f>
        <v>0</v>
      </c>
      <c r="J72" s="162">
        <f ca="1">H72*I72</f>
        <v>0</v>
      </c>
      <c r="K72" s="162">
        <f t="shared" ref="K72:K79" ca="1" si="94">IF($C$5=0,0,G72+(J72-G72)*($C$6-$F$5)/($F$6-$F$5))</f>
        <v>0</v>
      </c>
      <c r="L72" s="25" t="b">
        <f t="shared" ref="L72:L79" ca="1" si="95">($C$5=$L$71)</f>
        <v>0</v>
      </c>
      <c r="M72" s="162">
        <f t="shared" ref="M72:M79" ca="1" si="96">IFERROR(ROUND(K72*L72,AB72),0)</f>
        <v>0</v>
      </c>
      <c r="O72" s="25" t="str" cm="1">
        <f t="array" aca="1" ref="O72" ca="1">INDIRECT("Vergleich!"&amp;$Y$2&amp;Z72)</f>
        <v>gering</v>
      </c>
      <c r="P72" s="162" cm="1">
        <f t="array" aca="1" ref="P72" ca="1">INDIRECT("Investition_gewählt!"&amp;$AA$5&amp;AA72)</f>
        <v>12200</v>
      </c>
      <c r="Q72" s="25" cm="1">
        <f t="array" aca="1" ref="Q72" ca="1">IF($U$5=0,0,INDEX(Faktoren!E58:GQ58,1,VLOOKUP($X$5,$L$2:$O$14,4,FALSE)+$U$9*5+VLOOKUP(O72,Auswahllisten!$E$25:$F$29,2,FALSE)))</f>
        <v>0</v>
      </c>
      <c r="R72" s="162">
        <f t="shared" ref="R72:R79" ca="1" si="97">P72*Q72</f>
        <v>0</v>
      </c>
      <c r="S72" s="162" cm="1">
        <f t="array" aca="1" ref="S72" ca="1">INDIRECT("Investition_gewählt!"&amp;$AA$6&amp;AA72)</f>
        <v>12200</v>
      </c>
      <c r="T72" s="25" cm="1">
        <f t="array" aca="1" ref="T72" ca="1">IF($U$5=0,0,INDEX(Faktoren!E58:QG58,1,VLOOKUP($X$6,$L$3:$O$14,4,FALSE)+$U$9*5+VLOOKUP(O72,Auswahllisten!$E$25:$F$29,2,FALSE)))</f>
        <v>0</v>
      </c>
      <c r="U72" s="162">
        <f t="shared" ref="U72:U79" ca="1" si="98">S72*T72</f>
        <v>0</v>
      </c>
      <c r="V72" s="162">
        <f t="shared" ca="1" si="14"/>
        <v>0</v>
      </c>
      <c r="W72" s="25" t="b">
        <f ca="1">($U$5=$L$71)</f>
        <v>0</v>
      </c>
      <c r="X72" s="162">
        <f t="shared" ref="X72:X80" ca="1" si="99">IFERROR(ROUND(V72*W72,AB72),0)</f>
        <v>0</v>
      </c>
      <c r="Z72" s="1">
        <v>31</v>
      </c>
      <c r="AA72" s="1">
        <v>58</v>
      </c>
      <c r="AB72" s="1">
        <v>-2</v>
      </c>
      <c r="AN72" s="1">
        <v>47</v>
      </c>
      <c r="AO72" s="1">
        <f t="shared" si="24"/>
        <v>0</v>
      </c>
      <c r="AP72" s="69">
        <f t="shared" ca="1" si="93"/>
        <v>0</v>
      </c>
      <c r="AQ72" s="69">
        <f t="shared" ca="1" si="93"/>
        <v>0</v>
      </c>
      <c r="AR72" s="69">
        <f t="shared" si="93"/>
        <v>0</v>
      </c>
      <c r="AS72" s="69">
        <f t="shared" ca="1" si="93"/>
        <v>0</v>
      </c>
      <c r="AT72" s="69">
        <f t="shared" ca="1" si="93"/>
        <v>0</v>
      </c>
      <c r="AU72" s="69">
        <f t="shared" ca="1" si="93"/>
        <v>0</v>
      </c>
      <c r="AV72" s="69">
        <f t="shared" si="93"/>
        <v>0</v>
      </c>
      <c r="AW72" s="69">
        <f t="shared" ca="1" si="72"/>
        <v>0</v>
      </c>
      <c r="AX72" s="69">
        <f t="shared" ca="1" si="35"/>
        <v>0</v>
      </c>
      <c r="AY72" s="69">
        <f t="shared" ca="1" si="36"/>
        <v>0</v>
      </c>
      <c r="AZ72" s="69">
        <f ca="1">$AO72*IF(Auswahllisten!$G$150,AZ$25+AZ$25*AZ$13*$AN72,AZ$25*(1+AZ$13)^$AN72)</f>
        <v>0</v>
      </c>
      <c r="BA72" s="69">
        <f ca="1">$AO72*IF(Auswahllisten!$G$150,BA$25+BA$25*BA$13*$AN72,BA$25*(1+BA$13)^$AN72)</f>
        <v>0</v>
      </c>
      <c r="BB72" s="69">
        <f ca="1">$AO72*IF(Auswahllisten!$G$150,BB$25+BB$25*BB$13*$AN72,BB$25*(1+BB$13)^$AN72)</f>
        <v>0</v>
      </c>
      <c r="BC72" s="69">
        <f ca="1">$AO72*IF(Auswahllisten!$G$150,BC$25+BC$25*BC$13*$AN72,BC$25*(1+BC$13)^$AN72)</f>
        <v>0</v>
      </c>
      <c r="BD72" s="69">
        <f t="shared" ca="1" si="37"/>
        <v>0</v>
      </c>
      <c r="BE72" s="69">
        <f t="shared" ca="1" si="38"/>
        <v>0</v>
      </c>
      <c r="BF72" s="69">
        <f t="shared" ca="1" si="39"/>
        <v>0</v>
      </c>
      <c r="BG72" s="69">
        <f t="shared" ca="1" si="40"/>
        <v>0</v>
      </c>
      <c r="BI72" s="69">
        <f t="shared" ca="1" si="67"/>
        <v>0</v>
      </c>
      <c r="BJ72" s="69">
        <f t="shared" ca="1" si="67"/>
        <v>0</v>
      </c>
      <c r="BK72" s="69">
        <f t="shared" si="67"/>
        <v>0</v>
      </c>
      <c r="BL72" s="69">
        <f t="shared" ca="1" si="67"/>
        <v>0</v>
      </c>
      <c r="BM72" s="69">
        <f t="shared" ca="1" si="67"/>
        <v>0</v>
      </c>
      <c r="BN72" s="69">
        <f t="shared" ca="1" si="67"/>
        <v>0</v>
      </c>
      <c r="BO72" s="69">
        <f t="shared" si="67"/>
        <v>0</v>
      </c>
      <c r="BP72" s="69">
        <f t="shared" ca="1" si="82"/>
        <v>0</v>
      </c>
      <c r="BQ72" s="69">
        <f t="shared" ca="1" si="41"/>
        <v>0</v>
      </c>
      <c r="BR72" s="69">
        <f t="shared" ca="1" si="83"/>
        <v>0</v>
      </c>
      <c r="BS72" s="69">
        <f ca="1">$AO72*IF(Auswahllisten!$G$150,BS$25+BS$25*BS$13*$AN72,BS$25*(1+BS$13)^$AN72)</f>
        <v>0</v>
      </c>
      <c r="BT72" s="69">
        <f ca="1">$AO72*IF(Auswahllisten!$G$150,BT$25+BT$25*BT$13*$AN72,BT$25*(1+BT$13)^$AN72)</f>
        <v>0</v>
      </c>
      <c r="BU72" s="69">
        <f ca="1">$AO72*IF(Auswahllisten!$G$150,BU$25+BU$25*BU$13*$AN72,BU$25*(1+BU$13)^$AN72)</f>
        <v>0</v>
      </c>
      <c r="BV72" s="69">
        <f ca="1">$AO72*IF(Auswahllisten!$G$150,BV$25+BV$25*BV$13*$AN72,BV$25*(1+BV$13)^$AN72)</f>
        <v>0</v>
      </c>
      <c r="BW72" s="69">
        <f t="shared" ca="1" si="42"/>
        <v>0</v>
      </c>
      <c r="BX72" s="69">
        <f t="shared" ca="1" si="43"/>
        <v>0</v>
      </c>
      <c r="BY72" s="69">
        <f t="shared" ca="1" si="29"/>
        <v>0</v>
      </c>
      <c r="BZ72" s="69">
        <f t="shared" ca="1" si="30"/>
        <v>0</v>
      </c>
    </row>
    <row r="73" spans="1:78">
      <c r="A73" s="305" t="s">
        <v>1215</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IF($C$5=0,0,INDEX(Faktoren!E59:GQ59,1,VLOOKUP($F$5,$L$2:$O$14,4,FALSE)+$C$9*5+VLOOKUP(D73,Auswahllisten!$E$25:$F$29,2,FALSE)))</f>
        <v>0</v>
      </c>
      <c r="G73" s="26">
        <f t="shared" ref="G73:G79" ca="1" si="100">E73*F73</f>
        <v>0</v>
      </c>
      <c r="H73" s="26" cm="1">
        <f t="array" aca="1" ref="H73" ca="1">INDIRECT("Investition_gewählt!"&amp;$I$6&amp;AA73)</f>
        <v>8800</v>
      </c>
      <c r="I73" s="25" cm="1">
        <f t="array" aca="1" ref="I73" ca="1">IF($C$5=0,0,INDEX(Faktoren!E59:GQ59,1,VLOOKUP($F$6,$L$2:$O$14,4,FALSE)+$C$9*5+VLOOKUP(D73,Auswahllisten!$E$25:$F$29,2,FALSE)))</f>
        <v>0</v>
      </c>
      <c r="J73" s="26">
        <f t="shared" ref="J73:J79" ca="1" si="101">H73*I73</f>
        <v>0</v>
      </c>
      <c r="K73" s="26">
        <f t="shared" ca="1" si="94"/>
        <v>0</v>
      </c>
      <c r="L73" s="16" t="b">
        <f t="shared" ca="1" si="95"/>
        <v>0</v>
      </c>
      <c r="M73" s="26">
        <f t="shared" ca="1" si="96"/>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IF($U$5=0,0,INDEX(Faktoren!E59:GQ59,1,VLOOKUP($X$5,$L$2:$O$14,4,FALSE)+$U$9*5+VLOOKUP(O73,Auswahllisten!$E$25:$F$29,2,FALSE)))</f>
        <v>0</v>
      </c>
      <c r="R73" s="26">
        <f t="shared" ca="1" si="97"/>
        <v>0</v>
      </c>
      <c r="S73" s="26" cm="1">
        <f t="array" aca="1" ref="S73" ca="1">INDIRECT("Investition_gewählt!"&amp;$AA$6&amp;AA73)</f>
        <v>8800</v>
      </c>
      <c r="T73" s="16" cm="1">
        <f t="array" aca="1" ref="T73" ca="1">IF($U$5=0,0,INDEX(Faktoren!E59:QG59,1,VLOOKUP($X$6,$L$3:$O$14,4,FALSE)+$U$9*5+VLOOKUP(O73,Auswahllisten!$E$25:$F$29,2,FALSE)))</f>
        <v>0</v>
      </c>
      <c r="U73" s="26">
        <f t="shared" ca="1" si="98"/>
        <v>0</v>
      </c>
      <c r="V73" s="26">
        <f t="shared" ca="1" si="14"/>
        <v>0</v>
      </c>
      <c r="W73" s="16" t="b">
        <f t="shared" ref="W73:W79" ca="1" si="102">($U$5=$L$71)</f>
        <v>0</v>
      </c>
      <c r="X73" s="26">
        <f t="shared" ca="1" si="99"/>
        <v>0</v>
      </c>
      <c r="Z73" s="1">
        <v>40</v>
      </c>
      <c r="AA73" s="1">
        <v>59</v>
      </c>
      <c r="AB73" s="1">
        <v>-2</v>
      </c>
      <c r="AN73" s="1">
        <v>48</v>
      </c>
      <c r="AO73" s="1">
        <f t="shared" si="24"/>
        <v>0</v>
      </c>
      <c r="AP73" s="69">
        <f t="shared" ca="1" si="93"/>
        <v>0</v>
      </c>
      <c r="AQ73" s="69">
        <f t="shared" ca="1" si="93"/>
        <v>0</v>
      </c>
      <c r="AR73" s="69">
        <f t="shared" si="93"/>
        <v>0</v>
      </c>
      <c r="AS73" s="69">
        <f t="shared" ca="1" si="93"/>
        <v>0</v>
      </c>
      <c r="AT73" s="69">
        <f t="shared" ca="1" si="93"/>
        <v>0</v>
      </c>
      <c r="AU73" s="69">
        <f t="shared" ca="1" si="93"/>
        <v>0</v>
      </c>
      <c r="AV73" s="69">
        <f t="shared" si="93"/>
        <v>0</v>
      </c>
      <c r="AW73" s="69">
        <f t="shared" ca="1" si="72"/>
        <v>0</v>
      </c>
      <c r="AX73" s="69">
        <f t="shared" ca="1" si="35"/>
        <v>0</v>
      </c>
      <c r="AY73" s="69">
        <f t="shared" ca="1" si="36"/>
        <v>0</v>
      </c>
      <c r="AZ73" s="69">
        <f ca="1">$AO73*IF(Auswahllisten!$G$150,AZ$25+AZ$25*AZ$13*$AN73,AZ$25*(1+AZ$13)^$AN73)</f>
        <v>0</v>
      </c>
      <c r="BA73" s="69">
        <f ca="1">$AO73*IF(Auswahllisten!$G$150,BA$25+BA$25*BA$13*$AN73,BA$25*(1+BA$13)^$AN73)</f>
        <v>0</v>
      </c>
      <c r="BB73" s="69">
        <f ca="1">$AO73*IF(Auswahllisten!$G$150,BB$25+BB$25*BB$13*$AN73,BB$25*(1+BB$13)^$AN73)</f>
        <v>0</v>
      </c>
      <c r="BC73" s="69">
        <f ca="1">$AO73*IF(Auswahllisten!$G$150,BC$25+BC$25*BC$13*$AN73,BC$25*(1+BC$13)^$AN73)</f>
        <v>0</v>
      </c>
      <c r="BD73" s="69">
        <f t="shared" ca="1" si="37"/>
        <v>0</v>
      </c>
      <c r="BE73" s="69">
        <f t="shared" ca="1" si="38"/>
        <v>0</v>
      </c>
      <c r="BF73" s="69">
        <f t="shared" ca="1" si="39"/>
        <v>0</v>
      </c>
      <c r="BG73" s="69">
        <f t="shared" ca="1" si="40"/>
        <v>0</v>
      </c>
      <c r="BI73" s="69">
        <f t="shared" ca="1" si="67"/>
        <v>0</v>
      </c>
      <c r="BJ73" s="69">
        <f t="shared" ca="1" si="67"/>
        <v>0</v>
      </c>
      <c r="BK73" s="69">
        <f t="shared" si="67"/>
        <v>0</v>
      </c>
      <c r="BL73" s="69">
        <f t="shared" ca="1" si="67"/>
        <v>0</v>
      </c>
      <c r="BM73" s="69">
        <f t="shared" ca="1" si="67"/>
        <v>0</v>
      </c>
      <c r="BN73" s="69">
        <f t="shared" ca="1" si="67"/>
        <v>0</v>
      </c>
      <c r="BO73" s="69">
        <f t="shared" si="67"/>
        <v>0</v>
      </c>
      <c r="BP73" s="69">
        <f t="shared" ca="1" si="82"/>
        <v>0</v>
      </c>
      <c r="BQ73" s="69">
        <f t="shared" ca="1" si="41"/>
        <v>0</v>
      </c>
      <c r="BR73" s="69">
        <f t="shared" ca="1" si="83"/>
        <v>0</v>
      </c>
      <c r="BS73" s="69">
        <f ca="1">$AO73*IF(Auswahllisten!$G$150,BS$25+BS$25*BS$13*$AN73,BS$25*(1+BS$13)^$AN73)</f>
        <v>0</v>
      </c>
      <c r="BT73" s="69">
        <f ca="1">$AO73*IF(Auswahllisten!$G$150,BT$25+BT$25*BT$13*$AN73,BT$25*(1+BT$13)^$AN73)</f>
        <v>0</v>
      </c>
      <c r="BU73" s="69">
        <f ca="1">$AO73*IF(Auswahllisten!$G$150,BU$25+BU$25*BU$13*$AN73,BU$25*(1+BU$13)^$AN73)</f>
        <v>0</v>
      </c>
      <c r="BV73" s="69">
        <f ca="1">$AO73*IF(Auswahllisten!$G$150,BV$25+BV$25*BV$13*$AN73,BV$25*(1+BV$13)^$AN73)</f>
        <v>0</v>
      </c>
      <c r="BW73" s="69">
        <f t="shared" ca="1" si="42"/>
        <v>0</v>
      </c>
      <c r="BX73" s="69">
        <f t="shared" ca="1" si="43"/>
        <v>0</v>
      </c>
      <c r="BY73" s="69">
        <f t="shared" ca="1" si="29"/>
        <v>0</v>
      </c>
      <c r="BZ73" s="69">
        <f t="shared" ca="1" si="30"/>
        <v>0</v>
      </c>
    </row>
    <row r="74" spans="1:78">
      <c r="A74" s="305" t="s">
        <v>1215</v>
      </c>
      <c r="B74" s="126" t="s">
        <v>303</v>
      </c>
      <c r="C74" s="126" t="s">
        <v>965</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IF($C$5=0,0,INDEX(Faktoren!E60:GQ60,1,VLOOKUP($F$5,$L$2:$O$14,4,FALSE)+$C$9*5+VLOOKUP(D74,Auswahllisten!$E$25:$F$29,2,FALSE)))</f>
        <v>0</v>
      </c>
      <c r="G74" s="26">
        <f t="shared" ca="1" si="100"/>
        <v>0</v>
      </c>
      <c r="H74" s="26" cm="1">
        <f t="array" aca="1" ref="H74" ca="1">INDIRECT("Investition_gewählt!"&amp;$I$6&amp;AA74)</f>
        <v>3600</v>
      </c>
      <c r="I74" s="25" cm="1">
        <f t="array" aca="1" ref="I74" ca="1">IF($C$5=0,0,INDEX(Faktoren!E60:GQ60,1,VLOOKUP($F$6,$L$2:$O$14,4,FALSE)+$C$9*5+VLOOKUP(D74,Auswahllisten!$E$25:$F$29,2,FALSE)))</f>
        <v>0</v>
      </c>
      <c r="J74" s="26">
        <f t="shared" ca="1" si="101"/>
        <v>0</v>
      </c>
      <c r="K74" s="26">
        <f t="shared" ca="1" si="94"/>
        <v>0</v>
      </c>
      <c r="L74" s="16" t="b">
        <f t="shared" ca="1" si="95"/>
        <v>0</v>
      </c>
      <c r="M74" s="26">
        <f t="shared" ca="1" si="96"/>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IF($U$5=0,0,INDEX(Faktoren!E60:GQ60,1,VLOOKUP($X$5,$L$2:$O$14,4,FALSE)+$U$9*5+VLOOKUP(O74,Auswahllisten!$E$25:$F$29,2,FALSE)))</f>
        <v>0</v>
      </c>
      <c r="R74" s="26">
        <f t="shared" ca="1" si="97"/>
        <v>0</v>
      </c>
      <c r="S74" s="26" cm="1">
        <f t="array" aca="1" ref="S74" ca="1">INDIRECT("Investition_gewählt!"&amp;$AA$6&amp;AA74)</f>
        <v>3600</v>
      </c>
      <c r="T74" s="16" cm="1">
        <f t="array" aca="1" ref="T74" ca="1">IF($U$5=0,0,INDEX(Faktoren!E60:QG60,1,VLOOKUP($X$6,$L$3:$O$14,4,FALSE)+$U$9*5+VLOOKUP(O74,Auswahllisten!$E$25:$F$29,2,FALSE)))</f>
        <v>0</v>
      </c>
      <c r="U74" s="26">
        <f t="shared" ca="1" si="98"/>
        <v>0</v>
      </c>
      <c r="V74" s="26">
        <f t="shared" ca="1" si="14"/>
        <v>0</v>
      </c>
      <c r="W74" s="16" t="b">
        <f t="shared" ca="1" si="102"/>
        <v>0</v>
      </c>
      <c r="X74" s="26">
        <f t="shared" ca="1" si="99"/>
        <v>0</v>
      </c>
      <c r="Z74" s="1">
        <v>42</v>
      </c>
      <c r="AA74" s="1">
        <v>60</v>
      </c>
      <c r="AB74" s="1">
        <v>-2</v>
      </c>
      <c r="AN74" s="1">
        <v>49</v>
      </c>
      <c r="AO74" s="1">
        <f t="shared" si="24"/>
        <v>0</v>
      </c>
      <c r="AP74" s="69">
        <f t="shared" ca="1" si="93"/>
        <v>0</v>
      </c>
      <c r="AQ74" s="69">
        <f t="shared" ca="1" si="93"/>
        <v>0</v>
      </c>
      <c r="AR74" s="69">
        <f t="shared" si="93"/>
        <v>0</v>
      </c>
      <c r="AS74" s="69">
        <f t="shared" ca="1" si="93"/>
        <v>0</v>
      </c>
      <c r="AT74" s="69">
        <f t="shared" ca="1" si="93"/>
        <v>0</v>
      </c>
      <c r="AU74" s="69">
        <f t="shared" ca="1" si="93"/>
        <v>0</v>
      </c>
      <c r="AV74" s="69">
        <f t="shared" si="93"/>
        <v>0</v>
      </c>
      <c r="AW74" s="69">
        <f t="shared" ca="1" si="72"/>
        <v>0</v>
      </c>
      <c r="AX74" s="69">
        <f t="shared" ca="1" si="35"/>
        <v>0</v>
      </c>
      <c r="AY74" s="69">
        <f t="shared" ca="1" si="36"/>
        <v>0</v>
      </c>
      <c r="AZ74" s="69">
        <f ca="1">$AO74*IF(Auswahllisten!$G$150,AZ$25+AZ$25*AZ$13*$AN74,AZ$25*(1+AZ$13)^$AN74)</f>
        <v>0</v>
      </c>
      <c r="BA74" s="69">
        <f ca="1">$AO74*IF(Auswahllisten!$G$150,BA$25+BA$25*BA$13*$AN74,BA$25*(1+BA$13)^$AN74)</f>
        <v>0</v>
      </c>
      <c r="BB74" s="69">
        <f ca="1">$AO74*IF(Auswahllisten!$G$150,BB$25+BB$25*BB$13*$AN74,BB$25*(1+BB$13)^$AN74)</f>
        <v>0</v>
      </c>
      <c r="BC74" s="69">
        <f ca="1">$AO74*IF(Auswahllisten!$G$150,BC$25+BC$25*BC$13*$AN74,BC$25*(1+BC$13)^$AN74)</f>
        <v>0</v>
      </c>
      <c r="BD74" s="69">
        <f t="shared" ca="1" si="37"/>
        <v>0</v>
      </c>
      <c r="BE74" s="69">
        <f t="shared" ca="1" si="38"/>
        <v>0</v>
      </c>
      <c r="BF74" s="69">
        <f t="shared" ca="1" si="39"/>
        <v>0</v>
      </c>
      <c r="BG74" s="69">
        <f t="shared" ca="1" si="40"/>
        <v>0</v>
      </c>
      <c r="BI74" s="69">
        <f t="shared" ca="1" si="67"/>
        <v>0</v>
      </c>
      <c r="BJ74" s="69">
        <f t="shared" ca="1" si="67"/>
        <v>0</v>
      </c>
      <c r="BK74" s="69">
        <f t="shared" si="67"/>
        <v>0</v>
      </c>
      <c r="BL74" s="69">
        <f t="shared" ca="1" si="67"/>
        <v>0</v>
      </c>
      <c r="BM74" s="69">
        <f t="shared" ca="1" si="67"/>
        <v>0</v>
      </c>
      <c r="BN74" s="69">
        <f t="shared" ca="1" si="67"/>
        <v>0</v>
      </c>
      <c r="BO74" s="69">
        <f t="shared" si="67"/>
        <v>0</v>
      </c>
      <c r="BP74" s="69">
        <f t="shared" ca="1" si="82"/>
        <v>0</v>
      </c>
      <c r="BQ74" s="69">
        <f t="shared" ca="1" si="41"/>
        <v>0</v>
      </c>
      <c r="BR74" s="69">
        <f t="shared" ca="1" si="83"/>
        <v>0</v>
      </c>
      <c r="BS74" s="69">
        <f ca="1">$AO74*IF(Auswahllisten!$G$150,BS$25+BS$25*BS$13*$AN74,BS$25*(1+BS$13)^$AN74)</f>
        <v>0</v>
      </c>
      <c r="BT74" s="69">
        <f ca="1">$AO74*IF(Auswahllisten!$G$150,BT$25+BT$25*BT$13*$AN74,BT$25*(1+BT$13)^$AN74)</f>
        <v>0</v>
      </c>
      <c r="BU74" s="69">
        <f ca="1">$AO74*IF(Auswahllisten!$G$150,BU$25+BU$25*BU$13*$AN74,BU$25*(1+BU$13)^$AN74)</f>
        <v>0</v>
      </c>
      <c r="BV74" s="69">
        <f ca="1">$AO74*IF(Auswahllisten!$G$150,BV$25+BV$25*BV$13*$AN74,BV$25*(1+BV$13)^$AN74)</f>
        <v>0</v>
      </c>
      <c r="BW74" s="69">
        <f t="shared" ca="1" si="42"/>
        <v>0</v>
      </c>
      <c r="BX74" s="69">
        <f t="shared" ca="1" si="43"/>
        <v>0</v>
      </c>
      <c r="BY74" s="69">
        <f t="shared" ca="1" si="29"/>
        <v>0</v>
      </c>
      <c r="BZ74" s="69">
        <f t="shared" ca="1" si="30"/>
        <v>0</v>
      </c>
    </row>
    <row r="75" spans="1:78">
      <c r="A75" s="305" t="s">
        <v>1218</v>
      </c>
      <c r="B75" s="126" t="s">
        <v>1243</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IF($C$5=0,0,INDEX(Faktoren!E61:GQ61,1,VLOOKUP($F$5,$L$2:$O$14,4,FALSE)+$C$9*5+VLOOKUP(D75,Auswahllisten!$E$25:$F$29,2,FALSE)))</f>
        <v>0</v>
      </c>
      <c r="G75" s="26">
        <f t="shared" ca="1" si="100"/>
        <v>0</v>
      </c>
      <c r="H75" s="26" cm="1">
        <f t="array" aca="1" ref="H75" ca="1">INDIRECT("Investition_gewählt!"&amp;$I$6&amp;AA75)</f>
        <v>1500</v>
      </c>
      <c r="I75" s="25" cm="1">
        <f t="array" aca="1" ref="I75" ca="1">IF($C$5=0,0,INDEX(Faktoren!E61:GQ61,1,VLOOKUP($F$6,$L$2:$O$14,4,FALSE)+$C$9*5+VLOOKUP(D75,Auswahllisten!$E$25:$F$29,2,FALSE)))</f>
        <v>0</v>
      </c>
      <c r="J75" s="26">
        <f t="shared" ca="1" si="101"/>
        <v>0</v>
      </c>
      <c r="K75" s="26">
        <f t="shared" ca="1" si="94"/>
        <v>0</v>
      </c>
      <c r="L75" s="16" t="b">
        <f t="shared" ca="1" si="95"/>
        <v>0</v>
      </c>
      <c r="M75" s="26">
        <f t="shared" ca="1" si="96"/>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IF($U$5=0,0,INDEX(Faktoren!E61:GQ61,1,VLOOKUP($X$5,$L$2:$O$14,4,FALSE)+$U$9*5+VLOOKUP(O75,Auswahllisten!$E$25:$F$29,2,FALSE)))</f>
        <v>0</v>
      </c>
      <c r="R75" s="26">
        <f t="shared" ca="1" si="97"/>
        <v>0</v>
      </c>
      <c r="S75" s="26" cm="1">
        <f t="array" aca="1" ref="S75" ca="1">INDIRECT("Investition_gewählt!"&amp;$AA$6&amp;AA75)</f>
        <v>1500</v>
      </c>
      <c r="T75" s="16" cm="1">
        <f t="array" aca="1" ref="T75" ca="1">IF($U$5=0,0,INDEX(Faktoren!E61:QG61,1,VLOOKUP($X$6,$L$3:$O$14,4,FALSE)+$U$9*5+VLOOKUP(O75,Auswahllisten!$E$25:$F$29,2,FALSE)))</f>
        <v>0</v>
      </c>
      <c r="U75" s="26">
        <f t="shared" ca="1" si="98"/>
        <v>0</v>
      </c>
      <c r="V75" s="26">
        <f t="shared" ca="1" si="14"/>
        <v>0</v>
      </c>
      <c r="W75" s="16" t="b">
        <f t="shared" ca="1" si="102"/>
        <v>0</v>
      </c>
      <c r="X75" s="26">
        <f t="shared" ca="1" si="99"/>
        <v>0</v>
      </c>
      <c r="Z75" s="1">
        <v>41</v>
      </c>
      <c r="AA75" s="1">
        <v>61</v>
      </c>
      <c r="AB75" s="1">
        <v>-2</v>
      </c>
      <c r="AN75" s="1">
        <v>50</v>
      </c>
      <c r="AO75" s="1">
        <f t="shared" si="24"/>
        <v>0</v>
      </c>
      <c r="AP75" s="69">
        <f t="shared" ca="1" si="93"/>
        <v>0</v>
      </c>
      <c r="AQ75" s="69">
        <f t="shared" ca="1" si="93"/>
        <v>0</v>
      </c>
      <c r="AR75" s="69">
        <f t="shared" si="93"/>
        <v>0</v>
      </c>
      <c r="AS75" s="69">
        <f t="shared" ca="1" si="93"/>
        <v>0</v>
      </c>
      <c r="AT75" s="69">
        <f t="shared" ca="1" si="93"/>
        <v>0</v>
      </c>
      <c r="AU75" s="69">
        <f t="shared" ca="1" si="93"/>
        <v>0</v>
      </c>
      <c r="AV75" s="69">
        <f t="shared" si="93"/>
        <v>0</v>
      </c>
      <c r="AW75" s="69">
        <f t="shared" ca="1" si="72"/>
        <v>0</v>
      </c>
      <c r="AX75" s="69">
        <f t="shared" ca="1" si="35"/>
        <v>0</v>
      </c>
      <c r="AY75" s="69">
        <f t="shared" ca="1" si="36"/>
        <v>0</v>
      </c>
      <c r="AZ75" s="69">
        <f ca="1">$AO75*IF(Auswahllisten!$G$150,AZ$25+AZ$25*AZ$13*$AN75,AZ$25*(1+AZ$13)^$AN75)</f>
        <v>0</v>
      </c>
      <c r="BA75" s="69">
        <f ca="1">$AO75*IF(Auswahllisten!$G$150,BA$25+BA$25*BA$13*$AN75,BA$25*(1+BA$13)^$AN75)</f>
        <v>0</v>
      </c>
      <c r="BB75" s="69">
        <f ca="1">$AO75*IF(Auswahllisten!$G$150,BB$25+BB$25*BB$13*$AN75,BB$25*(1+BB$13)^$AN75)</f>
        <v>0</v>
      </c>
      <c r="BC75" s="69">
        <f ca="1">$AO75*IF(Auswahllisten!$G$150,BC$25+BC$25*BC$13*$AN75,BC$25*(1+BC$13)^$AN75)</f>
        <v>0</v>
      </c>
      <c r="BD75" s="69">
        <f t="shared" ca="1" si="37"/>
        <v>0</v>
      </c>
      <c r="BE75" s="69">
        <f t="shared" ca="1" si="38"/>
        <v>0</v>
      </c>
      <c r="BF75" s="69">
        <f t="shared" ca="1" si="39"/>
        <v>0</v>
      </c>
      <c r="BG75" s="69">
        <f t="shared" ca="1" si="40"/>
        <v>0</v>
      </c>
      <c r="BI75" s="69">
        <f t="shared" ca="1" si="67"/>
        <v>0</v>
      </c>
      <c r="BJ75" s="69">
        <f t="shared" ca="1" si="67"/>
        <v>0</v>
      </c>
      <c r="BK75" s="69">
        <f t="shared" si="67"/>
        <v>0</v>
      </c>
      <c r="BL75" s="69">
        <f t="shared" ca="1" si="67"/>
        <v>0</v>
      </c>
      <c r="BM75" s="69">
        <f t="shared" ca="1" si="67"/>
        <v>0</v>
      </c>
      <c r="BN75" s="69">
        <f t="shared" ca="1" si="67"/>
        <v>0</v>
      </c>
      <c r="BO75" s="69">
        <f t="shared" si="67"/>
        <v>0</v>
      </c>
      <c r="BP75" s="69">
        <f t="shared" ca="1" si="82"/>
        <v>0</v>
      </c>
      <c r="BQ75" s="69">
        <f t="shared" ca="1" si="41"/>
        <v>0</v>
      </c>
      <c r="BR75" s="69">
        <f t="shared" ca="1" si="83"/>
        <v>0</v>
      </c>
      <c r="BS75" s="69">
        <f ca="1">$AO75*IF(Auswahllisten!$G$150,BS$25+BS$25*BS$13*$AN75,BS$25*(1+BS$13)^$AN75)</f>
        <v>0</v>
      </c>
      <c r="BT75" s="69">
        <f ca="1">$AO75*IF(Auswahllisten!$G$150,BT$25+BT$25*BT$13*$AN75,BT$25*(1+BT$13)^$AN75)</f>
        <v>0</v>
      </c>
      <c r="BU75" s="69">
        <f ca="1">$AO75*IF(Auswahllisten!$G$150,BU$25+BU$25*BU$13*$AN75,BU$25*(1+BU$13)^$AN75)</f>
        <v>0</v>
      </c>
      <c r="BV75" s="69">
        <f ca="1">$AO75*IF(Auswahllisten!$G$150,BV$25+BV$25*BV$13*$AN75,BV$25*(1+BV$13)^$AN75)</f>
        <v>0</v>
      </c>
      <c r="BW75" s="69">
        <f t="shared" ca="1" si="42"/>
        <v>0</v>
      </c>
      <c r="BX75" s="69">
        <f t="shared" ca="1" si="43"/>
        <v>0</v>
      </c>
      <c r="BY75" s="69">
        <f t="shared" ca="1" si="29"/>
        <v>0</v>
      </c>
      <c r="BZ75" s="69">
        <f t="shared" ca="1" si="30"/>
        <v>0</v>
      </c>
    </row>
    <row r="76" spans="1:78">
      <c r="A76" s="305" t="s">
        <v>1215</v>
      </c>
      <c r="B76" s="126" t="s">
        <v>303</v>
      </c>
      <c r="C76" s="126" t="s">
        <v>966</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IF($C$5=0,0,INDEX(Faktoren!E62:GQ62,1,VLOOKUP($F$5,$L$2:$O$14,4,FALSE)+$C$9*5+VLOOKUP(D76,Auswahllisten!$E$25:$F$29,2,FALSE)))</f>
        <v>0</v>
      </c>
      <c r="G76" s="26">
        <f t="shared" ca="1" si="100"/>
        <v>0</v>
      </c>
      <c r="H76" s="26" cm="1">
        <f t="array" aca="1" ref="H76" ca="1">INDIRECT("Investition_gewählt!"&amp;$I$6&amp;AA76)</f>
        <v>8700</v>
      </c>
      <c r="I76" s="25" cm="1">
        <f t="array" aca="1" ref="I76" ca="1">IF($C$5=0,0,INDEX(Faktoren!E62:GQ62,1,VLOOKUP($F$6,$L$2:$O$14,4,FALSE)+$C$9*5+VLOOKUP(D76,Auswahllisten!$E$25:$F$29,2,FALSE)))</f>
        <v>0</v>
      </c>
      <c r="J76" s="26">
        <f t="shared" ca="1" si="101"/>
        <v>0</v>
      </c>
      <c r="K76" s="26">
        <f t="shared" ca="1" si="94"/>
        <v>0</v>
      </c>
      <c r="L76" s="16" t="b">
        <f t="shared" ca="1" si="95"/>
        <v>0</v>
      </c>
      <c r="M76" s="26">
        <f t="shared" ca="1" si="96"/>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IF($U$5=0,0,INDEX(Faktoren!E62:GQ62,1,VLOOKUP($X$5,$L$2:$O$14,4,FALSE)+$U$9*5+VLOOKUP(O76,Auswahllisten!$E$25:$F$29,2,FALSE)))</f>
        <v>0</v>
      </c>
      <c r="R76" s="26">
        <f t="shared" ca="1" si="97"/>
        <v>0</v>
      </c>
      <c r="S76" s="26" cm="1">
        <f t="array" aca="1" ref="S76" ca="1">INDIRECT("Investition_gewählt!"&amp;$AA$6&amp;AA76)</f>
        <v>8700</v>
      </c>
      <c r="T76" s="16" cm="1">
        <f t="array" aca="1" ref="T76" ca="1">IF($U$5=0,0,INDEX(Faktoren!E62:QG62,1,VLOOKUP($X$6,$L$3:$O$14,4,FALSE)+$U$9*5+VLOOKUP(O76,Auswahllisten!$E$25:$F$29,2,FALSE)))</f>
        <v>0</v>
      </c>
      <c r="U76" s="26">
        <f t="shared" ca="1" si="98"/>
        <v>0</v>
      </c>
      <c r="V76" s="26">
        <f t="shared" ca="1" si="14"/>
        <v>0</v>
      </c>
      <c r="W76" s="16" t="b">
        <f t="shared" ca="1" si="102"/>
        <v>0</v>
      </c>
      <c r="X76" s="26">
        <f t="shared" ca="1" si="99"/>
        <v>0</v>
      </c>
      <c r="Z76" s="1">
        <v>47</v>
      </c>
      <c r="AA76" s="1">
        <v>62</v>
      </c>
      <c r="AB76" s="1">
        <v>-2</v>
      </c>
      <c r="AN76" s="1">
        <v>51</v>
      </c>
      <c r="AO76" s="1">
        <f t="shared" si="24"/>
        <v>0</v>
      </c>
      <c r="AP76" s="69">
        <f t="shared" ca="1" si="93"/>
        <v>0</v>
      </c>
      <c r="AQ76" s="69">
        <f t="shared" ca="1" si="93"/>
        <v>0</v>
      </c>
      <c r="AR76" s="69">
        <f t="shared" si="93"/>
        <v>0</v>
      </c>
      <c r="AS76" s="69">
        <f t="shared" ca="1" si="93"/>
        <v>0</v>
      </c>
      <c r="AT76" s="69">
        <f t="shared" ca="1" si="93"/>
        <v>0</v>
      </c>
      <c r="AU76" s="69">
        <f t="shared" ca="1" si="93"/>
        <v>0</v>
      </c>
      <c r="AV76" s="69">
        <f t="shared" si="93"/>
        <v>0</v>
      </c>
      <c r="AW76" s="69">
        <f t="shared" ca="1" si="72"/>
        <v>0</v>
      </c>
      <c r="AX76" s="69">
        <f t="shared" ca="1" si="35"/>
        <v>0</v>
      </c>
      <c r="AY76" s="69">
        <f t="shared" ca="1" si="36"/>
        <v>0</v>
      </c>
      <c r="AZ76" s="69">
        <f ca="1">$AO76*IF(Auswahllisten!$G$150,AZ$25+AZ$25*AZ$13*$AN76,AZ$25*(1+AZ$13)^$AN76)</f>
        <v>0</v>
      </c>
      <c r="BA76" s="69">
        <f ca="1">$AO76*IF(Auswahllisten!$G$150,BA$25+BA$25*BA$13*$AN76,BA$25*(1+BA$13)^$AN76)</f>
        <v>0</v>
      </c>
      <c r="BB76" s="69">
        <f ca="1">$AO76*IF(Auswahllisten!$G$150,BB$25+BB$25*BB$13*$AN76,BB$25*(1+BB$13)^$AN76)</f>
        <v>0</v>
      </c>
      <c r="BC76" s="69">
        <f ca="1">$AO76*IF(Auswahllisten!$G$150,BC$25+BC$25*BC$13*$AN76,BC$25*(1+BC$13)^$AN76)</f>
        <v>0</v>
      </c>
      <c r="BD76" s="69">
        <f t="shared" ca="1" si="37"/>
        <v>0</v>
      </c>
      <c r="BE76" s="69">
        <f t="shared" ca="1" si="38"/>
        <v>0</v>
      </c>
      <c r="BF76" s="69">
        <f t="shared" ca="1" si="39"/>
        <v>0</v>
      </c>
      <c r="BG76" s="69">
        <f t="shared" ca="1" si="40"/>
        <v>0</v>
      </c>
      <c r="BI76" s="69">
        <f t="shared" ca="1" si="67"/>
        <v>0</v>
      </c>
      <c r="BJ76" s="69">
        <f t="shared" ca="1" si="67"/>
        <v>0</v>
      </c>
      <c r="BK76" s="69">
        <f t="shared" si="67"/>
        <v>0</v>
      </c>
      <c r="BL76" s="69">
        <f t="shared" ca="1" si="67"/>
        <v>0</v>
      </c>
      <c r="BM76" s="69">
        <f t="shared" ca="1" si="67"/>
        <v>0</v>
      </c>
      <c r="BN76" s="69">
        <f t="shared" ca="1" si="67"/>
        <v>0</v>
      </c>
      <c r="BO76" s="69">
        <f t="shared" si="67"/>
        <v>0</v>
      </c>
      <c r="BP76" s="69">
        <f t="shared" ca="1" si="82"/>
        <v>0</v>
      </c>
      <c r="BQ76" s="69">
        <f t="shared" ca="1" si="41"/>
        <v>0</v>
      </c>
      <c r="BR76" s="69">
        <f t="shared" ca="1" si="83"/>
        <v>0</v>
      </c>
      <c r="BS76" s="69">
        <f ca="1">$AO76*IF(Auswahllisten!$G$150,BS$25+BS$25*BS$13*$AN76,BS$25*(1+BS$13)^$AN76)</f>
        <v>0</v>
      </c>
      <c r="BT76" s="69">
        <f ca="1">$AO76*IF(Auswahllisten!$G$150,BT$25+BT$25*BT$13*$AN76,BT$25*(1+BT$13)^$AN76)</f>
        <v>0</v>
      </c>
      <c r="BU76" s="69">
        <f ca="1">$AO76*IF(Auswahllisten!$G$150,BU$25+BU$25*BU$13*$AN76,BU$25*(1+BU$13)^$AN76)</f>
        <v>0</v>
      </c>
      <c r="BV76" s="69">
        <f ca="1">$AO76*IF(Auswahllisten!$G$150,BV$25+BV$25*BV$13*$AN76,BV$25*(1+BV$13)^$AN76)</f>
        <v>0</v>
      </c>
      <c r="BW76" s="69">
        <f t="shared" ca="1" si="42"/>
        <v>0</v>
      </c>
      <c r="BX76" s="69">
        <f t="shared" ca="1" si="43"/>
        <v>0</v>
      </c>
      <c r="BY76" s="69">
        <f t="shared" ca="1" si="29"/>
        <v>0</v>
      </c>
      <c r="BZ76" s="69">
        <f t="shared" ca="1" si="30"/>
        <v>0</v>
      </c>
    </row>
    <row r="77" spans="1:78">
      <c r="A77" s="305" t="s">
        <v>1244</v>
      </c>
      <c r="B77" s="126" t="s">
        <v>1245</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IF($C$5=0,0,INDEX(Faktoren!E63:GQ63,1,VLOOKUP($F$5,$L$2:$O$14,4,FALSE)+$C$9*5+VLOOKUP(D77,Auswahllisten!$E$25:$F$29,2,FALSE)))</f>
        <v>0</v>
      </c>
      <c r="G77" s="26">
        <f t="shared" ca="1" si="100"/>
        <v>0</v>
      </c>
      <c r="H77" s="26" cm="1">
        <f t="array" aca="1" ref="H77" ca="1">INDIRECT("Investition_gewählt!"&amp;$I$6&amp;AA77)</f>
        <v>0</v>
      </c>
      <c r="I77" s="25" cm="1">
        <f t="array" aca="1" ref="I77" ca="1">IF($C$5=0,0,INDEX(Faktoren!E63:GQ63,1,VLOOKUP($F$6,$L$2:$O$14,4,FALSE)+$C$9*5+VLOOKUP(D77,Auswahllisten!$E$25:$F$29,2,FALSE)))</f>
        <v>0</v>
      </c>
      <c r="J77" s="26">
        <f t="shared" ca="1" si="101"/>
        <v>0</v>
      </c>
      <c r="K77" s="26">
        <f t="shared" ca="1" si="94"/>
        <v>0</v>
      </c>
      <c r="L77" s="16" t="b">
        <f t="shared" ca="1" si="95"/>
        <v>0</v>
      </c>
      <c r="M77" s="26">
        <f t="shared" ca="1" si="96"/>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IF($U$5=0,0,INDEX(Faktoren!E63:GQ63,1,VLOOKUP($X$5,$L$2:$O$14,4,FALSE)+$U$9*5+VLOOKUP(O77,Auswahllisten!$E$25:$F$29,2,FALSE)))</f>
        <v>0</v>
      </c>
      <c r="R77" s="26">
        <f t="shared" ca="1" si="97"/>
        <v>0</v>
      </c>
      <c r="S77" s="26" cm="1">
        <f t="array" aca="1" ref="S77" ca="1">INDIRECT("Investition_gewählt!"&amp;$AA$6&amp;AA77)</f>
        <v>0</v>
      </c>
      <c r="T77" s="16" cm="1">
        <f t="array" aca="1" ref="T77" ca="1">IF($U$5=0,0,INDEX(Faktoren!E63:QG63,1,VLOOKUP($X$6,$L$3:$O$14,4,FALSE)+$U$9*5+VLOOKUP(O77,Auswahllisten!$E$25:$F$29,2,FALSE)))</f>
        <v>0</v>
      </c>
      <c r="U77" s="26">
        <f t="shared" ca="1" si="98"/>
        <v>0</v>
      </c>
      <c r="V77" s="26">
        <f t="shared" ca="1" si="14"/>
        <v>0</v>
      </c>
      <c r="W77" s="16" t="b">
        <f t="shared" ca="1" si="102"/>
        <v>0</v>
      </c>
      <c r="X77" s="26">
        <f t="shared" ca="1" si="99"/>
        <v>0</v>
      </c>
      <c r="Z77" s="1">
        <v>51</v>
      </c>
      <c r="AA77" s="1">
        <v>63</v>
      </c>
      <c r="AB77" s="1">
        <v>-2</v>
      </c>
      <c r="AN77" s="1">
        <v>52</v>
      </c>
      <c r="AO77" s="1">
        <f t="shared" si="24"/>
        <v>0</v>
      </c>
      <c r="AP77" s="69">
        <f t="shared" ca="1" si="93"/>
        <v>0</v>
      </c>
      <c r="AQ77" s="69">
        <f t="shared" ca="1" si="93"/>
        <v>0</v>
      </c>
      <c r="AR77" s="69">
        <f t="shared" si="93"/>
        <v>0</v>
      </c>
      <c r="AS77" s="69">
        <f t="shared" ca="1" si="93"/>
        <v>0</v>
      </c>
      <c r="AT77" s="69">
        <f t="shared" ca="1" si="93"/>
        <v>0</v>
      </c>
      <c r="AU77" s="69">
        <f t="shared" ca="1" si="93"/>
        <v>0</v>
      </c>
      <c r="AV77" s="69">
        <f t="shared" si="93"/>
        <v>0</v>
      </c>
      <c r="AW77" s="69">
        <f t="shared" ca="1" si="72"/>
        <v>0</v>
      </c>
      <c r="AX77" s="69">
        <f t="shared" ca="1" si="35"/>
        <v>0</v>
      </c>
      <c r="AY77" s="69">
        <f t="shared" ca="1" si="36"/>
        <v>0</v>
      </c>
      <c r="AZ77" s="69">
        <f ca="1">$AO77*IF(Auswahllisten!$G$150,AZ$25+AZ$25*AZ$13*$AN77,AZ$25*(1+AZ$13)^$AN77)</f>
        <v>0</v>
      </c>
      <c r="BA77" s="69">
        <f ca="1">$AO77*IF(Auswahllisten!$G$150,BA$25+BA$25*BA$13*$AN77,BA$25*(1+BA$13)^$AN77)</f>
        <v>0</v>
      </c>
      <c r="BB77" s="69">
        <f ca="1">$AO77*IF(Auswahllisten!$G$150,BB$25+BB$25*BB$13*$AN77,BB$25*(1+BB$13)^$AN77)</f>
        <v>0</v>
      </c>
      <c r="BC77" s="69">
        <f ca="1">$AO77*IF(Auswahllisten!$G$150,BC$25+BC$25*BC$13*$AN77,BC$25*(1+BC$13)^$AN77)</f>
        <v>0</v>
      </c>
      <c r="BD77" s="69">
        <f t="shared" ca="1" si="37"/>
        <v>0</v>
      </c>
      <c r="BE77" s="69">
        <f t="shared" ca="1" si="38"/>
        <v>0</v>
      </c>
      <c r="BF77" s="69">
        <f t="shared" ca="1" si="39"/>
        <v>0</v>
      </c>
      <c r="BG77" s="69">
        <f t="shared" ca="1" si="40"/>
        <v>0</v>
      </c>
      <c r="BI77" s="69">
        <f t="shared" ca="1" si="67"/>
        <v>0</v>
      </c>
      <c r="BJ77" s="69">
        <f t="shared" ca="1" si="67"/>
        <v>0</v>
      </c>
      <c r="BK77" s="69">
        <f t="shared" si="67"/>
        <v>0</v>
      </c>
      <c r="BL77" s="69">
        <f t="shared" ca="1" si="67"/>
        <v>0</v>
      </c>
      <c r="BM77" s="69">
        <f t="shared" ca="1" si="67"/>
        <v>0</v>
      </c>
      <c r="BN77" s="69">
        <f t="shared" ca="1" si="67"/>
        <v>0</v>
      </c>
      <c r="BO77" s="69">
        <f t="shared" si="67"/>
        <v>0</v>
      </c>
      <c r="BP77" s="69">
        <f t="shared" ca="1" si="82"/>
        <v>0</v>
      </c>
      <c r="BQ77" s="69">
        <f t="shared" ca="1" si="41"/>
        <v>0</v>
      </c>
      <c r="BR77" s="69">
        <f t="shared" ca="1" si="83"/>
        <v>0</v>
      </c>
      <c r="BS77" s="69">
        <f ca="1">$AO77*IF(Auswahllisten!$G$150,BS$25+BS$25*BS$13*$AN77,BS$25*(1+BS$13)^$AN77)</f>
        <v>0</v>
      </c>
      <c r="BT77" s="69">
        <f ca="1">$AO77*IF(Auswahllisten!$G$150,BT$25+BT$25*BT$13*$AN77,BT$25*(1+BT$13)^$AN77)</f>
        <v>0</v>
      </c>
      <c r="BU77" s="69">
        <f ca="1">$AO77*IF(Auswahllisten!$G$150,BU$25+BU$25*BU$13*$AN77,BU$25*(1+BU$13)^$AN77)</f>
        <v>0</v>
      </c>
      <c r="BV77" s="69">
        <f ca="1">$AO77*IF(Auswahllisten!$G$150,BV$25+BV$25*BV$13*$AN77,BV$25*(1+BV$13)^$AN77)</f>
        <v>0</v>
      </c>
      <c r="BW77" s="69">
        <f t="shared" ca="1" si="42"/>
        <v>0</v>
      </c>
      <c r="BX77" s="69">
        <f t="shared" ca="1" si="43"/>
        <v>0</v>
      </c>
      <c r="BY77" s="69">
        <f t="shared" ca="1" si="29"/>
        <v>0</v>
      </c>
      <c r="BZ77" s="69">
        <f t="shared" ca="1" si="30"/>
        <v>0</v>
      </c>
    </row>
    <row r="78" spans="1:78">
      <c r="A78" s="305" t="s">
        <v>1244</v>
      </c>
      <c r="B78" s="126" t="s">
        <v>1245</v>
      </c>
      <c r="C78" s="126" t="s">
        <v>967</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IF($C$5=0,0,INDEX(Faktoren!E64:GQ64,1,VLOOKUP($F$5,$L$2:$O$14,4,FALSE)+$C$9*5+VLOOKUP(D78,Auswahllisten!$E$25:$F$29,2,FALSE)))</f>
        <v>0</v>
      </c>
      <c r="G78" s="26">
        <f t="shared" ca="1" si="100"/>
        <v>0</v>
      </c>
      <c r="H78" s="26" cm="1">
        <f t="array" aca="1" ref="H78" ca="1">INDIRECT("Investition_gewählt!"&amp;$I$6&amp;AA78)</f>
        <v>0</v>
      </c>
      <c r="I78" s="25" cm="1">
        <f t="array" aca="1" ref="I78" ca="1">IF($C$5=0,0,INDEX(Faktoren!E64:GQ64,1,VLOOKUP($F$6,$L$2:$O$14,4,FALSE)+$C$9*5+VLOOKUP(D78,Auswahllisten!$E$25:$F$29,2,FALSE)))</f>
        <v>0</v>
      </c>
      <c r="J78" s="26">
        <f t="shared" ca="1" si="101"/>
        <v>0</v>
      </c>
      <c r="K78" s="26">
        <f t="shared" ca="1" si="94"/>
        <v>0</v>
      </c>
      <c r="L78" s="16" t="b">
        <f t="shared" ca="1" si="95"/>
        <v>0</v>
      </c>
      <c r="M78" s="26">
        <f t="shared" ca="1" si="96"/>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IF($U$5=0,0,INDEX(Faktoren!E64:GQ64,1,VLOOKUP($X$5,$L$2:$O$14,4,FALSE)+$U$9*5+VLOOKUP(O78,Auswahllisten!$E$25:$F$29,2,FALSE)))</f>
        <v>0</v>
      </c>
      <c r="R78" s="26">
        <f t="shared" ca="1" si="97"/>
        <v>0</v>
      </c>
      <c r="S78" s="26" cm="1">
        <f t="array" aca="1" ref="S78" ca="1">INDIRECT("Investition_gewählt!"&amp;$AA$6&amp;AA78)</f>
        <v>0</v>
      </c>
      <c r="T78" s="16" cm="1">
        <f t="array" aca="1" ref="T78" ca="1">IF($U$5=0,0,INDEX(Faktoren!E64:QG64,1,VLOOKUP($X$6,$L$3:$O$14,4,FALSE)+$U$9*5+VLOOKUP(O78,Auswahllisten!$E$25:$F$29,2,FALSE)))</f>
        <v>0</v>
      </c>
      <c r="U78" s="26">
        <f t="shared" ca="1" si="98"/>
        <v>0</v>
      </c>
      <c r="V78" s="26">
        <f t="shared" ca="1" si="14"/>
        <v>0</v>
      </c>
      <c r="W78" s="16" t="b">
        <f t="shared" ca="1" si="102"/>
        <v>0</v>
      </c>
      <c r="X78" s="26">
        <f t="shared" ca="1" si="99"/>
        <v>0</v>
      </c>
      <c r="Z78" s="1">
        <v>49</v>
      </c>
      <c r="AA78" s="1">
        <v>64</v>
      </c>
      <c r="AB78" s="1">
        <v>-2</v>
      </c>
      <c r="AN78" s="1">
        <v>53</v>
      </c>
      <c r="AO78" s="1">
        <f t="shared" si="24"/>
        <v>0</v>
      </c>
      <c r="AP78" s="69">
        <f t="shared" ref="AP78:AV93" ca="1" si="103">IFERROR($AO78*IF(MOD($AN78,AP$20)=0,AP$25,0)*(1+$AS$10)^$AN78*IF($AS$3=$AN78,0,1),0)</f>
        <v>0</v>
      </c>
      <c r="AQ78" s="69">
        <f t="shared" ca="1" si="103"/>
        <v>0</v>
      </c>
      <c r="AR78" s="69">
        <f t="shared" si="103"/>
        <v>0</v>
      </c>
      <c r="AS78" s="69">
        <f t="shared" ca="1" si="103"/>
        <v>0</v>
      </c>
      <c r="AT78" s="69">
        <f t="shared" ca="1" si="103"/>
        <v>0</v>
      </c>
      <c r="AU78" s="69">
        <f t="shared" ca="1" si="103"/>
        <v>0</v>
      </c>
      <c r="AV78" s="69">
        <f t="shared" si="103"/>
        <v>0</v>
      </c>
      <c r="AW78" s="69">
        <f t="shared" ca="1" si="72"/>
        <v>0</v>
      </c>
      <c r="AX78" s="69">
        <f t="shared" ca="1" si="35"/>
        <v>0</v>
      </c>
      <c r="AY78" s="69">
        <f t="shared" ca="1" si="36"/>
        <v>0</v>
      </c>
      <c r="AZ78" s="69">
        <f ca="1">$AO78*IF(Auswahllisten!$G$150,AZ$25+AZ$25*AZ$13*$AN78,AZ$25*(1+AZ$13)^$AN78)</f>
        <v>0</v>
      </c>
      <c r="BA78" s="69">
        <f ca="1">$AO78*IF(Auswahllisten!$G$150,BA$25+BA$25*BA$13*$AN78,BA$25*(1+BA$13)^$AN78)</f>
        <v>0</v>
      </c>
      <c r="BB78" s="69">
        <f ca="1">$AO78*IF(Auswahllisten!$G$150,BB$25+BB$25*BB$13*$AN78,BB$25*(1+BB$13)^$AN78)</f>
        <v>0</v>
      </c>
      <c r="BC78" s="69">
        <f ca="1">$AO78*IF(Auswahllisten!$G$150,BC$25+BC$25*BC$13*$AN78,BC$25*(1+BC$13)^$AN78)</f>
        <v>0</v>
      </c>
      <c r="BD78" s="69">
        <f t="shared" ca="1" si="37"/>
        <v>0</v>
      </c>
      <c r="BE78" s="69">
        <f t="shared" ca="1" si="38"/>
        <v>0</v>
      </c>
      <c r="BF78" s="69">
        <f t="shared" ca="1" si="39"/>
        <v>0</v>
      </c>
      <c r="BG78" s="69">
        <f t="shared" ca="1" si="40"/>
        <v>0</v>
      </c>
      <c r="BI78" s="69">
        <f t="shared" ca="1" si="67"/>
        <v>0</v>
      </c>
      <c r="BJ78" s="69">
        <f t="shared" ca="1" si="67"/>
        <v>0</v>
      </c>
      <c r="BK78" s="69">
        <f t="shared" si="67"/>
        <v>0</v>
      </c>
      <c r="BL78" s="69">
        <f t="shared" ref="BL78:BO86" ca="1" si="104">IFERROR($AO78*IF(MOD($AN78,BL$20)=0,BL$25,0)*(1+$AS$10)^$AN78*IF($AS$3=$AN78,0,1),0)</f>
        <v>0</v>
      </c>
      <c r="BM78" s="69">
        <f t="shared" ca="1" si="104"/>
        <v>0</v>
      </c>
      <c r="BN78" s="69">
        <f t="shared" ca="1" si="104"/>
        <v>0</v>
      </c>
      <c r="BO78" s="69">
        <f t="shared" si="104"/>
        <v>0</v>
      </c>
      <c r="BP78" s="69">
        <f t="shared" ca="1" si="82"/>
        <v>0</v>
      </c>
      <c r="BQ78" s="69">
        <f t="shared" ca="1" si="41"/>
        <v>0</v>
      </c>
      <c r="BR78" s="69">
        <f t="shared" ca="1" si="83"/>
        <v>0</v>
      </c>
      <c r="BS78" s="69">
        <f ca="1">$AO78*IF(Auswahllisten!$G$150,BS$25+BS$25*BS$13*$AN78,BS$25*(1+BS$13)^$AN78)</f>
        <v>0</v>
      </c>
      <c r="BT78" s="69">
        <f ca="1">$AO78*IF(Auswahllisten!$G$150,BT$25+BT$25*BT$13*$AN78,BT$25*(1+BT$13)^$AN78)</f>
        <v>0</v>
      </c>
      <c r="BU78" s="69">
        <f ca="1">$AO78*IF(Auswahllisten!$G$150,BU$25+BU$25*BU$13*$AN78,BU$25*(1+BU$13)^$AN78)</f>
        <v>0</v>
      </c>
      <c r="BV78" s="69">
        <f ca="1">$AO78*IF(Auswahllisten!$G$150,BV$25+BV$25*BV$13*$AN78,BV$25*(1+BV$13)^$AN78)</f>
        <v>0</v>
      </c>
      <c r="BW78" s="69">
        <f t="shared" ca="1" si="42"/>
        <v>0</v>
      </c>
      <c r="BX78" s="69">
        <f t="shared" ca="1" si="43"/>
        <v>0</v>
      </c>
      <c r="BY78" s="69">
        <f t="shared" ca="1" si="29"/>
        <v>0</v>
      </c>
      <c r="BZ78" s="69">
        <f t="shared" ca="1" si="30"/>
        <v>0</v>
      </c>
    </row>
    <row r="79" spans="1:78">
      <c r="A79" s="307" t="s">
        <v>1244</v>
      </c>
      <c r="B79" s="297" t="s">
        <v>1245</v>
      </c>
      <c r="C79" s="134" t="s">
        <v>359</v>
      </c>
      <c r="D79" s="163" t="str" cm="1">
        <f t="array" aca="1" ref="D79" ca="1">INDIRECT("Vergleich!"&amp;$G$2&amp;Z79)</f>
        <v>mittel</v>
      </c>
      <c r="E79" s="163" cm="1">
        <f t="array" aca="1" ref="E79" ca="1">INDIRECT("Investition_gewählt!"&amp;$I$5&amp;AA79)</f>
        <v>4500</v>
      </c>
      <c r="F79" s="61" cm="1">
        <f t="array" aca="1" ref="F79" ca="1">IF($C$5=0,0,INDEX(Faktoren!E65:GQ65,1,VLOOKUP($F$5,$L$2:$O$14,4,FALSE)+$C$9*5+VLOOKUP(D79,Auswahllisten!$E$25:$F$29,2,FALSE)))</f>
        <v>0</v>
      </c>
      <c r="G79" s="296">
        <f t="shared" ca="1" si="100"/>
        <v>0</v>
      </c>
      <c r="H79" s="296" cm="1">
        <f t="array" aca="1" ref="H79" ca="1">INDIRECT("Investition_gewählt!"&amp;$I$6&amp;AA79)</f>
        <v>4500</v>
      </c>
      <c r="I79" s="61" cm="1">
        <f t="array" aca="1" ref="I79" ca="1">IF($C$5=0,0,INDEX(Faktoren!E65:GQ65,1,VLOOKUP($F$6,$L$2:$O$14,4,FALSE)+$C$9*5+VLOOKUP(D79,Auswahllisten!$E$25:$F$29,2,FALSE)))</f>
        <v>0</v>
      </c>
      <c r="J79" s="163">
        <f t="shared" ca="1" si="101"/>
        <v>0</v>
      </c>
      <c r="K79" s="163">
        <f t="shared" ca="1" si="94"/>
        <v>0</v>
      </c>
      <c r="L79" s="93" t="b">
        <f t="shared" ca="1" si="95"/>
        <v>0</v>
      </c>
      <c r="M79" s="163">
        <f t="shared" ca="1" si="96"/>
        <v>0</v>
      </c>
      <c r="O79" s="93" t="str" cm="1">
        <f t="array" aca="1" ref="O79" ca="1">INDIRECT("Vergleich!"&amp;$Y$2&amp;Z79)</f>
        <v>gering</v>
      </c>
      <c r="P79" s="163" cm="1">
        <f t="array" aca="1" ref="P79" ca="1">INDIRECT("Investition_gewählt!"&amp;$AA$5&amp;AA79)</f>
        <v>4500</v>
      </c>
      <c r="Q79" s="93" cm="1">
        <f t="array" aca="1" ref="Q79" ca="1">IF($U$5=0,0,INDEX(Faktoren!E65:GQ65,1,VLOOKUP($X$5,$L$2:$O$14,4,FALSE)+$U$9*5+VLOOKUP(O79,Auswahllisten!$E$25:$F$29,2,FALSE)))</f>
        <v>0</v>
      </c>
      <c r="R79" s="163">
        <f t="shared" ca="1" si="97"/>
        <v>0</v>
      </c>
      <c r="S79" s="163" cm="1">
        <f t="array" aca="1" ref="S79" ca="1">INDIRECT("Investition_gewählt!"&amp;$AA$6&amp;AA79)</f>
        <v>4500</v>
      </c>
      <c r="T79" s="93" cm="1">
        <f t="array" aca="1" ref="T79" ca="1">IF($U$5=0,0,INDEX(Faktoren!E65:QG65,1,VLOOKUP($X$6,$L$3:$O$14,4,FALSE)+$U$9*5+VLOOKUP(O79,Auswahllisten!$E$25:$F$29,2,FALSE)))</f>
        <v>0</v>
      </c>
      <c r="U79" s="163">
        <f t="shared" ca="1" si="98"/>
        <v>0</v>
      </c>
      <c r="V79" s="163">
        <f t="shared" ca="1" si="14"/>
        <v>0</v>
      </c>
      <c r="W79" s="93" t="b">
        <f t="shared" ca="1" si="102"/>
        <v>0</v>
      </c>
      <c r="X79" s="163">
        <f t="shared" ca="1" si="99"/>
        <v>0</v>
      </c>
      <c r="Z79" s="1">
        <v>50</v>
      </c>
      <c r="AA79" s="1">
        <v>65</v>
      </c>
      <c r="AB79" s="1">
        <v>-2</v>
      </c>
      <c r="AN79" s="1">
        <v>54</v>
      </c>
      <c r="AO79" s="1">
        <f t="shared" si="24"/>
        <v>0</v>
      </c>
      <c r="AP79" s="69">
        <f t="shared" ca="1" si="103"/>
        <v>0</v>
      </c>
      <c r="AQ79" s="69">
        <f t="shared" ca="1" si="103"/>
        <v>0</v>
      </c>
      <c r="AR79" s="69">
        <f t="shared" si="103"/>
        <v>0</v>
      </c>
      <c r="AS79" s="69">
        <f t="shared" ca="1" si="103"/>
        <v>0</v>
      </c>
      <c r="AT79" s="69">
        <f t="shared" ca="1" si="103"/>
        <v>0</v>
      </c>
      <c r="AU79" s="69">
        <f t="shared" ca="1" si="103"/>
        <v>0</v>
      </c>
      <c r="AV79" s="69">
        <f t="shared" si="103"/>
        <v>0</v>
      </c>
      <c r="AW79" s="69">
        <f t="shared" ca="1" si="72"/>
        <v>0</v>
      </c>
      <c r="AX79" s="69">
        <f t="shared" ca="1" si="35"/>
        <v>0</v>
      </c>
      <c r="AY79" s="69">
        <f t="shared" ca="1" si="36"/>
        <v>0</v>
      </c>
      <c r="AZ79" s="69">
        <f ca="1">$AO79*IF(Auswahllisten!$G$150,AZ$25+AZ$25*AZ$13*$AN79,AZ$25*(1+AZ$13)^$AN79)</f>
        <v>0</v>
      </c>
      <c r="BA79" s="69">
        <f ca="1">$AO79*IF(Auswahllisten!$G$150,BA$25+BA$25*BA$13*$AN79,BA$25*(1+BA$13)^$AN79)</f>
        <v>0</v>
      </c>
      <c r="BB79" s="69">
        <f ca="1">$AO79*IF(Auswahllisten!$G$150,BB$25+BB$25*BB$13*$AN79,BB$25*(1+BB$13)^$AN79)</f>
        <v>0</v>
      </c>
      <c r="BC79" s="69">
        <f ca="1">$AO79*IF(Auswahllisten!$G$150,BC$25+BC$25*BC$13*$AN79,BC$25*(1+BC$13)^$AN79)</f>
        <v>0</v>
      </c>
      <c r="BD79" s="69">
        <f t="shared" ca="1" si="37"/>
        <v>0</v>
      </c>
      <c r="BE79" s="69">
        <f t="shared" ca="1" si="38"/>
        <v>0</v>
      </c>
      <c r="BF79" s="69">
        <f t="shared" ca="1" si="39"/>
        <v>0</v>
      </c>
      <c r="BG79" s="69">
        <f t="shared" ca="1" si="40"/>
        <v>0</v>
      </c>
      <c r="BI79" s="69">
        <f t="shared" ref="BI79:BO96" ca="1" si="105">IFERROR($AO79*IF(MOD($AN79,BI$20)=0,BI$25,0)*(1+$AS$10)^$AN79*IF($AS$3=$AN79,0,1),0)</f>
        <v>0</v>
      </c>
      <c r="BJ79" s="69">
        <f t="shared" ca="1" si="105"/>
        <v>0</v>
      </c>
      <c r="BK79" s="69">
        <f t="shared" si="105"/>
        <v>0</v>
      </c>
      <c r="BL79" s="69">
        <f t="shared" ca="1" si="105"/>
        <v>0</v>
      </c>
      <c r="BM79" s="69">
        <f t="shared" ca="1" si="104"/>
        <v>0</v>
      </c>
      <c r="BN79" s="69">
        <f t="shared" ca="1" si="104"/>
        <v>0</v>
      </c>
      <c r="BO79" s="69">
        <f t="shared" si="104"/>
        <v>0</v>
      </c>
      <c r="BP79" s="69">
        <f t="shared" ca="1" si="82"/>
        <v>0</v>
      </c>
      <c r="BQ79" s="69">
        <f t="shared" ca="1" si="41"/>
        <v>0</v>
      </c>
      <c r="BR79" s="69">
        <f t="shared" ca="1" si="83"/>
        <v>0</v>
      </c>
      <c r="BS79" s="69">
        <f ca="1">$AO79*IF(Auswahllisten!$G$150,BS$25+BS$25*BS$13*$AN79,BS$25*(1+BS$13)^$AN79)</f>
        <v>0</v>
      </c>
      <c r="BT79" s="69">
        <f ca="1">$AO79*IF(Auswahllisten!$G$150,BT$25+BT$25*BT$13*$AN79,BT$25*(1+BT$13)^$AN79)</f>
        <v>0</v>
      </c>
      <c r="BU79" s="69">
        <f ca="1">$AO79*IF(Auswahllisten!$G$150,BU$25+BU$25*BU$13*$AN79,BU$25*(1+BU$13)^$AN79)</f>
        <v>0</v>
      </c>
      <c r="BV79" s="69">
        <f ca="1">$AO79*IF(Auswahllisten!$G$150,BV$25+BV$25*BV$13*$AN79,BV$25*(1+BV$13)^$AN79)</f>
        <v>0</v>
      </c>
      <c r="BW79" s="69">
        <f t="shared" ca="1" si="42"/>
        <v>0</v>
      </c>
      <c r="BX79" s="69">
        <f t="shared" ca="1" si="43"/>
        <v>0</v>
      </c>
      <c r="BY79" s="69">
        <f t="shared" ca="1" si="29"/>
        <v>0</v>
      </c>
      <c r="BZ79" s="69">
        <f t="shared" ca="1" si="30"/>
        <v>0</v>
      </c>
    </row>
    <row r="80" spans="1:78">
      <c r="A80" s="125"/>
      <c r="B80" s="64"/>
      <c r="C80" s="64"/>
      <c r="D80" s="69"/>
      <c r="E80" s="69"/>
      <c r="G80" s="69"/>
      <c r="H80" s="69"/>
      <c r="J80" s="69"/>
      <c r="K80" s="69"/>
      <c r="M80" s="69"/>
      <c r="P80" s="69"/>
      <c r="R80" s="69"/>
      <c r="S80" s="69"/>
      <c r="U80" s="69"/>
      <c r="V80" s="69"/>
      <c r="X80" s="69">
        <f t="shared" si="99"/>
        <v>0</v>
      </c>
      <c r="AA80" s="1">
        <v>66</v>
      </c>
      <c r="AB80" s="1">
        <v>-2</v>
      </c>
      <c r="AN80" s="1">
        <v>55</v>
      </c>
      <c r="AO80" s="1">
        <f t="shared" si="24"/>
        <v>0</v>
      </c>
      <c r="AP80" s="69">
        <f t="shared" ca="1" si="103"/>
        <v>0</v>
      </c>
      <c r="AQ80" s="69">
        <f t="shared" ca="1" si="103"/>
        <v>0</v>
      </c>
      <c r="AR80" s="69">
        <f t="shared" si="103"/>
        <v>0</v>
      </c>
      <c r="AS80" s="69">
        <f t="shared" ca="1" si="103"/>
        <v>0</v>
      </c>
      <c r="AT80" s="69">
        <f t="shared" ca="1" si="103"/>
        <v>0</v>
      </c>
      <c r="AU80" s="69">
        <f t="shared" ca="1" si="103"/>
        <v>0</v>
      </c>
      <c r="AV80" s="69">
        <f t="shared" si="103"/>
        <v>0</v>
      </c>
      <c r="AW80" s="69">
        <f t="shared" ca="1" si="72"/>
        <v>0</v>
      </c>
      <c r="AX80" s="69">
        <f t="shared" ca="1" si="35"/>
        <v>0</v>
      </c>
      <c r="AY80" s="69">
        <f t="shared" ca="1" si="36"/>
        <v>0</v>
      </c>
      <c r="AZ80" s="69">
        <f ca="1">$AO80*IF(Auswahllisten!$G$150,AZ$25+AZ$25*AZ$13*$AN80,AZ$25*(1+AZ$13)^$AN80)</f>
        <v>0</v>
      </c>
      <c r="BA80" s="69">
        <f ca="1">$AO80*IF(Auswahllisten!$G$150,BA$25+BA$25*BA$13*$AN80,BA$25*(1+BA$13)^$AN80)</f>
        <v>0</v>
      </c>
      <c r="BB80" s="69">
        <f ca="1">$AO80*IF(Auswahllisten!$G$150,BB$25+BB$25*BB$13*$AN80,BB$25*(1+BB$13)^$AN80)</f>
        <v>0</v>
      </c>
      <c r="BC80" s="69">
        <f ca="1">$AO80*IF(Auswahllisten!$G$150,BC$25+BC$25*BC$13*$AN80,BC$25*(1+BC$13)^$AN80)</f>
        <v>0</v>
      </c>
      <c r="BD80" s="69">
        <f t="shared" ca="1" si="37"/>
        <v>0</v>
      </c>
      <c r="BE80" s="69">
        <f t="shared" ca="1" si="38"/>
        <v>0</v>
      </c>
      <c r="BF80" s="69">
        <f t="shared" ca="1" si="39"/>
        <v>0</v>
      </c>
      <c r="BG80" s="69">
        <f t="shared" ca="1" si="40"/>
        <v>0</v>
      </c>
      <c r="BI80" s="69">
        <f t="shared" ca="1" si="105"/>
        <v>0</v>
      </c>
      <c r="BJ80" s="69">
        <f t="shared" ca="1" si="105"/>
        <v>0</v>
      </c>
      <c r="BK80" s="69">
        <f t="shared" si="105"/>
        <v>0</v>
      </c>
      <c r="BL80" s="69">
        <f t="shared" ca="1" si="105"/>
        <v>0</v>
      </c>
      <c r="BM80" s="69">
        <f t="shared" ca="1" si="104"/>
        <v>0</v>
      </c>
      <c r="BN80" s="69">
        <f t="shared" ca="1" si="104"/>
        <v>0</v>
      </c>
      <c r="BO80" s="69">
        <f t="shared" si="104"/>
        <v>0</v>
      </c>
      <c r="BP80" s="69">
        <f t="shared" ca="1" si="82"/>
        <v>0</v>
      </c>
      <c r="BQ80" s="69">
        <f t="shared" ca="1" si="41"/>
        <v>0</v>
      </c>
      <c r="BR80" s="69">
        <f t="shared" ca="1" si="83"/>
        <v>0</v>
      </c>
      <c r="BS80" s="69">
        <f ca="1">$AO80*IF(Auswahllisten!$G$150,BS$25+BS$25*BS$13*$AN80,BS$25*(1+BS$13)^$AN80)</f>
        <v>0</v>
      </c>
      <c r="BT80" s="69">
        <f ca="1">$AO80*IF(Auswahllisten!$G$150,BT$25+BT$25*BT$13*$AN80,BT$25*(1+BT$13)^$AN80)</f>
        <v>0</v>
      </c>
      <c r="BU80" s="69">
        <f ca="1">$AO80*IF(Auswahllisten!$G$150,BU$25+BU$25*BU$13*$AN80,BU$25*(1+BU$13)^$AN80)</f>
        <v>0</v>
      </c>
      <c r="BV80" s="69">
        <f ca="1">$AO80*IF(Auswahllisten!$G$150,BV$25+BV$25*BV$13*$AN80,BV$25*(1+BV$13)^$AN80)</f>
        <v>0</v>
      </c>
      <c r="BW80" s="69">
        <f t="shared" ca="1" si="42"/>
        <v>0</v>
      </c>
      <c r="BX80" s="69">
        <f t="shared" ca="1" si="43"/>
        <v>0</v>
      </c>
      <c r="BY80" s="69">
        <f t="shared" ca="1" si="29"/>
        <v>0</v>
      </c>
      <c r="BZ80" s="69">
        <f t="shared" ca="1" si="30"/>
        <v>0</v>
      </c>
    </row>
    <row r="81" spans="1:78">
      <c r="A81" s="125" t="s">
        <v>1002</v>
      </c>
      <c r="B81" s="125" t="s">
        <v>143</v>
      </c>
      <c r="C81" s="125"/>
      <c r="D81" s="69"/>
      <c r="E81" s="69"/>
      <c r="G81" s="69"/>
      <c r="H81" s="69"/>
      <c r="J81" s="69"/>
      <c r="K81" s="69"/>
      <c r="L81" s="155">
        <v>14</v>
      </c>
      <c r="M81" s="69"/>
      <c r="P81" s="69"/>
      <c r="R81" s="69"/>
      <c r="S81" s="69"/>
      <c r="U81" s="69"/>
      <c r="V81" s="69"/>
      <c r="X81" s="69"/>
      <c r="AA81" s="1">
        <v>67</v>
      </c>
      <c r="AB81" s="1">
        <v>-2</v>
      </c>
      <c r="AN81" s="1">
        <v>56</v>
      </c>
      <c r="AO81" s="1">
        <f t="shared" si="24"/>
        <v>0</v>
      </c>
      <c r="AP81" s="69">
        <f t="shared" ca="1" si="103"/>
        <v>0</v>
      </c>
      <c r="AQ81" s="69">
        <f t="shared" ca="1" si="103"/>
        <v>0</v>
      </c>
      <c r="AR81" s="69">
        <f t="shared" si="103"/>
        <v>0</v>
      </c>
      <c r="AS81" s="69">
        <f t="shared" ca="1" si="103"/>
        <v>0</v>
      </c>
      <c r="AT81" s="69">
        <f t="shared" ca="1" si="103"/>
        <v>0</v>
      </c>
      <c r="AU81" s="69">
        <f t="shared" ca="1" si="103"/>
        <v>0</v>
      </c>
      <c r="AV81" s="69">
        <f t="shared" si="103"/>
        <v>0</v>
      </c>
      <c r="AW81" s="69">
        <f t="shared" ca="1" si="72"/>
        <v>0</v>
      </c>
      <c r="AX81" s="69">
        <f t="shared" ca="1" si="35"/>
        <v>0</v>
      </c>
      <c r="AY81" s="69">
        <f t="shared" ca="1" si="36"/>
        <v>0</v>
      </c>
      <c r="AZ81" s="69">
        <f ca="1">$AO81*IF(Auswahllisten!$G$150,AZ$25+AZ$25*AZ$13*$AN81,AZ$25*(1+AZ$13)^$AN81)</f>
        <v>0</v>
      </c>
      <c r="BA81" s="69">
        <f ca="1">$AO81*IF(Auswahllisten!$G$150,BA$25+BA$25*BA$13*$AN81,BA$25*(1+BA$13)^$AN81)</f>
        <v>0</v>
      </c>
      <c r="BB81" s="69">
        <f ca="1">$AO81*IF(Auswahllisten!$G$150,BB$25+BB$25*BB$13*$AN81,BB$25*(1+BB$13)^$AN81)</f>
        <v>0</v>
      </c>
      <c r="BC81" s="69">
        <f ca="1">$AO81*IF(Auswahllisten!$G$150,BC$25+BC$25*BC$13*$AN81,BC$25*(1+BC$13)^$AN81)</f>
        <v>0</v>
      </c>
      <c r="BD81" s="69">
        <f t="shared" ca="1" si="37"/>
        <v>0</v>
      </c>
      <c r="BE81" s="69">
        <f t="shared" ca="1" si="38"/>
        <v>0</v>
      </c>
      <c r="BF81" s="69">
        <f t="shared" ca="1" si="39"/>
        <v>0</v>
      </c>
      <c r="BG81" s="69">
        <f t="shared" ca="1" si="40"/>
        <v>0</v>
      </c>
      <c r="BI81" s="69">
        <f t="shared" ca="1" si="105"/>
        <v>0</v>
      </c>
      <c r="BJ81" s="69">
        <f t="shared" ca="1" si="105"/>
        <v>0</v>
      </c>
      <c r="BK81" s="69">
        <f t="shared" si="105"/>
        <v>0</v>
      </c>
      <c r="BL81" s="69">
        <f t="shared" ca="1" si="105"/>
        <v>0</v>
      </c>
      <c r="BM81" s="69">
        <f t="shared" ca="1" si="104"/>
        <v>0</v>
      </c>
      <c r="BN81" s="69">
        <f t="shared" ca="1" si="104"/>
        <v>0</v>
      </c>
      <c r="BO81" s="69">
        <f t="shared" si="104"/>
        <v>0</v>
      </c>
      <c r="BP81" s="69">
        <f t="shared" ca="1" si="82"/>
        <v>0</v>
      </c>
      <c r="BQ81" s="69">
        <f t="shared" ca="1" si="41"/>
        <v>0</v>
      </c>
      <c r="BR81" s="69">
        <f t="shared" ca="1" si="83"/>
        <v>0</v>
      </c>
      <c r="BS81" s="69">
        <f ca="1">$AO81*IF(Auswahllisten!$G$150,BS$25+BS$25*BS$13*$AN81,BS$25*(1+BS$13)^$AN81)</f>
        <v>0</v>
      </c>
      <c r="BT81" s="69">
        <f ca="1">$AO81*IF(Auswahllisten!$G$150,BT$25+BT$25*BT$13*$AN81,BT$25*(1+BT$13)^$AN81)</f>
        <v>0</v>
      </c>
      <c r="BU81" s="69">
        <f ca="1">$AO81*IF(Auswahllisten!$G$150,BU$25+BU$25*BU$13*$AN81,BU$25*(1+BU$13)^$AN81)</f>
        <v>0</v>
      </c>
      <c r="BV81" s="69">
        <f ca="1">$AO81*IF(Auswahllisten!$G$150,BV$25+BV$25*BV$13*$AN81,BV$25*(1+BV$13)^$AN81)</f>
        <v>0</v>
      </c>
      <c r="BW81" s="69">
        <f t="shared" ca="1" si="42"/>
        <v>0</v>
      </c>
      <c r="BX81" s="69">
        <f t="shared" ca="1" si="43"/>
        <v>0</v>
      </c>
      <c r="BY81" s="69">
        <f t="shared" ca="1" si="29"/>
        <v>0</v>
      </c>
      <c r="BZ81" s="69">
        <f t="shared" ca="1" si="30"/>
        <v>0</v>
      </c>
    </row>
    <row r="82" spans="1:78">
      <c r="A82" s="304" t="s">
        <v>1217</v>
      </c>
      <c r="B82" s="131" t="s">
        <v>1242</v>
      </c>
      <c r="C82" s="131" t="s">
        <v>246</v>
      </c>
      <c r="D82" s="162" t="str" cm="1">
        <f t="array" aca="1" ref="D82" ca="1">INDIRECT("Vergleich!"&amp;$G$2&amp;Z82)</f>
        <v>mittel</v>
      </c>
      <c r="E82" s="162" cm="1">
        <f t="array" aca="1" ref="E82" ca="1">INDIRECT("Investition_gewählt!"&amp;$I$5&amp;AA82)</f>
        <v>20800</v>
      </c>
      <c r="F82" s="25" cm="1">
        <f t="array" aca="1" ref="F82" ca="1">IF($C$5=0,0,INDEX(Faktoren!E68:GQ68,1,VLOOKUP($F$5,$L$2:$O$14,4,FALSE)+$C$9*5+VLOOKUP(D82,Auswahllisten!$E$25:$F$29,2,FALSE)))</f>
        <v>0</v>
      </c>
      <c r="G82" s="162">
        <f ca="1">E82*F82</f>
        <v>0</v>
      </c>
      <c r="H82" s="162" cm="1">
        <f t="array" aca="1" ref="H82" ca="1">INDIRECT("Investition_gewählt!"&amp;$I$6&amp;AA82)</f>
        <v>20800</v>
      </c>
      <c r="I82" s="25" cm="1">
        <f t="array" aca="1" ref="I82" ca="1">IF($C$5=0,0,INDEX(Faktoren!E68:GQ68,1,VLOOKUP($F$6,$L$2:$O$14,4,FALSE)+$C$9*5+VLOOKUP(D82,Auswahllisten!$E$25:$F$29,2,FALSE)))</f>
        <v>0</v>
      </c>
      <c r="J82" s="162">
        <f ca="1">H82*I82</f>
        <v>0</v>
      </c>
      <c r="K82" s="162">
        <f t="shared" ref="K82:K89" ca="1" si="106">IF($C$5=0,0,G82+(J82-G82)*($C$6-$F$5)/($F$6-$F$5))</f>
        <v>0</v>
      </c>
      <c r="L82" s="25" t="b">
        <f ca="1">($C$5=$L$81)</f>
        <v>0</v>
      </c>
      <c r="M82" s="162">
        <f t="shared" ref="M82:M89" ca="1" si="107">IFERROR(ROUND(K82*L82,AB82),0)</f>
        <v>0</v>
      </c>
      <c r="O82" s="25" t="str" cm="1">
        <f t="array" aca="1" ref="O82" ca="1">INDIRECT("Vergleich!"&amp;$Y$2&amp;Z82)</f>
        <v>gering</v>
      </c>
      <c r="P82" s="162" cm="1">
        <f t="array" aca="1" ref="P82" ca="1">INDIRECT("Investition_gewählt!"&amp;$AA$5&amp;AA82)</f>
        <v>20800</v>
      </c>
      <c r="Q82" s="25" cm="1">
        <f t="array" aca="1" ref="Q82" ca="1">IF($U$5=0,0,INDEX(Faktoren!E68:GQ68,1,VLOOKUP($X$5,$L$2:$O$14,4,FALSE)+$U$9*5+VLOOKUP(O82,Auswahllisten!$E$25:$F$29,2,FALSE)))</f>
        <v>0</v>
      </c>
      <c r="R82" s="162">
        <f t="shared" ref="R82:R89" ca="1" si="108">P82*Q82</f>
        <v>0</v>
      </c>
      <c r="S82" s="162" cm="1">
        <f t="array" aca="1" ref="S82" ca="1">INDIRECT("Investition_gewählt!"&amp;$AA$6&amp;AA82)</f>
        <v>20800</v>
      </c>
      <c r="T82" s="25" cm="1">
        <f t="array" aca="1" ref="T82" ca="1">IF($U$5=0,0,INDEX(Faktoren!E68:QG68,1,VLOOKUP($X$6,$L$3:$O$14,4,FALSE)+$U$9*5+VLOOKUP(O82,Auswahllisten!$E$25:$F$29,2,FALSE)))</f>
        <v>0</v>
      </c>
      <c r="U82" s="162">
        <f t="shared" ref="U82:U89" ca="1" si="109">S82*T82</f>
        <v>0</v>
      </c>
      <c r="V82" s="162">
        <f t="shared" ca="1" si="14"/>
        <v>0</v>
      </c>
      <c r="W82" s="25" t="b">
        <f ca="1">($U$5=$L$81)</f>
        <v>0</v>
      </c>
      <c r="X82" s="162">
        <f t="shared" ref="X82:X89" ca="1" si="110">IFERROR(ROUND(V82*W82,AB82),0)</f>
        <v>0</v>
      </c>
      <c r="Z82" s="1">
        <v>31</v>
      </c>
      <c r="AA82" s="1">
        <v>68</v>
      </c>
      <c r="AB82" s="1">
        <v>-2</v>
      </c>
      <c r="AN82" s="1">
        <v>57</v>
      </c>
      <c r="AO82" s="1">
        <f t="shared" si="24"/>
        <v>0</v>
      </c>
      <c r="AP82" s="69">
        <f t="shared" ca="1" si="103"/>
        <v>0</v>
      </c>
      <c r="AQ82" s="69">
        <f t="shared" ca="1" si="103"/>
        <v>0</v>
      </c>
      <c r="AR82" s="69">
        <f t="shared" si="103"/>
        <v>0</v>
      </c>
      <c r="AS82" s="69">
        <f t="shared" ca="1" si="103"/>
        <v>0</v>
      </c>
      <c r="AT82" s="69">
        <f t="shared" ca="1" si="103"/>
        <v>0</v>
      </c>
      <c r="AU82" s="69">
        <f t="shared" ca="1" si="103"/>
        <v>0</v>
      </c>
      <c r="AV82" s="69">
        <f t="shared" si="103"/>
        <v>0</v>
      </c>
      <c r="AW82" s="69">
        <f t="shared" ca="1" si="72"/>
        <v>0</v>
      </c>
      <c r="AX82" s="69">
        <f t="shared" ca="1" si="35"/>
        <v>0</v>
      </c>
      <c r="AY82" s="69">
        <f t="shared" ca="1" si="36"/>
        <v>0</v>
      </c>
      <c r="AZ82" s="69">
        <f ca="1">$AO82*IF(Auswahllisten!$G$150,AZ$25+AZ$25*AZ$13*$AN82,AZ$25*(1+AZ$13)^$AN82)</f>
        <v>0</v>
      </c>
      <c r="BA82" s="69">
        <f ca="1">$AO82*IF(Auswahllisten!$G$150,BA$25+BA$25*BA$13*$AN82,BA$25*(1+BA$13)^$AN82)</f>
        <v>0</v>
      </c>
      <c r="BB82" s="69">
        <f ca="1">$AO82*IF(Auswahllisten!$G$150,BB$25+BB$25*BB$13*$AN82,BB$25*(1+BB$13)^$AN82)</f>
        <v>0</v>
      </c>
      <c r="BC82" s="69">
        <f ca="1">$AO82*IF(Auswahllisten!$G$150,BC$25+BC$25*BC$13*$AN82,BC$25*(1+BC$13)^$AN82)</f>
        <v>0</v>
      </c>
      <c r="BD82" s="69">
        <f t="shared" ca="1" si="37"/>
        <v>0</v>
      </c>
      <c r="BE82" s="69">
        <f t="shared" ca="1" si="38"/>
        <v>0</v>
      </c>
      <c r="BF82" s="69">
        <f t="shared" ca="1" si="39"/>
        <v>0</v>
      </c>
      <c r="BG82" s="69">
        <f t="shared" ca="1" si="40"/>
        <v>0</v>
      </c>
      <c r="BI82" s="69">
        <f t="shared" ca="1" si="105"/>
        <v>0</v>
      </c>
      <c r="BJ82" s="69">
        <f t="shared" ca="1" si="105"/>
        <v>0</v>
      </c>
      <c r="BK82" s="69">
        <f t="shared" si="105"/>
        <v>0</v>
      </c>
      <c r="BL82" s="69">
        <f t="shared" ca="1" si="105"/>
        <v>0</v>
      </c>
      <c r="BM82" s="69">
        <f t="shared" ca="1" si="104"/>
        <v>0</v>
      </c>
      <c r="BN82" s="69">
        <f t="shared" ca="1" si="104"/>
        <v>0</v>
      </c>
      <c r="BO82" s="69">
        <f t="shared" si="104"/>
        <v>0</v>
      </c>
      <c r="BP82" s="69">
        <f t="shared" ca="1" si="82"/>
        <v>0</v>
      </c>
      <c r="BQ82" s="69">
        <f t="shared" ca="1" si="41"/>
        <v>0</v>
      </c>
      <c r="BR82" s="69">
        <f t="shared" ca="1" si="83"/>
        <v>0</v>
      </c>
      <c r="BS82" s="69">
        <f ca="1">$AO82*IF(Auswahllisten!$G$150,BS$25+BS$25*BS$13*$AN82,BS$25*(1+BS$13)^$AN82)</f>
        <v>0</v>
      </c>
      <c r="BT82" s="69">
        <f ca="1">$AO82*IF(Auswahllisten!$G$150,BT$25+BT$25*BT$13*$AN82,BT$25*(1+BT$13)^$AN82)</f>
        <v>0</v>
      </c>
      <c r="BU82" s="69">
        <f ca="1">$AO82*IF(Auswahllisten!$G$150,BU$25+BU$25*BU$13*$AN82,BU$25*(1+BU$13)^$AN82)</f>
        <v>0</v>
      </c>
      <c r="BV82" s="69">
        <f ca="1">$AO82*IF(Auswahllisten!$G$150,BV$25+BV$25*BV$13*$AN82,BV$25*(1+BV$13)^$AN82)</f>
        <v>0</v>
      </c>
      <c r="BW82" s="69">
        <f t="shared" ca="1" si="42"/>
        <v>0</v>
      </c>
      <c r="BX82" s="69">
        <f t="shared" ca="1" si="43"/>
        <v>0</v>
      </c>
      <c r="BY82" s="69">
        <f t="shared" ca="1" si="29"/>
        <v>0</v>
      </c>
      <c r="BZ82" s="69">
        <f t="shared" ca="1" si="30"/>
        <v>0</v>
      </c>
    </row>
    <row r="83" spans="1:78">
      <c r="A83" s="305" t="s">
        <v>1215</v>
      </c>
      <c r="B83" s="126" t="s">
        <v>303</v>
      </c>
      <c r="C83" s="126" t="s">
        <v>235</v>
      </c>
      <c r="D83" s="26" t="str" cm="1">
        <f t="array" aca="1" ref="D83" ca="1">INDIRECT("Vergleich!"&amp;$G$2&amp;Z83)</f>
        <v>mittel</v>
      </c>
      <c r="E83" s="26" cm="1">
        <f t="array" aca="1" ref="E83" ca="1">INDIRECT("Investition_gewählt!"&amp;$I$5&amp;AA83)</f>
        <v>15200</v>
      </c>
      <c r="F83" s="25" cm="1">
        <f t="array" aca="1" ref="F83" ca="1">IF($C$5=0,0,INDEX(Faktoren!E69:GQ69,1,VLOOKUP($F$5,$L$2:$O$14,4,FALSE)+$C$9*5+VLOOKUP(D83,Auswahllisten!$E$25:$F$29,2,FALSE)))</f>
        <v>0</v>
      </c>
      <c r="G83" s="26">
        <f t="shared" ref="G83:G89" ca="1" si="111">E83*F83</f>
        <v>0</v>
      </c>
      <c r="H83" s="26" cm="1">
        <f t="array" aca="1" ref="H83" ca="1">INDIRECT("Investition_gewählt!"&amp;$I$6&amp;AA83)</f>
        <v>15200</v>
      </c>
      <c r="I83" s="25" cm="1">
        <f t="array" aca="1" ref="I83" ca="1">IF($C$5=0,0,INDEX(Faktoren!E69:GQ69,1,VLOOKUP($F$6,$L$2:$O$14,4,FALSE)+$C$9*5+VLOOKUP(D83,Auswahllisten!$E$25:$F$29,2,FALSE)))</f>
        <v>0</v>
      </c>
      <c r="J83" s="26">
        <f t="shared" ref="J83:J89" ca="1" si="112">H83*I83</f>
        <v>0</v>
      </c>
      <c r="K83" s="26">
        <f t="shared" ca="1" si="106"/>
        <v>0</v>
      </c>
      <c r="L83" s="16" t="b">
        <f t="shared" ref="L83:L89" ca="1" si="113">($C$5=$L$81)</f>
        <v>0</v>
      </c>
      <c r="M83" s="26">
        <f t="shared" ca="1" si="107"/>
        <v>0</v>
      </c>
      <c r="O83" s="16" t="str" cm="1">
        <f t="array" aca="1" ref="O83" ca="1">INDIRECT("Vergleich!"&amp;$Y$2&amp;Z83)</f>
        <v>gering</v>
      </c>
      <c r="P83" s="26" cm="1">
        <f t="array" aca="1" ref="P83" ca="1">INDIRECT("Investition_gewählt!"&amp;$AA$5&amp;AA83)</f>
        <v>15200</v>
      </c>
      <c r="Q83" s="16" cm="1">
        <f t="array" aca="1" ref="Q83" ca="1">IF($U$5=0,0,INDEX(Faktoren!E69:GQ69,1,VLOOKUP($X$5,$L$2:$O$14,4,FALSE)+$U$9*5+VLOOKUP(O83,Auswahllisten!$E$25:$F$29,2,FALSE)))</f>
        <v>0</v>
      </c>
      <c r="R83" s="26">
        <f t="shared" ca="1" si="108"/>
        <v>0</v>
      </c>
      <c r="S83" s="26" cm="1">
        <f t="array" aca="1" ref="S83" ca="1">INDIRECT("Investition_gewählt!"&amp;$AA$6&amp;AA83)</f>
        <v>15200</v>
      </c>
      <c r="T83" s="16" cm="1">
        <f t="array" aca="1" ref="T83" ca="1">IF($U$5=0,0,INDEX(Faktoren!E69:QG69,1,VLOOKUP($X$6,$L$3:$O$14,4,FALSE)+$U$9*5+VLOOKUP(O83,Auswahllisten!$E$25:$F$29,2,FALSE)))</f>
        <v>0</v>
      </c>
      <c r="U83" s="26">
        <f t="shared" ca="1" si="109"/>
        <v>0</v>
      </c>
      <c r="V83" s="26">
        <f t="shared" ca="1" si="14"/>
        <v>0</v>
      </c>
      <c r="W83" s="16" t="b">
        <f t="shared" ref="W83:W89" ca="1" si="114">($U$5=$L$81)</f>
        <v>0</v>
      </c>
      <c r="X83" s="26">
        <f t="shared" ca="1" si="110"/>
        <v>0</v>
      </c>
      <c r="Z83" s="1">
        <v>40</v>
      </c>
      <c r="AA83" s="1">
        <v>69</v>
      </c>
      <c r="AB83" s="1">
        <v>-2</v>
      </c>
      <c r="AN83" s="1">
        <v>58</v>
      </c>
      <c r="AO83" s="1">
        <f t="shared" si="24"/>
        <v>0</v>
      </c>
      <c r="AP83" s="69">
        <f t="shared" ca="1" si="103"/>
        <v>0</v>
      </c>
      <c r="AQ83" s="69">
        <f t="shared" ca="1" si="103"/>
        <v>0</v>
      </c>
      <c r="AR83" s="69">
        <f t="shared" si="103"/>
        <v>0</v>
      </c>
      <c r="AS83" s="69">
        <f t="shared" ca="1" si="103"/>
        <v>0</v>
      </c>
      <c r="AT83" s="69">
        <f t="shared" ca="1" si="103"/>
        <v>0</v>
      </c>
      <c r="AU83" s="69">
        <f t="shared" ca="1" si="103"/>
        <v>0</v>
      </c>
      <c r="AV83" s="69">
        <f t="shared" si="103"/>
        <v>0</v>
      </c>
      <c r="AW83" s="69">
        <f t="shared" ca="1" si="72"/>
        <v>0</v>
      </c>
      <c r="AX83" s="69">
        <f t="shared" ca="1" si="35"/>
        <v>0</v>
      </c>
      <c r="AY83" s="69">
        <f t="shared" ca="1" si="36"/>
        <v>0</v>
      </c>
      <c r="AZ83" s="69">
        <f ca="1">$AO83*IF(Auswahllisten!$G$150,AZ$25+AZ$25*AZ$13*$AN83,AZ$25*(1+AZ$13)^$AN83)</f>
        <v>0</v>
      </c>
      <c r="BA83" s="69">
        <f ca="1">$AO83*IF(Auswahllisten!$G$150,BA$25+BA$25*BA$13*$AN83,BA$25*(1+BA$13)^$AN83)</f>
        <v>0</v>
      </c>
      <c r="BB83" s="69">
        <f ca="1">$AO83*IF(Auswahllisten!$G$150,BB$25+BB$25*BB$13*$AN83,BB$25*(1+BB$13)^$AN83)</f>
        <v>0</v>
      </c>
      <c r="BC83" s="69">
        <f ca="1">$AO83*IF(Auswahllisten!$G$150,BC$25+BC$25*BC$13*$AN83,BC$25*(1+BC$13)^$AN83)</f>
        <v>0</v>
      </c>
      <c r="BD83" s="69">
        <f t="shared" ca="1" si="37"/>
        <v>0</v>
      </c>
      <c r="BE83" s="69">
        <f t="shared" ca="1" si="38"/>
        <v>0</v>
      </c>
      <c r="BF83" s="69">
        <f t="shared" ca="1" si="39"/>
        <v>0</v>
      </c>
      <c r="BG83" s="69">
        <f t="shared" ca="1" si="40"/>
        <v>0</v>
      </c>
      <c r="BI83" s="69">
        <f t="shared" ca="1" si="105"/>
        <v>0</v>
      </c>
      <c r="BJ83" s="69">
        <f t="shared" ca="1" si="105"/>
        <v>0</v>
      </c>
      <c r="BK83" s="69">
        <f t="shared" si="105"/>
        <v>0</v>
      </c>
      <c r="BL83" s="69">
        <f t="shared" ca="1" si="105"/>
        <v>0</v>
      </c>
      <c r="BM83" s="69">
        <f t="shared" ca="1" si="104"/>
        <v>0</v>
      </c>
      <c r="BN83" s="69">
        <f t="shared" ca="1" si="104"/>
        <v>0</v>
      </c>
      <c r="BO83" s="69">
        <f t="shared" si="104"/>
        <v>0</v>
      </c>
      <c r="BP83" s="69">
        <f t="shared" ca="1" si="82"/>
        <v>0</v>
      </c>
      <c r="BQ83" s="69">
        <f t="shared" ca="1" si="41"/>
        <v>0</v>
      </c>
      <c r="BR83" s="69">
        <f t="shared" ca="1" si="83"/>
        <v>0</v>
      </c>
      <c r="BS83" s="69">
        <f ca="1">$AO83*IF(Auswahllisten!$G$150,BS$25+BS$25*BS$13*$AN83,BS$25*(1+BS$13)^$AN83)</f>
        <v>0</v>
      </c>
      <c r="BT83" s="69">
        <f ca="1">$AO83*IF(Auswahllisten!$G$150,BT$25+BT$25*BT$13*$AN83,BT$25*(1+BT$13)^$AN83)</f>
        <v>0</v>
      </c>
      <c r="BU83" s="69">
        <f ca="1">$AO83*IF(Auswahllisten!$G$150,BU$25+BU$25*BU$13*$AN83,BU$25*(1+BU$13)^$AN83)</f>
        <v>0</v>
      </c>
      <c r="BV83" s="69">
        <f ca="1">$AO83*IF(Auswahllisten!$G$150,BV$25+BV$25*BV$13*$AN83,BV$25*(1+BV$13)^$AN83)</f>
        <v>0</v>
      </c>
      <c r="BW83" s="69">
        <f t="shared" ca="1" si="42"/>
        <v>0</v>
      </c>
      <c r="BX83" s="69">
        <f t="shared" ca="1" si="43"/>
        <v>0</v>
      </c>
      <c r="BY83" s="69">
        <f t="shared" ca="1" si="29"/>
        <v>0</v>
      </c>
      <c r="BZ83" s="69">
        <f t="shared" ca="1" si="30"/>
        <v>0</v>
      </c>
    </row>
    <row r="84" spans="1:78">
      <c r="A84" s="305" t="s">
        <v>1215</v>
      </c>
      <c r="B84" s="126" t="s">
        <v>303</v>
      </c>
      <c r="C84" s="126" t="s">
        <v>965</v>
      </c>
      <c r="D84" s="26" t="str" cm="1">
        <f t="array" aca="1" ref="D84" ca="1">INDIRECT("Vergleich!"&amp;$G$2&amp;Z84)</f>
        <v>mittel</v>
      </c>
      <c r="E84" s="26" cm="1">
        <f t="array" aca="1" ref="E84" ca="1">INDIRECT("Investition_gewählt!"&amp;$I$5&amp;AA84)</f>
        <v>3600</v>
      </c>
      <c r="F84" s="25" cm="1">
        <f t="array" aca="1" ref="F84" ca="1">IF($C$5=0,0,INDEX(Faktoren!E70:GQ70,1,VLOOKUP($F$5,$L$2:$O$14,4,FALSE)+$C$9*5+VLOOKUP(D84,Auswahllisten!$E$25:$F$29,2,FALSE)))</f>
        <v>0</v>
      </c>
      <c r="G84" s="26">
        <f t="shared" ca="1" si="111"/>
        <v>0</v>
      </c>
      <c r="H84" s="26" cm="1">
        <f t="array" aca="1" ref="H84" ca="1">INDIRECT("Investition_gewählt!"&amp;$I$6&amp;AA84)</f>
        <v>3600</v>
      </c>
      <c r="I84" s="25" cm="1">
        <f t="array" aca="1" ref="I84" ca="1">IF($C$5=0,0,INDEX(Faktoren!E70:GQ70,1,VLOOKUP($F$6,$L$2:$O$14,4,FALSE)+$C$9*5+VLOOKUP(D84,Auswahllisten!$E$25:$F$29,2,FALSE)))</f>
        <v>0</v>
      </c>
      <c r="J84" s="26">
        <f t="shared" ca="1" si="112"/>
        <v>0</v>
      </c>
      <c r="K84" s="26">
        <f t="shared" ca="1" si="106"/>
        <v>0</v>
      </c>
      <c r="L84" s="16" t="b">
        <f t="shared" ca="1" si="113"/>
        <v>0</v>
      </c>
      <c r="M84" s="26">
        <f t="shared" ca="1" si="107"/>
        <v>0</v>
      </c>
      <c r="O84" s="16" t="str" cm="1">
        <f t="array" aca="1" ref="O84" ca="1">INDIRECT("Vergleich!"&amp;$Y$2&amp;Z84)</f>
        <v>gering</v>
      </c>
      <c r="P84" s="26" cm="1">
        <f t="array" aca="1" ref="P84" ca="1">INDIRECT("Investition_gewählt!"&amp;$AA$5&amp;AA84)</f>
        <v>3600</v>
      </c>
      <c r="Q84" s="16" cm="1">
        <f t="array" aca="1" ref="Q84" ca="1">IF($U$5=0,0,INDEX(Faktoren!E70:GQ70,1,VLOOKUP($X$5,$L$2:$O$14,4,FALSE)+$U$9*5+VLOOKUP(O84,Auswahllisten!$E$25:$F$29,2,FALSE)))</f>
        <v>0</v>
      </c>
      <c r="R84" s="26">
        <f t="shared" ca="1" si="108"/>
        <v>0</v>
      </c>
      <c r="S84" s="26" cm="1">
        <f t="array" aca="1" ref="S84" ca="1">INDIRECT("Investition_gewählt!"&amp;$AA$6&amp;AA84)</f>
        <v>3600</v>
      </c>
      <c r="T84" s="16" cm="1">
        <f t="array" aca="1" ref="T84" ca="1">IF($U$5=0,0,INDEX(Faktoren!E70:QG70,1,VLOOKUP($X$6,$L$3:$O$14,4,FALSE)+$U$9*5+VLOOKUP(O84,Auswahllisten!$E$25:$F$29,2,FALSE)))</f>
        <v>0</v>
      </c>
      <c r="U84" s="26">
        <f t="shared" ca="1" si="109"/>
        <v>0</v>
      </c>
      <c r="V84" s="26">
        <f t="shared" ref="V84:V134" ca="1" si="115">IF($U$5=0,0,R84+(U84-R84)*($U$6-$X$5)/($X$6-$X$5))</f>
        <v>0</v>
      </c>
      <c r="W84" s="16" t="b">
        <f t="shared" ca="1" si="114"/>
        <v>0</v>
      </c>
      <c r="X84" s="26">
        <f t="shared" ca="1" si="110"/>
        <v>0</v>
      </c>
      <c r="Z84" s="1">
        <v>42</v>
      </c>
      <c r="AA84" s="1">
        <v>70</v>
      </c>
      <c r="AB84" s="1">
        <v>-2</v>
      </c>
      <c r="AN84" s="1">
        <v>59</v>
      </c>
      <c r="AO84" s="1">
        <f t="shared" si="24"/>
        <v>0</v>
      </c>
      <c r="AP84" s="69">
        <f t="shared" ca="1" si="103"/>
        <v>0</v>
      </c>
      <c r="AQ84" s="69">
        <f t="shared" ca="1" si="103"/>
        <v>0</v>
      </c>
      <c r="AR84" s="69">
        <f t="shared" si="103"/>
        <v>0</v>
      </c>
      <c r="AS84" s="69">
        <f t="shared" ca="1" si="103"/>
        <v>0</v>
      </c>
      <c r="AT84" s="69">
        <f t="shared" ca="1" si="103"/>
        <v>0</v>
      </c>
      <c r="AU84" s="69">
        <f t="shared" ca="1" si="103"/>
        <v>0</v>
      </c>
      <c r="AV84" s="69">
        <f t="shared" si="103"/>
        <v>0</v>
      </c>
      <c r="AW84" s="69">
        <f t="shared" ca="1" si="72"/>
        <v>0</v>
      </c>
      <c r="AX84" s="69">
        <f t="shared" ca="1" si="35"/>
        <v>0</v>
      </c>
      <c r="AY84" s="69">
        <f t="shared" ca="1" si="36"/>
        <v>0</v>
      </c>
      <c r="AZ84" s="69">
        <f ca="1">$AO84*IF(Auswahllisten!$G$150,AZ$25+AZ$25*AZ$13*$AN84,AZ$25*(1+AZ$13)^$AN84)</f>
        <v>0</v>
      </c>
      <c r="BA84" s="69">
        <f ca="1">$AO84*IF(Auswahllisten!$G$150,BA$25+BA$25*BA$13*$AN84,BA$25*(1+BA$13)^$AN84)</f>
        <v>0</v>
      </c>
      <c r="BB84" s="69">
        <f ca="1">$AO84*IF(Auswahllisten!$G$150,BB$25+BB$25*BB$13*$AN84,BB$25*(1+BB$13)^$AN84)</f>
        <v>0</v>
      </c>
      <c r="BC84" s="69">
        <f ca="1">$AO84*IF(Auswahllisten!$G$150,BC$25+BC$25*BC$13*$AN84,BC$25*(1+BC$13)^$AN84)</f>
        <v>0</v>
      </c>
      <c r="BD84" s="69">
        <f t="shared" ca="1" si="37"/>
        <v>0</v>
      </c>
      <c r="BE84" s="69">
        <f t="shared" ca="1" si="38"/>
        <v>0</v>
      </c>
      <c r="BF84" s="69">
        <f t="shared" ca="1" si="39"/>
        <v>0</v>
      </c>
      <c r="BG84" s="69">
        <f t="shared" ca="1" si="40"/>
        <v>0</v>
      </c>
      <c r="BI84" s="69">
        <f t="shared" ca="1" si="105"/>
        <v>0</v>
      </c>
      <c r="BJ84" s="69">
        <f t="shared" ca="1" si="105"/>
        <v>0</v>
      </c>
      <c r="BK84" s="69">
        <f t="shared" si="105"/>
        <v>0</v>
      </c>
      <c r="BL84" s="69">
        <f t="shared" ca="1" si="105"/>
        <v>0</v>
      </c>
      <c r="BM84" s="69">
        <f t="shared" ca="1" si="104"/>
        <v>0</v>
      </c>
      <c r="BN84" s="69">
        <f t="shared" ca="1" si="104"/>
        <v>0</v>
      </c>
      <c r="BO84" s="69">
        <f t="shared" si="104"/>
        <v>0</v>
      </c>
      <c r="BP84" s="69">
        <f t="shared" ca="1" si="82"/>
        <v>0</v>
      </c>
      <c r="BQ84" s="69">
        <f t="shared" ca="1" si="41"/>
        <v>0</v>
      </c>
      <c r="BR84" s="69">
        <f t="shared" ca="1" si="83"/>
        <v>0</v>
      </c>
      <c r="BS84" s="69">
        <f ca="1">$AO84*IF(Auswahllisten!$G$150,BS$25+BS$25*BS$13*$AN84,BS$25*(1+BS$13)^$AN84)</f>
        <v>0</v>
      </c>
      <c r="BT84" s="69">
        <f ca="1">$AO84*IF(Auswahllisten!$G$150,BT$25+BT$25*BT$13*$AN84,BT$25*(1+BT$13)^$AN84)</f>
        <v>0</v>
      </c>
      <c r="BU84" s="69">
        <f ca="1">$AO84*IF(Auswahllisten!$G$150,BU$25+BU$25*BU$13*$AN84,BU$25*(1+BU$13)^$AN84)</f>
        <v>0</v>
      </c>
      <c r="BV84" s="69">
        <f ca="1">$AO84*IF(Auswahllisten!$G$150,BV$25+BV$25*BV$13*$AN84,BV$25*(1+BV$13)^$AN84)</f>
        <v>0</v>
      </c>
      <c r="BW84" s="69">
        <f t="shared" ca="1" si="42"/>
        <v>0</v>
      </c>
      <c r="BX84" s="69">
        <f t="shared" ca="1" si="43"/>
        <v>0</v>
      </c>
      <c r="BY84" s="69">
        <f t="shared" ca="1" si="29"/>
        <v>0</v>
      </c>
      <c r="BZ84" s="69">
        <f t="shared" ca="1" si="30"/>
        <v>0</v>
      </c>
    </row>
    <row r="85" spans="1:78">
      <c r="A85" s="305" t="s">
        <v>1218</v>
      </c>
      <c r="B85" s="126" t="s">
        <v>1243</v>
      </c>
      <c r="C85" s="126" t="s">
        <v>231</v>
      </c>
      <c r="D85" s="26" t="str" cm="1">
        <f t="array" aca="1" ref="D85" ca="1">INDIRECT("Vergleich!"&amp;$G$2&amp;Z85)</f>
        <v>mittel</v>
      </c>
      <c r="E85" s="26" cm="1">
        <f t="array" aca="1" ref="E85" ca="1">INDIRECT("Investition_gewählt!"&amp;$I$5&amp;AA85)</f>
        <v>1500</v>
      </c>
      <c r="F85" s="25" cm="1">
        <f t="array" aca="1" ref="F85" ca="1">IF($C$5=0,0,INDEX(Faktoren!E71:GQ71,1,VLOOKUP($F$5,$L$2:$O$14,4,FALSE)+$C$9*5+VLOOKUP(D85,Auswahllisten!$E$25:$F$29,2,FALSE)))</f>
        <v>0</v>
      </c>
      <c r="G85" s="26">
        <f t="shared" ca="1" si="111"/>
        <v>0</v>
      </c>
      <c r="H85" s="26" cm="1">
        <f t="array" aca="1" ref="H85" ca="1">INDIRECT("Investition_gewählt!"&amp;$I$6&amp;AA85)</f>
        <v>1500</v>
      </c>
      <c r="I85" s="25" cm="1">
        <f t="array" aca="1" ref="I85" ca="1">IF($C$5=0,0,INDEX(Faktoren!E71:GQ71,1,VLOOKUP($F$6,$L$2:$O$14,4,FALSE)+$C$9*5+VLOOKUP(D85,Auswahllisten!$E$25:$F$29,2,FALSE)))</f>
        <v>0</v>
      </c>
      <c r="J85" s="26">
        <f t="shared" ca="1" si="112"/>
        <v>0</v>
      </c>
      <c r="K85" s="26">
        <f t="shared" ca="1" si="106"/>
        <v>0</v>
      </c>
      <c r="L85" s="16" t="b">
        <f t="shared" ca="1" si="113"/>
        <v>0</v>
      </c>
      <c r="M85" s="26">
        <f t="shared" ca="1" si="107"/>
        <v>0</v>
      </c>
      <c r="O85" s="16" t="str" cm="1">
        <f t="array" aca="1" ref="O85" ca="1">INDIRECT("Vergleich!"&amp;$Y$2&amp;Z85)</f>
        <v>gering</v>
      </c>
      <c r="P85" s="26" cm="1">
        <f t="array" aca="1" ref="P85" ca="1">INDIRECT("Investition_gewählt!"&amp;$AA$5&amp;AA85)</f>
        <v>1500</v>
      </c>
      <c r="Q85" s="16" cm="1">
        <f t="array" aca="1" ref="Q85" ca="1">IF($U$5=0,0,INDEX(Faktoren!E71:GQ71,1,VLOOKUP($X$5,$L$2:$O$14,4,FALSE)+$U$9*5+VLOOKUP(O85,Auswahllisten!$E$25:$F$29,2,FALSE)))</f>
        <v>0</v>
      </c>
      <c r="R85" s="26">
        <f t="shared" ca="1" si="108"/>
        <v>0</v>
      </c>
      <c r="S85" s="26" cm="1">
        <f t="array" aca="1" ref="S85" ca="1">INDIRECT("Investition_gewählt!"&amp;$AA$6&amp;AA85)</f>
        <v>1500</v>
      </c>
      <c r="T85" s="16" cm="1">
        <f t="array" aca="1" ref="T85" ca="1">IF($U$5=0,0,INDEX(Faktoren!E71:QG71,1,VLOOKUP($X$6,$L$3:$O$14,4,FALSE)+$U$9*5+VLOOKUP(O85,Auswahllisten!$E$25:$F$29,2,FALSE)))</f>
        <v>0</v>
      </c>
      <c r="U85" s="26">
        <f t="shared" ca="1" si="109"/>
        <v>0</v>
      </c>
      <c r="V85" s="26">
        <f t="shared" ca="1" si="115"/>
        <v>0</v>
      </c>
      <c r="W85" s="16" t="b">
        <f t="shared" ca="1" si="114"/>
        <v>0</v>
      </c>
      <c r="X85" s="26">
        <f t="shared" ca="1" si="110"/>
        <v>0</v>
      </c>
      <c r="Z85" s="1">
        <v>41</v>
      </c>
      <c r="AA85" s="1">
        <v>71</v>
      </c>
      <c r="AB85" s="1">
        <v>-2</v>
      </c>
      <c r="AN85" s="1">
        <v>60</v>
      </c>
      <c r="AO85" s="1">
        <f t="shared" si="24"/>
        <v>0</v>
      </c>
      <c r="AP85" s="69">
        <f t="shared" ca="1" si="103"/>
        <v>0</v>
      </c>
      <c r="AQ85" s="69">
        <f t="shared" ca="1" si="103"/>
        <v>0</v>
      </c>
      <c r="AR85" s="69">
        <f t="shared" ca="1" si="103"/>
        <v>0</v>
      </c>
      <c r="AS85" s="69">
        <f t="shared" ca="1" si="103"/>
        <v>0</v>
      </c>
      <c r="AT85" s="69">
        <f t="shared" ca="1" si="103"/>
        <v>0</v>
      </c>
      <c r="AU85" s="69">
        <f t="shared" ca="1" si="103"/>
        <v>0</v>
      </c>
      <c r="AV85" s="69">
        <f t="shared" ca="1" si="103"/>
        <v>0</v>
      </c>
      <c r="AW85" s="69">
        <f t="shared" ca="1" si="72"/>
        <v>0</v>
      </c>
      <c r="AX85" s="69">
        <f t="shared" ca="1" si="35"/>
        <v>0</v>
      </c>
      <c r="AY85" s="69">
        <f t="shared" ca="1" si="36"/>
        <v>0</v>
      </c>
      <c r="AZ85" s="69">
        <f ca="1">$AO85*IF(Auswahllisten!$G$150,AZ$25+AZ$25*AZ$13*$AN85,AZ$25*(1+AZ$13)^$AN85)</f>
        <v>0</v>
      </c>
      <c r="BA85" s="69">
        <f ca="1">$AO85*IF(Auswahllisten!$G$150,BA$25+BA$25*BA$13*$AN85,BA$25*(1+BA$13)^$AN85)</f>
        <v>0</v>
      </c>
      <c r="BB85" s="69">
        <f ca="1">$AO85*IF(Auswahllisten!$G$150,BB$25+BB$25*BB$13*$AN85,BB$25*(1+BB$13)^$AN85)</f>
        <v>0</v>
      </c>
      <c r="BC85" s="69">
        <f ca="1">$AO85*IF(Auswahllisten!$G$150,BC$25+BC$25*BC$13*$AN85,BC$25*(1+BC$13)^$AN85)</f>
        <v>0</v>
      </c>
      <c r="BD85" s="69">
        <f t="shared" ca="1" si="37"/>
        <v>0</v>
      </c>
      <c r="BE85" s="69">
        <f t="shared" ca="1" si="38"/>
        <v>0</v>
      </c>
      <c r="BF85" s="69">
        <f t="shared" ca="1" si="39"/>
        <v>0</v>
      </c>
      <c r="BG85" s="69">
        <f t="shared" ca="1" si="40"/>
        <v>0</v>
      </c>
      <c r="BI85" s="69">
        <f t="shared" ca="1" si="105"/>
        <v>0</v>
      </c>
      <c r="BJ85" s="69">
        <f t="shared" ca="1" si="105"/>
        <v>0</v>
      </c>
      <c r="BK85" s="69">
        <f t="shared" si="105"/>
        <v>0</v>
      </c>
      <c r="BL85" s="69">
        <f t="shared" ca="1" si="105"/>
        <v>0</v>
      </c>
      <c r="BM85" s="69">
        <f t="shared" ca="1" si="104"/>
        <v>0</v>
      </c>
      <c r="BN85" s="69">
        <f t="shared" ca="1" si="104"/>
        <v>0</v>
      </c>
      <c r="BO85" s="69">
        <f t="shared" si="104"/>
        <v>0</v>
      </c>
      <c r="BP85" s="69">
        <f t="shared" ca="1" si="82"/>
        <v>0</v>
      </c>
      <c r="BQ85" s="69">
        <f t="shared" ca="1" si="41"/>
        <v>0</v>
      </c>
      <c r="BR85" s="69">
        <f t="shared" ca="1" si="83"/>
        <v>0</v>
      </c>
      <c r="BS85" s="69">
        <f ca="1">$AO85*IF(Auswahllisten!$G$150,BS$25+BS$25*BS$13*$AN85,BS$25*(1+BS$13)^$AN85)</f>
        <v>0</v>
      </c>
      <c r="BT85" s="69">
        <f ca="1">$AO85*IF(Auswahllisten!$G$150,BT$25+BT$25*BT$13*$AN85,BT$25*(1+BT$13)^$AN85)</f>
        <v>0</v>
      </c>
      <c r="BU85" s="69">
        <f ca="1">$AO85*IF(Auswahllisten!$G$150,BU$25+BU$25*BU$13*$AN85,BU$25*(1+BU$13)^$AN85)</f>
        <v>0</v>
      </c>
      <c r="BV85" s="69">
        <f ca="1">$AO85*IF(Auswahllisten!$G$150,BV$25+BV$25*BV$13*$AN85,BV$25*(1+BV$13)^$AN85)</f>
        <v>0</v>
      </c>
      <c r="BW85" s="69">
        <f t="shared" ca="1" si="42"/>
        <v>0</v>
      </c>
      <c r="BX85" s="69">
        <f t="shared" ca="1" si="43"/>
        <v>0</v>
      </c>
      <c r="BY85" s="69">
        <f t="shared" ca="1" si="29"/>
        <v>0</v>
      </c>
      <c r="BZ85" s="69">
        <f t="shared" ca="1" si="30"/>
        <v>0</v>
      </c>
    </row>
    <row r="86" spans="1:78">
      <c r="A86" s="305" t="s">
        <v>1215</v>
      </c>
      <c r="B86" s="126" t="s">
        <v>303</v>
      </c>
      <c r="C86" s="126" t="s">
        <v>966</v>
      </c>
      <c r="D86" s="26" t="str" cm="1">
        <f t="array" aca="1" ref="D86" ca="1">INDIRECT("Vergleich!"&amp;$G$2&amp;Z86)</f>
        <v>mittel</v>
      </c>
      <c r="E86" s="26" cm="1">
        <f t="array" aca="1" ref="E86" ca="1">INDIRECT("Investition_gewählt!"&amp;$I$5&amp;AA86)</f>
        <v>16500</v>
      </c>
      <c r="F86" s="25" cm="1">
        <f t="array" aca="1" ref="F86" ca="1">IF($C$5=0,0,INDEX(Faktoren!E72:GQ72,1,VLOOKUP($F$5,$L$2:$O$14,4,FALSE)+$C$9*5+VLOOKUP(D86,Auswahllisten!$E$25:$F$29,2,FALSE)))</f>
        <v>0</v>
      </c>
      <c r="G86" s="26">
        <f t="shared" ca="1" si="111"/>
        <v>0</v>
      </c>
      <c r="H86" s="26" cm="1">
        <f t="array" aca="1" ref="H86" ca="1">INDIRECT("Investition_gewählt!"&amp;$I$6&amp;AA86)</f>
        <v>16500</v>
      </c>
      <c r="I86" s="25" cm="1">
        <f t="array" aca="1" ref="I86" ca="1">IF($C$5=0,0,INDEX(Faktoren!E72:GQ72,1,VLOOKUP($F$6,$L$2:$O$14,4,FALSE)+$C$9*5+VLOOKUP(D86,Auswahllisten!$E$25:$F$29,2,FALSE)))</f>
        <v>0</v>
      </c>
      <c r="J86" s="26">
        <f t="shared" ca="1" si="112"/>
        <v>0</v>
      </c>
      <c r="K86" s="26">
        <f t="shared" ca="1" si="106"/>
        <v>0</v>
      </c>
      <c r="L86" s="16" t="b">
        <f t="shared" ca="1" si="113"/>
        <v>0</v>
      </c>
      <c r="M86" s="26">
        <f t="shared" ca="1" si="107"/>
        <v>0</v>
      </c>
      <c r="O86" s="16" t="str" cm="1">
        <f t="array" aca="1" ref="O86" ca="1">INDIRECT("Vergleich!"&amp;$Y$2&amp;Z86)</f>
        <v>gering</v>
      </c>
      <c r="P86" s="26" cm="1">
        <f t="array" aca="1" ref="P86" ca="1">INDIRECT("Investition_gewählt!"&amp;$AA$5&amp;AA86)</f>
        <v>16500</v>
      </c>
      <c r="Q86" s="16" cm="1">
        <f t="array" aca="1" ref="Q86" ca="1">IF($U$5=0,0,INDEX(Faktoren!E72:GQ72,1,VLOOKUP($X$5,$L$2:$O$14,4,FALSE)+$U$9*5+VLOOKUP(O86,Auswahllisten!$E$25:$F$29,2,FALSE)))</f>
        <v>0</v>
      </c>
      <c r="R86" s="26">
        <f t="shared" ca="1" si="108"/>
        <v>0</v>
      </c>
      <c r="S86" s="26" cm="1">
        <f t="array" aca="1" ref="S86" ca="1">INDIRECT("Investition_gewählt!"&amp;$AA$6&amp;AA86)</f>
        <v>16500</v>
      </c>
      <c r="T86" s="16" cm="1">
        <f t="array" aca="1" ref="T86" ca="1">IF($U$5=0,0,INDEX(Faktoren!E72:QG72,1,VLOOKUP($X$6,$L$3:$O$14,4,FALSE)+$U$9*5+VLOOKUP(O86,Auswahllisten!$E$25:$F$29,2,FALSE)))</f>
        <v>0</v>
      </c>
      <c r="U86" s="26">
        <f t="shared" ca="1" si="109"/>
        <v>0</v>
      </c>
      <c r="V86" s="26">
        <f t="shared" ca="1" si="115"/>
        <v>0</v>
      </c>
      <c r="W86" s="16" t="b">
        <f t="shared" ca="1" si="114"/>
        <v>0</v>
      </c>
      <c r="X86" s="26">
        <f t="shared" ca="1" si="110"/>
        <v>0</v>
      </c>
      <c r="Z86" s="1">
        <v>47</v>
      </c>
      <c r="AA86" s="1">
        <v>72</v>
      </c>
      <c r="AB86" s="1">
        <v>-2</v>
      </c>
      <c r="AN86" s="1">
        <v>61</v>
      </c>
      <c r="AO86" s="1">
        <f t="shared" si="24"/>
        <v>0</v>
      </c>
      <c r="AP86" s="69">
        <f t="shared" ca="1" si="103"/>
        <v>0</v>
      </c>
      <c r="AQ86" s="69">
        <f t="shared" ca="1" si="103"/>
        <v>0</v>
      </c>
      <c r="AR86" s="69">
        <f t="shared" si="103"/>
        <v>0</v>
      </c>
      <c r="AS86" s="69">
        <f t="shared" ca="1" si="103"/>
        <v>0</v>
      </c>
      <c r="AT86" s="69">
        <f t="shared" ca="1" si="103"/>
        <v>0</v>
      </c>
      <c r="AU86" s="69">
        <f t="shared" ca="1" si="103"/>
        <v>0</v>
      </c>
      <c r="AV86" s="69">
        <f t="shared" si="103"/>
        <v>0</v>
      </c>
      <c r="AW86" s="69">
        <f t="shared" ca="1" si="72"/>
        <v>0</v>
      </c>
      <c r="AX86" s="69">
        <f t="shared" ca="1" si="35"/>
        <v>0</v>
      </c>
      <c r="AY86" s="69">
        <f t="shared" ca="1" si="36"/>
        <v>0</v>
      </c>
      <c r="AZ86" s="69">
        <f ca="1">$AO86*IF(Auswahllisten!$G$150,AZ$25+AZ$25*AZ$13*$AN86,AZ$25*(1+AZ$13)^$AN86)</f>
        <v>0</v>
      </c>
      <c r="BA86" s="69">
        <f ca="1">$AO86*IF(Auswahllisten!$G$150,BA$25+BA$25*BA$13*$AN86,BA$25*(1+BA$13)^$AN86)</f>
        <v>0</v>
      </c>
      <c r="BB86" s="69">
        <f ca="1">$AO86*IF(Auswahllisten!$G$150,BB$25+BB$25*BB$13*$AN86,BB$25*(1+BB$13)^$AN86)</f>
        <v>0</v>
      </c>
      <c r="BC86" s="69">
        <f ca="1">$AO86*IF(Auswahllisten!$G$150,BC$25+BC$25*BC$13*$AN86,BC$25*(1+BC$13)^$AN86)</f>
        <v>0</v>
      </c>
      <c r="BD86" s="69">
        <f t="shared" ca="1" si="37"/>
        <v>0</v>
      </c>
      <c r="BE86" s="69">
        <f t="shared" ca="1" si="38"/>
        <v>0</v>
      </c>
      <c r="BF86" s="69">
        <f t="shared" ca="1" si="39"/>
        <v>0</v>
      </c>
      <c r="BG86" s="69">
        <f t="shared" ca="1" si="40"/>
        <v>0</v>
      </c>
      <c r="BI86" s="69">
        <f t="shared" ca="1" si="105"/>
        <v>0</v>
      </c>
      <c r="BJ86" s="69">
        <f t="shared" ca="1" si="105"/>
        <v>0</v>
      </c>
      <c r="BK86" s="69">
        <f t="shared" si="105"/>
        <v>0</v>
      </c>
      <c r="BL86" s="69">
        <f t="shared" ca="1" si="105"/>
        <v>0</v>
      </c>
      <c r="BM86" s="69">
        <f t="shared" ca="1" si="104"/>
        <v>0</v>
      </c>
      <c r="BN86" s="69">
        <f t="shared" ca="1" si="104"/>
        <v>0</v>
      </c>
      <c r="BO86" s="69">
        <f t="shared" si="104"/>
        <v>0</v>
      </c>
      <c r="BP86" s="69">
        <f t="shared" ca="1" si="82"/>
        <v>0</v>
      </c>
      <c r="BQ86" s="69">
        <f t="shared" ca="1" si="41"/>
        <v>0</v>
      </c>
      <c r="BR86" s="69">
        <f t="shared" ca="1" si="83"/>
        <v>0</v>
      </c>
      <c r="BS86" s="69">
        <f ca="1">$AO86*IF(Auswahllisten!$G$150,BS$25+BS$25*BS$13*$AN86,BS$25*(1+BS$13)^$AN86)</f>
        <v>0</v>
      </c>
      <c r="BT86" s="69">
        <f ca="1">$AO86*IF(Auswahllisten!$G$150,BT$25+BT$25*BT$13*$AN86,BT$25*(1+BT$13)^$AN86)</f>
        <v>0</v>
      </c>
      <c r="BU86" s="69">
        <f ca="1">$AO86*IF(Auswahllisten!$G$150,BU$25+BU$25*BU$13*$AN86,BU$25*(1+BU$13)^$AN86)</f>
        <v>0</v>
      </c>
      <c r="BV86" s="69">
        <f ca="1">$AO86*IF(Auswahllisten!$G$150,BV$25+BV$25*BV$13*$AN86,BV$25*(1+BV$13)^$AN86)</f>
        <v>0</v>
      </c>
      <c r="BW86" s="69">
        <f t="shared" ca="1" si="42"/>
        <v>0</v>
      </c>
      <c r="BX86" s="69">
        <f t="shared" ca="1" si="43"/>
        <v>0</v>
      </c>
      <c r="BY86" s="69">
        <f t="shared" ca="1" si="29"/>
        <v>0</v>
      </c>
      <c r="BZ86" s="69">
        <f t="shared" ca="1" si="30"/>
        <v>0</v>
      </c>
    </row>
    <row r="87" spans="1:78">
      <c r="A87" s="305" t="s">
        <v>1244</v>
      </c>
      <c r="B87" s="126" t="s">
        <v>1245</v>
      </c>
      <c r="C87" s="126" t="s">
        <v>206</v>
      </c>
      <c r="D87" s="26" t="str" cm="1">
        <f t="array" aca="1" ref="D87" ca="1">INDIRECT("Vergleich!"&amp;$G$2&amp;Z87)</f>
        <v>mittel</v>
      </c>
      <c r="E87" s="26" cm="1">
        <f t="array" aca="1" ref="E87" ca="1">INDIRECT("Investition_gewählt!"&amp;$I$5&amp;AA87)</f>
        <v>0</v>
      </c>
      <c r="F87" s="25" cm="1">
        <f t="array" aca="1" ref="F87" ca="1">IF($C$5=0,0,INDEX(Faktoren!E73:GQ73,1,VLOOKUP($F$5,$L$2:$O$14,4,FALSE)+$C$9*5+VLOOKUP(D87,Auswahllisten!$E$25:$F$29,2,FALSE)))</f>
        <v>0</v>
      </c>
      <c r="G87" s="26">
        <f t="shared" ca="1" si="111"/>
        <v>0</v>
      </c>
      <c r="H87" s="26" cm="1">
        <f t="array" aca="1" ref="H87" ca="1">INDIRECT("Investition_gewählt!"&amp;$I$6&amp;AA87)</f>
        <v>0</v>
      </c>
      <c r="I87" s="25" cm="1">
        <f t="array" aca="1" ref="I87" ca="1">IF($C$5=0,0,INDEX(Faktoren!E73:GQ73,1,VLOOKUP($F$6,$L$2:$O$14,4,FALSE)+$C$9*5+VLOOKUP(D87,Auswahllisten!$E$25:$F$29,2,FALSE)))</f>
        <v>0</v>
      </c>
      <c r="J87" s="26">
        <f t="shared" ca="1" si="112"/>
        <v>0</v>
      </c>
      <c r="K87" s="26">
        <f t="shared" ca="1" si="106"/>
        <v>0</v>
      </c>
      <c r="L87" s="16" t="b">
        <f t="shared" ca="1" si="113"/>
        <v>0</v>
      </c>
      <c r="M87" s="26">
        <f t="shared" ca="1" si="107"/>
        <v>0</v>
      </c>
      <c r="O87" s="16" t="str" cm="1">
        <f t="array" aca="1" ref="O87" ca="1">INDIRECT("Vergleich!"&amp;$Y$2&amp;Z87)</f>
        <v>gering</v>
      </c>
      <c r="P87" s="26" cm="1">
        <f t="array" aca="1" ref="P87" ca="1">INDIRECT("Investition_gewählt!"&amp;$AA$5&amp;AA87)</f>
        <v>0</v>
      </c>
      <c r="Q87" s="16" cm="1">
        <f t="array" aca="1" ref="Q87" ca="1">IF($U$5=0,0,INDEX(Faktoren!E73:GQ73,1,VLOOKUP($X$5,$L$2:$O$14,4,FALSE)+$U$9*5+VLOOKUP(O87,Auswahllisten!$E$25:$F$29,2,FALSE)))</f>
        <v>0</v>
      </c>
      <c r="R87" s="26">
        <f t="shared" ca="1" si="108"/>
        <v>0</v>
      </c>
      <c r="S87" s="26" cm="1">
        <f t="array" aca="1" ref="S87" ca="1">INDIRECT("Investition_gewählt!"&amp;$AA$6&amp;AA87)</f>
        <v>0</v>
      </c>
      <c r="T87" s="16" cm="1">
        <f t="array" aca="1" ref="T87" ca="1">IF($U$5=0,0,INDEX(Faktoren!E73:QG73,1,VLOOKUP($X$6,$L$3:$O$14,4,FALSE)+$U$9*5+VLOOKUP(O87,Auswahllisten!$E$25:$F$29,2,FALSE)))</f>
        <v>0</v>
      </c>
      <c r="U87" s="26">
        <f t="shared" ca="1" si="109"/>
        <v>0</v>
      </c>
      <c r="V87" s="26">
        <f t="shared" ca="1" si="115"/>
        <v>0</v>
      </c>
      <c r="W87" s="16" t="b">
        <f t="shared" ca="1" si="114"/>
        <v>0</v>
      </c>
      <c r="X87" s="26">
        <f t="shared" ca="1" si="110"/>
        <v>0</v>
      </c>
      <c r="Z87" s="1">
        <v>51</v>
      </c>
      <c r="AA87" s="1">
        <v>73</v>
      </c>
      <c r="AB87" s="1">
        <v>-2</v>
      </c>
      <c r="AC87" s="82"/>
      <c r="AD87" s="64"/>
      <c r="AE87" s="64"/>
      <c r="AN87" s="1">
        <v>62</v>
      </c>
      <c r="AO87" s="1">
        <f t="shared" si="24"/>
        <v>0</v>
      </c>
      <c r="AP87" s="69">
        <f t="shared" ca="1" si="103"/>
        <v>0</v>
      </c>
      <c r="AQ87" s="69">
        <f t="shared" ca="1" si="103"/>
        <v>0</v>
      </c>
      <c r="AR87" s="69">
        <f t="shared" si="103"/>
        <v>0</v>
      </c>
      <c r="AS87" s="69">
        <f t="shared" ca="1" si="103"/>
        <v>0</v>
      </c>
      <c r="AT87" s="69">
        <f t="shared" ca="1" si="103"/>
        <v>0</v>
      </c>
      <c r="AU87" s="69">
        <f t="shared" ca="1" si="103"/>
        <v>0</v>
      </c>
      <c r="AV87" s="69">
        <f t="shared" si="103"/>
        <v>0</v>
      </c>
      <c r="AW87" s="69">
        <f t="shared" ca="1" si="72"/>
        <v>0</v>
      </c>
      <c r="AX87" s="69">
        <f t="shared" ca="1" si="35"/>
        <v>0</v>
      </c>
      <c r="AY87" s="69">
        <f t="shared" ca="1" si="36"/>
        <v>0</v>
      </c>
      <c r="AZ87" s="69">
        <f ca="1">$AO87*IF(Auswahllisten!$G$150,AZ$25+AZ$25*AZ$13*$AN87,AZ$25*(1+AZ$13)^$AN87)</f>
        <v>0</v>
      </c>
      <c r="BA87" s="69">
        <f ca="1">$AO87*IF(Auswahllisten!$G$150,BA$25+BA$25*BA$13*$AN87,BA$25*(1+BA$13)^$AN87)</f>
        <v>0</v>
      </c>
      <c r="BB87" s="69">
        <f ca="1">$AO87*IF(Auswahllisten!$G$150,BB$25+BB$25*BB$13*$AN87,BB$25*(1+BB$13)^$AN87)</f>
        <v>0</v>
      </c>
      <c r="BC87" s="69">
        <f ca="1">$AO87*IF(Auswahllisten!$G$150,BC$25+BC$25*BC$13*$AN87,BC$25*(1+BC$13)^$AN87)</f>
        <v>0</v>
      </c>
      <c r="BD87" s="69">
        <f t="shared" ca="1" si="37"/>
        <v>0</v>
      </c>
      <c r="BE87" s="69">
        <f t="shared" ca="1" si="38"/>
        <v>0</v>
      </c>
      <c r="BF87" s="69">
        <f t="shared" ca="1" si="39"/>
        <v>0</v>
      </c>
      <c r="BG87" s="69">
        <f t="shared" ca="1" si="40"/>
        <v>0</v>
      </c>
      <c r="BI87" s="69">
        <f t="shared" ca="1" si="105"/>
        <v>0</v>
      </c>
      <c r="BJ87" s="69">
        <f t="shared" ca="1" si="105"/>
        <v>0</v>
      </c>
      <c r="BK87" s="69">
        <f t="shared" si="105"/>
        <v>0</v>
      </c>
      <c r="BL87" s="69">
        <f t="shared" ca="1" si="105"/>
        <v>0</v>
      </c>
      <c r="BM87" s="69">
        <f t="shared" ca="1" si="105"/>
        <v>0</v>
      </c>
      <c r="BN87" s="69">
        <f t="shared" ca="1" si="105"/>
        <v>0</v>
      </c>
      <c r="BO87" s="69">
        <f t="shared" si="105"/>
        <v>0</v>
      </c>
      <c r="BP87" s="69">
        <f t="shared" ca="1" si="82"/>
        <v>0</v>
      </c>
      <c r="BQ87" s="69">
        <f t="shared" ca="1" si="41"/>
        <v>0</v>
      </c>
      <c r="BR87" s="69">
        <f t="shared" ca="1" si="83"/>
        <v>0</v>
      </c>
      <c r="BS87" s="69">
        <f ca="1">$AO87*IF(Auswahllisten!$G$150,BS$25+BS$25*BS$13*$AN87,BS$25*(1+BS$13)^$AN87)</f>
        <v>0</v>
      </c>
      <c r="BT87" s="69">
        <f ca="1">$AO87*IF(Auswahllisten!$G$150,BT$25+BT$25*BT$13*$AN87,BT$25*(1+BT$13)^$AN87)</f>
        <v>0</v>
      </c>
      <c r="BU87" s="69">
        <f ca="1">$AO87*IF(Auswahllisten!$G$150,BU$25+BU$25*BU$13*$AN87,BU$25*(1+BU$13)^$AN87)</f>
        <v>0</v>
      </c>
      <c r="BV87" s="69">
        <f ca="1">$AO87*IF(Auswahllisten!$G$150,BV$25+BV$25*BV$13*$AN87,BV$25*(1+BV$13)^$AN87)</f>
        <v>0</v>
      </c>
      <c r="BW87" s="69">
        <f t="shared" ca="1" si="42"/>
        <v>0</v>
      </c>
      <c r="BX87" s="69">
        <f t="shared" ca="1" si="43"/>
        <v>0</v>
      </c>
      <c r="BY87" s="69">
        <f t="shared" ca="1" si="29"/>
        <v>0</v>
      </c>
      <c r="BZ87" s="69">
        <f t="shared" ca="1" si="30"/>
        <v>0</v>
      </c>
    </row>
    <row r="88" spans="1:78">
      <c r="A88" s="305" t="s">
        <v>1244</v>
      </c>
      <c r="B88" s="126" t="s">
        <v>1245</v>
      </c>
      <c r="C88" s="126" t="s">
        <v>967</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IF($C$5=0,0,INDEX(Faktoren!E74:GQ74,1,VLOOKUP($F$5,$L$2:$O$14,4,FALSE)+$C$9*5+VLOOKUP(D88,Auswahllisten!$E$25:$F$29,2,FALSE)))</f>
        <v>0</v>
      </c>
      <c r="G88" s="26">
        <f t="shared" ca="1" si="111"/>
        <v>0</v>
      </c>
      <c r="H88" s="26" cm="1">
        <f t="array" aca="1" ref="H88" ca="1">INDIRECT("Investition_gewählt!"&amp;$I$6&amp;AA88)</f>
        <v>0</v>
      </c>
      <c r="I88" s="25" cm="1">
        <f t="array" aca="1" ref="I88" ca="1">IF($C$5=0,0,INDEX(Faktoren!E74:GQ74,1,VLOOKUP($F$6,$L$2:$O$14,4,FALSE)+$C$9*5+VLOOKUP(D88,Auswahllisten!$E$25:$F$29,2,FALSE)))</f>
        <v>0</v>
      </c>
      <c r="J88" s="26">
        <f t="shared" ca="1" si="112"/>
        <v>0</v>
      </c>
      <c r="K88" s="26">
        <f t="shared" ca="1" si="106"/>
        <v>0</v>
      </c>
      <c r="L88" s="16" t="b">
        <f t="shared" ca="1" si="113"/>
        <v>0</v>
      </c>
      <c r="M88" s="26">
        <f t="shared" ca="1" si="107"/>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IF($U$5=0,0,INDEX(Faktoren!E74:GQ74,1,VLOOKUP($X$5,$L$2:$O$14,4,FALSE)+$U$9*5+VLOOKUP(O88,Auswahllisten!$E$25:$F$29,2,FALSE)))</f>
        <v>0</v>
      </c>
      <c r="R88" s="26">
        <f t="shared" ca="1" si="108"/>
        <v>0</v>
      </c>
      <c r="S88" s="26" cm="1">
        <f t="array" aca="1" ref="S88" ca="1">INDIRECT("Investition_gewählt!"&amp;$AA$6&amp;AA88)</f>
        <v>0</v>
      </c>
      <c r="T88" s="16" cm="1">
        <f t="array" aca="1" ref="T88" ca="1">IF($U$5=0,0,INDEX(Faktoren!E74:QG74,1,VLOOKUP($X$6,$L$3:$O$14,4,FALSE)+$U$9*5+VLOOKUP(O88,Auswahllisten!$E$25:$F$29,2,FALSE)))</f>
        <v>0</v>
      </c>
      <c r="U88" s="26">
        <f t="shared" ca="1" si="109"/>
        <v>0</v>
      </c>
      <c r="V88" s="26">
        <f t="shared" ca="1" si="115"/>
        <v>0</v>
      </c>
      <c r="W88" s="16" t="b">
        <f t="shared" ca="1" si="114"/>
        <v>0</v>
      </c>
      <c r="X88" s="26">
        <f t="shared" ca="1" si="110"/>
        <v>0</v>
      </c>
      <c r="Z88" s="1">
        <v>49</v>
      </c>
      <c r="AA88" s="1">
        <v>74</v>
      </c>
      <c r="AB88" s="1">
        <v>-2</v>
      </c>
      <c r="AC88" s="82"/>
      <c r="AD88" s="64"/>
      <c r="AE88" s="64"/>
      <c r="AN88" s="1">
        <v>63</v>
      </c>
      <c r="AO88" s="1">
        <f t="shared" si="24"/>
        <v>0</v>
      </c>
      <c r="AP88" s="69">
        <f t="shared" ca="1" si="103"/>
        <v>0</v>
      </c>
      <c r="AQ88" s="69">
        <f t="shared" ca="1" si="103"/>
        <v>0</v>
      </c>
      <c r="AR88" s="69">
        <f t="shared" si="103"/>
        <v>0</v>
      </c>
      <c r="AS88" s="69">
        <f t="shared" ca="1" si="103"/>
        <v>0</v>
      </c>
      <c r="AT88" s="69">
        <f t="shared" ca="1" si="103"/>
        <v>0</v>
      </c>
      <c r="AU88" s="69">
        <f t="shared" ca="1" si="103"/>
        <v>0</v>
      </c>
      <c r="AV88" s="69">
        <f t="shared" si="103"/>
        <v>0</v>
      </c>
      <c r="AW88" s="69">
        <f t="shared" ca="1" si="72"/>
        <v>0</v>
      </c>
      <c r="AX88" s="69">
        <f t="shared" ca="1" si="35"/>
        <v>0</v>
      </c>
      <c r="AY88" s="69">
        <f t="shared" ca="1" si="36"/>
        <v>0</v>
      </c>
      <c r="AZ88" s="69">
        <f ca="1">$AO88*IF(Auswahllisten!$G$150,AZ$25+AZ$25*AZ$13*$AN88,AZ$25*(1+AZ$13)^$AN88)</f>
        <v>0</v>
      </c>
      <c r="BA88" s="69">
        <f ca="1">$AO88*IF(Auswahllisten!$G$150,BA$25+BA$25*BA$13*$AN88,BA$25*(1+BA$13)^$AN88)</f>
        <v>0</v>
      </c>
      <c r="BB88" s="69">
        <f ca="1">$AO88*IF(Auswahllisten!$G$150,BB$25+BB$25*BB$13*$AN88,BB$25*(1+BB$13)^$AN88)</f>
        <v>0</v>
      </c>
      <c r="BC88" s="69">
        <f ca="1">$AO88*IF(Auswahllisten!$G$150,BC$25+BC$25*BC$13*$AN88,BC$25*(1+BC$13)^$AN88)</f>
        <v>0</v>
      </c>
      <c r="BD88" s="69">
        <f t="shared" ca="1" si="37"/>
        <v>0</v>
      </c>
      <c r="BE88" s="69">
        <f t="shared" ca="1" si="38"/>
        <v>0</v>
      </c>
      <c r="BF88" s="69">
        <f t="shared" ca="1" si="39"/>
        <v>0</v>
      </c>
      <c r="BG88" s="69">
        <f t="shared" ca="1" si="40"/>
        <v>0</v>
      </c>
      <c r="BI88" s="69">
        <f t="shared" ca="1" si="105"/>
        <v>0</v>
      </c>
      <c r="BJ88" s="69">
        <f t="shared" ca="1" si="105"/>
        <v>0</v>
      </c>
      <c r="BK88" s="69">
        <f t="shared" si="105"/>
        <v>0</v>
      </c>
      <c r="BL88" s="69">
        <f t="shared" ca="1" si="105"/>
        <v>0</v>
      </c>
      <c r="BM88" s="69">
        <f t="shared" ca="1" si="105"/>
        <v>0</v>
      </c>
      <c r="BN88" s="69">
        <f t="shared" ca="1" si="105"/>
        <v>0</v>
      </c>
      <c r="BO88" s="69">
        <f t="shared" si="105"/>
        <v>0</v>
      </c>
      <c r="BP88" s="69">
        <f t="shared" ca="1" si="82"/>
        <v>0</v>
      </c>
      <c r="BQ88" s="69">
        <f t="shared" ca="1" si="41"/>
        <v>0</v>
      </c>
      <c r="BR88" s="69">
        <f t="shared" ca="1" si="83"/>
        <v>0</v>
      </c>
      <c r="BS88" s="69">
        <f ca="1">$AO88*IF(Auswahllisten!$G$150,BS$25+BS$25*BS$13*$AN88,BS$25*(1+BS$13)^$AN88)</f>
        <v>0</v>
      </c>
      <c r="BT88" s="69">
        <f ca="1">$AO88*IF(Auswahllisten!$G$150,BT$25+BT$25*BT$13*$AN88,BT$25*(1+BT$13)^$AN88)</f>
        <v>0</v>
      </c>
      <c r="BU88" s="69">
        <f ca="1">$AO88*IF(Auswahllisten!$G$150,BU$25+BU$25*BU$13*$AN88,BU$25*(1+BU$13)^$AN88)</f>
        <v>0</v>
      </c>
      <c r="BV88" s="69">
        <f ca="1">$AO88*IF(Auswahllisten!$G$150,BV$25+BV$25*BV$13*$AN88,BV$25*(1+BV$13)^$AN88)</f>
        <v>0</v>
      </c>
      <c r="BW88" s="69">
        <f t="shared" ca="1" si="42"/>
        <v>0</v>
      </c>
      <c r="BX88" s="69">
        <f t="shared" ca="1" si="43"/>
        <v>0</v>
      </c>
      <c r="BY88" s="69">
        <f t="shared" ca="1" si="29"/>
        <v>0</v>
      </c>
      <c r="BZ88" s="69">
        <f t="shared" ca="1" si="30"/>
        <v>0</v>
      </c>
    </row>
    <row r="89" spans="1:78">
      <c r="A89" s="307" t="s">
        <v>1244</v>
      </c>
      <c r="B89" s="297" t="s">
        <v>1245</v>
      </c>
      <c r="C89" s="134" t="s">
        <v>359</v>
      </c>
      <c r="D89" s="163" t="str" cm="1">
        <f t="array" aca="1" ref="D89" ca="1">INDIRECT("Vergleich!"&amp;$G$2&amp;Z89)</f>
        <v>mittel</v>
      </c>
      <c r="E89" s="163" cm="1">
        <f t="array" aca="1" ref="E89" ca="1">INDIRECT("Investition_gewählt!"&amp;$I$5&amp;AA89)</f>
        <v>4500</v>
      </c>
      <c r="F89" s="61" cm="1">
        <f t="array" aca="1" ref="F89" ca="1">IF($C$5=0,0,INDEX(Faktoren!E75:GQ75,1,VLOOKUP($F$5,$L$2:$O$14,4,FALSE)+$C$9*5+VLOOKUP(D89,Auswahllisten!$E$25:$F$29,2,FALSE)))</f>
        <v>0</v>
      </c>
      <c r="G89" s="296">
        <f t="shared" ca="1" si="111"/>
        <v>0</v>
      </c>
      <c r="H89" s="296" cm="1">
        <f t="array" aca="1" ref="H89" ca="1">INDIRECT("Investition_gewählt!"&amp;$I$6&amp;AA89)</f>
        <v>4500</v>
      </c>
      <c r="I89" s="61" cm="1">
        <f t="array" aca="1" ref="I89" ca="1">IF($C$5=0,0,INDEX(Faktoren!E75:GQ75,1,VLOOKUP($F$6,$L$2:$O$14,4,FALSE)+$C$9*5+VLOOKUP(D89,Auswahllisten!$E$25:$F$29,2,FALSE)))</f>
        <v>0</v>
      </c>
      <c r="J89" s="163">
        <f t="shared" ca="1" si="112"/>
        <v>0</v>
      </c>
      <c r="K89" s="163">
        <f t="shared" ca="1" si="106"/>
        <v>0</v>
      </c>
      <c r="L89" s="93" t="b">
        <f t="shared" ca="1" si="113"/>
        <v>0</v>
      </c>
      <c r="M89" s="163">
        <f t="shared" ca="1" si="107"/>
        <v>0</v>
      </c>
      <c r="O89" s="93" t="str" cm="1">
        <f t="array" aca="1" ref="O89" ca="1">INDIRECT("Vergleich!"&amp;$Y$2&amp;Z89)</f>
        <v>gering</v>
      </c>
      <c r="P89" s="163" cm="1">
        <f t="array" aca="1" ref="P89" ca="1">INDIRECT("Investition_gewählt!"&amp;$AA$5&amp;AA89)</f>
        <v>4500</v>
      </c>
      <c r="Q89" s="93" cm="1">
        <f t="array" aca="1" ref="Q89" ca="1">IF($U$5=0,0,INDEX(Faktoren!E75:GQ75,1,VLOOKUP($X$5,$L$2:$O$14,4,FALSE)+$U$9*5+VLOOKUP(O89,Auswahllisten!$E$25:$F$29,2,FALSE)))</f>
        <v>0</v>
      </c>
      <c r="R89" s="163">
        <f t="shared" ca="1" si="108"/>
        <v>0</v>
      </c>
      <c r="S89" s="163" cm="1">
        <f t="array" aca="1" ref="S89" ca="1">INDIRECT("Investition_gewählt!"&amp;$AA$6&amp;AA89)</f>
        <v>4500</v>
      </c>
      <c r="T89" s="93" cm="1">
        <f t="array" aca="1" ref="T89" ca="1">IF($U$5=0,0,INDEX(Faktoren!E75:QG75,1,VLOOKUP($X$6,$L$3:$O$14,4,FALSE)+$U$9*5+VLOOKUP(O89,Auswahllisten!$E$25:$F$29,2,FALSE)))</f>
        <v>0</v>
      </c>
      <c r="U89" s="163">
        <f t="shared" ca="1" si="109"/>
        <v>0</v>
      </c>
      <c r="V89" s="163">
        <f t="shared" ca="1" si="115"/>
        <v>0</v>
      </c>
      <c r="W89" s="93" t="b">
        <f t="shared" ca="1" si="114"/>
        <v>0</v>
      </c>
      <c r="X89" s="163">
        <f t="shared" ca="1" si="110"/>
        <v>0</v>
      </c>
      <c r="Z89" s="1">
        <v>50</v>
      </c>
      <c r="AA89" s="1">
        <v>75</v>
      </c>
      <c r="AB89" s="1">
        <v>-2</v>
      </c>
      <c r="AC89" s="82"/>
      <c r="AD89" s="64"/>
      <c r="AE89" s="64"/>
      <c r="AN89" s="1">
        <v>64</v>
      </c>
      <c r="AO89" s="1">
        <f t="shared" si="24"/>
        <v>0</v>
      </c>
      <c r="AP89" s="69">
        <f t="shared" ca="1" si="103"/>
        <v>0</v>
      </c>
      <c r="AQ89" s="69">
        <f t="shared" ca="1" si="103"/>
        <v>0</v>
      </c>
      <c r="AR89" s="69">
        <f t="shared" si="103"/>
        <v>0</v>
      </c>
      <c r="AS89" s="69">
        <f t="shared" ca="1" si="103"/>
        <v>0</v>
      </c>
      <c r="AT89" s="69">
        <f t="shared" ca="1" si="103"/>
        <v>0</v>
      </c>
      <c r="AU89" s="69">
        <f t="shared" ca="1" si="103"/>
        <v>0</v>
      </c>
      <c r="AV89" s="69">
        <f t="shared" si="103"/>
        <v>0</v>
      </c>
      <c r="AW89" s="69">
        <f t="shared" ca="1" si="72"/>
        <v>0</v>
      </c>
      <c r="AX89" s="69">
        <f t="shared" ca="1" si="35"/>
        <v>0</v>
      </c>
      <c r="AY89" s="69">
        <f t="shared" ca="1" si="36"/>
        <v>0</v>
      </c>
      <c r="AZ89" s="69">
        <f ca="1">$AO89*IF(Auswahllisten!$G$150,AZ$25+AZ$25*AZ$13*$AN89,AZ$25*(1+AZ$13)^$AN89)</f>
        <v>0</v>
      </c>
      <c r="BA89" s="69">
        <f ca="1">$AO89*IF(Auswahllisten!$G$150,BA$25+BA$25*BA$13*$AN89,BA$25*(1+BA$13)^$AN89)</f>
        <v>0</v>
      </c>
      <c r="BB89" s="69">
        <f ca="1">$AO89*IF(Auswahllisten!$G$150,BB$25+BB$25*BB$13*$AN89,BB$25*(1+BB$13)^$AN89)</f>
        <v>0</v>
      </c>
      <c r="BC89" s="69">
        <f ca="1">$AO89*IF(Auswahllisten!$G$150,BC$25+BC$25*BC$13*$AN89,BC$25*(1+BC$13)^$AN89)</f>
        <v>0</v>
      </c>
      <c r="BD89" s="69">
        <f t="shared" ca="1" si="37"/>
        <v>0</v>
      </c>
      <c r="BE89" s="69">
        <f t="shared" ca="1" si="38"/>
        <v>0</v>
      </c>
      <c r="BF89" s="69">
        <f t="shared" ca="1" si="39"/>
        <v>0</v>
      </c>
      <c r="BG89" s="69">
        <f t="shared" ca="1" si="40"/>
        <v>0</v>
      </c>
      <c r="BI89" s="69">
        <f t="shared" ca="1" si="105"/>
        <v>0</v>
      </c>
      <c r="BJ89" s="69">
        <f t="shared" ca="1" si="105"/>
        <v>0</v>
      </c>
      <c r="BK89" s="69">
        <f t="shared" si="105"/>
        <v>0</v>
      </c>
      <c r="BL89" s="69">
        <f t="shared" ca="1" si="105"/>
        <v>0</v>
      </c>
      <c r="BM89" s="69">
        <f t="shared" ca="1" si="105"/>
        <v>0</v>
      </c>
      <c r="BN89" s="69">
        <f t="shared" ca="1" si="105"/>
        <v>0</v>
      </c>
      <c r="BO89" s="69">
        <f t="shared" si="105"/>
        <v>0</v>
      </c>
      <c r="BP89" s="69">
        <f t="shared" ca="1" si="82"/>
        <v>0</v>
      </c>
      <c r="BQ89" s="69">
        <f t="shared" ca="1" si="41"/>
        <v>0</v>
      </c>
      <c r="BR89" s="69">
        <f t="shared" ca="1" si="83"/>
        <v>0</v>
      </c>
      <c r="BS89" s="69">
        <f ca="1">$AO89*IF(Auswahllisten!$G$150,BS$25+BS$25*BS$13*$AN89,BS$25*(1+BS$13)^$AN89)</f>
        <v>0</v>
      </c>
      <c r="BT89" s="69">
        <f ca="1">$AO89*IF(Auswahllisten!$G$150,BT$25+BT$25*BT$13*$AN89,BT$25*(1+BT$13)^$AN89)</f>
        <v>0</v>
      </c>
      <c r="BU89" s="69">
        <f ca="1">$AO89*IF(Auswahllisten!$G$150,BU$25+BU$25*BU$13*$AN89,BU$25*(1+BU$13)^$AN89)</f>
        <v>0</v>
      </c>
      <c r="BV89" s="69">
        <f ca="1">$AO89*IF(Auswahllisten!$G$150,BV$25+BV$25*BV$13*$AN89,BV$25*(1+BV$13)^$AN89)</f>
        <v>0</v>
      </c>
      <c r="BW89" s="69">
        <f t="shared" ca="1" si="42"/>
        <v>0</v>
      </c>
      <c r="BX89" s="69">
        <f t="shared" ca="1" si="43"/>
        <v>0</v>
      </c>
      <c r="BY89" s="69">
        <f t="shared" ca="1" si="29"/>
        <v>0</v>
      </c>
      <c r="BZ89" s="69">
        <f t="shared" ca="1" si="30"/>
        <v>0</v>
      </c>
    </row>
    <row r="90" spans="1:78">
      <c r="AA90" s="1">
        <v>76</v>
      </c>
      <c r="AB90" s="1">
        <v>-2</v>
      </c>
      <c r="AC90" s="82"/>
      <c r="AD90" s="64"/>
      <c r="AE90" s="64"/>
      <c r="AN90" s="1">
        <v>65</v>
      </c>
      <c r="AO90" s="1">
        <f t="shared" ref="AO90:AO96" si="116">IF($AS$3&lt;AN90,0,1)</f>
        <v>0</v>
      </c>
      <c r="AP90" s="69">
        <f t="shared" ca="1" si="103"/>
        <v>0</v>
      </c>
      <c r="AQ90" s="69">
        <f t="shared" ca="1" si="103"/>
        <v>0</v>
      </c>
      <c r="AR90" s="69">
        <f t="shared" si="103"/>
        <v>0</v>
      </c>
      <c r="AS90" s="69">
        <f t="shared" ca="1" si="103"/>
        <v>0</v>
      </c>
      <c r="AT90" s="69">
        <f t="shared" ca="1" si="103"/>
        <v>0</v>
      </c>
      <c r="AU90" s="69">
        <f t="shared" ca="1" si="103"/>
        <v>0</v>
      </c>
      <c r="AV90" s="69">
        <f t="shared" si="103"/>
        <v>0</v>
      </c>
      <c r="AW90" s="69">
        <f t="shared" ca="1" si="72"/>
        <v>0</v>
      </c>
      <c r="AX90" s="69">
        <f t="shared" ca="1" si="35"/>
        <v>0</v>
      </c>
      <c r="AY90" s="69">
        <f t="shared" ca="1" si="36"/>
        <v>0</v>
      </c>
      <c r="AZ90" s="69">
        <f ca="1">$AO90*IF(Auswahllisten!$G$150,AZ$25+AZ$25*AZ$13*$AN90,AZ$25*(1+AZ$13)^$AN90)</f>
        <v>0</v>
      </c>
      <c r="BA90" s="69">
        <f ca="1">$AO90*IF(Auswahllisten!$G$150,BA$25+BA$25*BA$13*$AN90,BA$25*(1+BA$13)^$AN90)</f>
        <v>0</v>
      </c>
      <c r="BB90" s="69">
        <f ca="1">$AO90*IF(Auswahllisten!$G$150,BB$25+BB$25*BB$13*$AN90,BB$25*(1+BB$13)^$AN90)</f>
        <v>0</v>
      </c>
      <c r="BC90" s="69">
        <f ca="1">$AO90*IF(Auswahllisten!$G$150,BC$25+BC$25*BC$13*$AN90,BC$25*(1+BC$13)^$AN90)</f>
        <v>0</v>
      </c>
      <c r="BD90" s="69">
        <f t="shared" ca="1" si="37"/>
        <v>0</v>
      </c>
      <c r="BE90" s="69">
        <f t="shared" ca="1" si="38"/>
        <v>0</v>
      </c>
      <c r="BF90" s="69">
        <f t="shared" ca="1" si="39"/>
        <v>0</v>
      </c>
      <c r="BG90" s="69">
        <f t="shared" ca="1" si="40"/>
        <v>0</v>
      </c>
      <c r="BI90" s="69">
        <f t="shared" ca="1" si="105"/>
        <v>0</v>
      </c>
      <c r="BJ90" s="69">
        <f t="shared" ca="1" si="105"/>
        <v>0</v>
      </c>
      <c r="BK90" s="69">
        <f t="shared" si="105"/>
        <v>0</v>
      </c>
      <c r="BL90" s="69">
        <f t="shared" ca="1" si="105"/>
        <v>0</v>
      </c>
      <c r="BM90" s="69">
        <f t="shared" ca="1" si="105"/>
        <v>0</v>
      </c>
      <c r="BN90" s="69">
        <f t="shared" ca="1" si="105"/>
        <v>0</v>
      </c>
      <c r="BO90" s="69">
        <f t="shared" si="105"/>
        <v>0</v>
      </c>
      <c r="BP90" s="69">
        <f t="shared" ca="1" si="82"/>
        <v>0</v>
      </c>
      <c r="BQ90" s="69">
        <f t="shared" ca="1" si="41"/>
        <v>0</v>
      </c>
      <c r="BR90" s="69">
        <f t="shared" ca="1" si="83"/>
        <v>0</v>
      </c>
      <c r="BS90" s="69">
        <f ca="1">$AO90*IF(Auswahllisten!$G$150,BS$25+BS$25*BS$13*$AN90,BS$25*(1+BS$13)^$AN90)</f>
        <v>0</v>
      </c>
      <c r="BT90" s="69">
        <f ca="1">$AO90*IF(Auswahllisten!$G$150,BT$25+BT$25*BT$13*$AN90,BT$25*(1+BT$13)^$AN90)</f>
        <v>0</v>
      </c>
      <c r="BU90" s="69">
        <f ca="1">$AO90*IF(Auswahllisten!$G$150,BU$25+BU$25*BU$13*$AN90,BU$25*(1+BU$13)^$AN90)</f>
        <v>0</v>
      </c>
      <c r="BV90" s="69">
        <f ca="1">$AO90*IF(Auswahllisten!$G$150,BV$25+BV$25*BV$13*$AN90,BV$25*(1+BV$13)^$AN90)</f>
        <v>0</v>
      </c>
      <c r="BW90" s="69">
        <f t="shared" ca="1" si="42"/>
        <v>0</v>
      </c>
      <c r="BX90" s="69">
        <f t="shared" ca="1" si="43"/>
        <v>0</v>
      </c>
      <c r="BY90" s="69">
        <f t="shared" ref="BY90:BY96" ca="1" si="117">BX90/(1+$AS$11)^AN90</f>
        <v>0</v>
      </c>
      <c r="BZ90" s="69">
        <f t="shared" ref="BZ90:BZ125" ca="1" si="118">BZ89+BP90+BR90+BW90+BY90+IF(AN90=$AS$3,$BY$22,0)</f>
        <v>0</v>
      </c>
    </row>
    <row r="91" spans="1:78">
      <c r="A91" s="125" t="s">
        <v>1003</v>
      </c>
      <c r="B91" s="125" t="s">
        <v>32</v>
      </c>
      <c r="C91" s="125"/>
      <c r="D91" s="69"/>
      <c r="E91" s="69"/>
      <c r="G91" s="69"/>
      <c r="H91" s="69"/>
      <c r="J91" s="69"/>
      <c r="K91" s="69"/>
      <c r="M91" s="69"/>
      <c r="P91" s="69"/>
      <c r="R91" s="69"/>
      <c r="S91" s="69"/>
      <c r="U91" s="69"/>
      <c r="V91" s="69"/>
      <c r="X91" s="69">
        <f>IFERROR(ROUND(V91*W91,AB91),0)</f>
        <v>0</v>
      </c>
      <c r="AA91" s="1">
        <v>77</v>
      </c>
      <c r="AB91" s="1">
        <v>-2</v>
      </c>
      <c r="AC91" s="82"/>
      <c r="AD91" s="64"/>
      <c r="AE91" s="64"/>
      <c r="AN91" s="1">
        <v>66</v>
      </c>
      <c r="AO91" s="1">
        <f t="shared" si="116"/>
        <v>0</v>
      </c>
      <c r="AP91" s="69">
        <f t="shared" ca="1" si="103"/>
        <v>0</v>
      </c>
      <c r="AQ91" s="69">
        <f t="shared" ca="1" si="103"/>
        <v>0</v>
      </c>
      <c r="AR91" s="69">
        <f t="shared" si="103"/>
        <v>0</v>
      </c>
      <c r="AS91" s="69">
        <f t="shared" ca="1" si="103"/>
        <v>0</v>
      </c>
      <c r="AT91" s="69">
        <f t="shared" ca="1" si="103"/>
        <v>0</v>
      </c>
      <c r="AU91" s="69">
        <f t="shared" ca="1" si="103"/>
        <v>0</v>
      </c>
      <c r="AV91" s="69">
        <f t="shared" si="103"/>
        <v>0</v>
      </c>
      <c r="AW91" s="69">
        <f t="shared" ref="AW91:AW96" ca="1" si="119">SUM(AP91:AV91)/(1+$AS$11)^AN91</f>
        <v>0</v>
      </c>
      <c r="AX91" s="69">
        <f t="shared" ref="AX91:AX96" ca="1" si="120">$AO91*AX$25*(1+$AS$9)^$AN91</f>
        <v>0</v>
      </c>
      <c r="AY91" s="69">
        <f t="shared" ref="AY91:AY96" ca="1" si="121">SUM(AX91)/(1+$AS$11)^AN91</f>
        <v>0</v>
      </c>
      <c r="AZ91" s="69">
        <f ca="1">$AO91*IF(Auswahllisten!$G$150,AZ$25+AZ$25*AZ$13*$AN91,AZ$25*(1+AZ$13)^$AN91)</f>
        <v>0</v>
      </c>
      <c r="BA91" s="69">
        <f ca="1">$AO91*IF(Auswahllisten!$G$150,BA$25+BA$25*BA$13*$AN91,BA$25*(1+BA$13)^$AN91)</f>
        <v>0</v>
      </c>
      <c r="BB91" s="69">
        <f ca="1">$AO91*IF(Auswahllisten!$G$150,BB$25+BB$25*BB$13*$AN91,BB$25*(1+BB$13)^$AN91)</f>
        <v>0</v>
      </c>
      <c r="BC91" s="69">
        <f ca="1">$AO91*IF(Auswahllisten!$G$150,BC$25+BC$25*BC$13*$AN91,BC$25*(1+BC$13)^$AN91)</f>
        <v>0</v>
      </c>
      <c r="BD91" s="69">
        <f t="shared" ref="BD91:BD125" ca="1" si="122">SUM(AZ91:BC91)/(1+$AS$11)^AN91</f>
        <v>0</v>
      </c>
      <c r="BE91" s="69">
        <f t="shared" ref="BE91:BE96" ca="1" si="123">AO91*$BE$25*(1+$AS$8)^AN91</f>
        <v>0</v>
      </c>
      <c r="BF91" s="69">
        <f t="shared" ref="BF91:BF96" ca="1" si="124">BE91/(1+$AS$11)^AN91</f>
        <v>0</v>
      </c>
      <c r="BG91" s="69">
        <f t="shared" ref="BG91:BG125" ca="1" si="125">BG90+AW91+AY91+BD91+BF91+IF(AN91=$AS$3,$BF$22,0)</f>
        <v>0</v>
      </c>
      <c r="BI91" s="69">
        <f t="shared" ca="1" si="105"/>
        <v>0</v>
      </c>
      <c r="BJ91" s="69">
        <f t="shared" ca="1" si="105"/>
        <v>0</v>
      </c>
      <c r="BK91" s="69">
        <f t="shared" si="105"/>
        <v>0</v>
      </c>
      <c r="BL91" s="69">
        <f t="shared" ca="1" si="105"/>
        <v>0</v>
      </c>
      <c r="BM91" s="69">
        <f t="shared" ca="1" si="105"/>
        <v>0</v>
      </c>
      <c r="BN91" s="69">
        <f t="shared" ca="1" si="105"/>
        <v>0</v>
      </c>
      <c r="BO91" s="69">
        <f t="shared" si="105"/>
        <v>0</v>
      </c>
      <c r="BP91" s="69">
        <f t="shared" ca="1" si="82"/>
        <v>0</v>
      </c>
      <c r="BQ91" s="69">
        <f t="shared" ref="BQ91:BQ96" ca="1" si="126">$AO91*BQ$25*(1+$AS$9)^$AN91</f>
        <v>0</v>
      </c>
      <c r="BR91" s="69">
        <f t="shared" ca="1" si="83"/>
        <v>0</v>
      </c>
      <c r="BS91" s="69">
        <f ca="1">$AO91*IF(Auswahllisten!$G$150,BS$25+BS$25*BS$13*$AN91,BS$25*(1+BS$13)^$AN91)</f>
        <v>0</v>
      </c>
      <c r="BT91" s="69">
        <f ca="1">$AO91*IF(Auswahllisten!$G$150,BT$25+BT$25*BT$13*$AN91,BT$25*(1+BT$13)^$AN91)</f>
        <v>0</v>
      </c>
      <c r="BU91" s="69">
        <f ca="1">$AO91*IF(Auswahllisten!$G$150,BU$25+BU$25*BU$13*$AN91,BU$25*(1+BU$13)^$AN91)</f>
        <v>0</v>
      </c>
      <c r="BV91" s="69">
        <f ca="1">$AO91*IF(Auswahllisten!$G$150,BV$25+BV$25*BV$13*$AN91,BV$25*(1+BV$13)^$AN91)</f>
        <v>0</v>
      </c>
      <c r="BW91" s="69">
        <f t="shared" ref="BW91:BW125" ca="1" si="127">SUM(BS91:BV91)/(1+$AS$11)^AN91</f>
        <v>0</v>
      </c>
      <c r="BX91" s="69">
        <f t="shared" ref="BX91:BX96" ca="1" si="128">AO91*$BX$25*(1+$AS$8)^AN91</f>
        <v>0</v>
      </c>
      <c r="BY91" s="69">
        <f t="shared" ca="1" si="117"/>
        <v>0</v>
      </c>
      <c r="BZ91" s="69">
        <f t="shared" ca="1" si="118"/>
        <v>0</v>
      </c>
    </row>
    <row r="92" spans="1:78">
      <c r="A92" s="304" t="s">
        <v>1217</v>
      </c>
      <c r="B92" s="131" t="s">
        <v>1242</v>
      </c>
      <c r="C92" s="131" t="s">
        <v>206</v>
      </c>
      <c r="D92" s="162" t="str" cm="1">
        <f t="array" aca="1" ref="D92" ca="1">INDIRECT("Vergleich!"&amp;$G$2&amp;Z92)</f>
        <v>mittel</v>
      </c>
      <c r="E92" s="162" cm="1">
        <f t="array" aca="1" ref="E92" ca="1">INDIRECT("Investition_gewählt!"&amp;$I$5&amp;AA92)</f>
        <v>5100</v>
      </c>
      <c r="F92" s="25" cm="1">
        <f t="array" aca="1" ref="F92" ca="1">IF($C$5=0,0,INDEX(Faktoren!E78:GQ78,1,VLOOKUP($F$5,$L$2:$O$14,4,FALSE)+$C$9*5+VLOOKUP(D92,Auswahllisten!$E$25:$F$29,2,FALSE)))</f>
        <v>0</v>
      </c>
      <c r="G92" s="162">
        <f ca="1">E92*F92</f>
        <v>0</v>
      </c>
      <c r="H92" s="162" cm="1">
        <f t="array" aca="1" ref="H92" ca="1">INDIRECT("Investition_gewählt!"&amp;$I$6&amp;AA92)</f>
        <v>5100</v>
      </c>
      <c r="I92" s="25" cm="1">
        <f t="array" aca="1" ref="I92" ca="1">IF($C$5=0,0,INDEX(Faktoren!E78:GQ78,1,VLOOKUP($F$6,$L$2:$O$14,4,FALSE)+$C$9*5+VLOOKUP(D92,Auswahllisten!$E$25:$F$29,2,FALSE)))</f>
        <v>0</v>
      </c>
      <c r="J92" s="162">
        <f ca="1">H92*I92</f>
        <v>0</v>
      </c>
      <c r="K92" s="162">
        <f t="shared" ref="K92:K94" ca="1" si="129">IF($C$5=0,0,G92+(J92-G92)*($C$6-$F$5)/($F$6-$F$5))</f>
        <v>0</v>
      </c>
      <c r="L92" s="25" t="b">
        <f ca="1">(OR($C$5=10,$C$5=11,$C$5=12,$C$5=13))</f>
        <v>0</v>
      </c>
      <c r="M92" s="162">
        <f t="shared" ref="M92:M94" ca="1" si="130">IFERROR(ROUND(K92*L92,AB92),0)</f>
        <v>0</v>
      </c>
      <c r="O92" s="25" t="str" cm="1">
        <f t="array" aca="1" ref="O92" ca="1">INDIRECT("Vergleich!"&amp;$Y$2&amp;Z92)</f>
        <v>gering</v>
      </c>
      <c r="P92" s="162" cm="1">
        <f t="array" aca="1" ref="P92" ca="1">INDIRECT("Investition_gewählt!"&amp;$AA$5&amp;AA92)</f>
        <v>5100</v>
      </c>
      <c r="Q92" s="25" cm="1">
        <f t="array" aca="1" ref="Q92" ca="1">IF($U$5=0,0,INDEX(Faktoren!E78:GQ78,1,VLOOKUP($X$5,$L$2:$O$14,4,FALSE)+$U$9*5+VLOOKUP(O92,Auswahllisten!$E$25:$F$29,2,FALSE)))</f>
        <v>0</v>
      </c>
      <c r="R92" s="162">
        <f t="shared" ref="R92:R94" ca="1" si="131">P92*Q92</f>
        <v>0</v>
      </c>
      <c r="S92" s="162" cm="1">
        <f t="array" aca="1" ref="S92" ca="1">INDIRECT("Investition_gewählt!"&amp;$AA$6&amp;AA92)</f>
        <v>5100</v>
      </c>
      <c r="T92" s="25" cm="1">
        <f t="array" aca="1" ref="T92" ca="1">IF($U$5=0,0,INDEX(Faktoren!E78:QG78,1,VLOOKUP($X$6,$L$3:$O$14,4,FALSE)+$U$9*5+VLOOKUP(O92,Auswahllisten!$E$25:$F$29,2,FALSE)))</f>
        <v>0</v>
      </c>
      <c r="U92" s="162">
        <f t="shared" ref="U92:U94" ca="1" si="132">S92*T92</f>
        <v>0</v>
      </c>
      <c r="V92" s="162">
        <f t="shared" ca="1" si="115"/>
        <v>0</v>
      </c>
      <c r="W92" s="25" t="b">
        <f ca="1">(OR($U$5=10,$U$5=11,$U$5=12,$U$5=13))</f>
        <v>0</v>
      </c>
      <c r="X92" s="162">
        <f ca="1">IFERROR(ROUND(V92*W92,AB92),0)</f>
        <v>0</v>
      </c>
      <c r="Z92" s="1">
        <v>38</v>
      </c>
      <c r="AA92" s="1">
        <v>78</v>
      </c>
      <c r="AB92" s="1">
        <v>-2</v>
      </c>
      <c r="AC92" s="82"/>
      <c r="AD92" s="64"/>
      <c r="AE92" s="64"/>
      <c r="AN92" s="1">
        <v>67</v>
      </c>
      <c r="AO92" s="1">
        <f t="shared" si="116"/>
        <v>0</v>
      </c>
      <c r="AP92" s="69">
        <f t="shared" ca="1" si="103"/>
        <v>0</v>
      </c>
      <c r="AQ92" s="69">
        <f t="shared" ca="1" si="103"/>
        <v>0</v>
      </c>
      <c r="AR92" s="69">
        <f t="shared" si="103"/>
        <v>0</v>
      </c>
      <c r="AS92" s="69">
        <f t="shared" ca="1" si="103"/>
        <v>0</v>
      </c>
      <c r="AT92" s="69">
        <f t="shared" ca="1" si="103"/>
        <v>0</v>
      </c>
      <c r="AU92" s="69">
        <f t="shared" ca="1" si="103"/>
        <v>0</v>
      </c>
      <c r="AV92" s="69">
        <f t="shared" si="103"/>
        <v>0</v>
      </c>
      <c r="AW92" s="69">
        <f t="shared" ca="1" si="119"/>
        <v>0</v>
      </c>
      <c r="AX92" s="69">
        <f t="shared" ca="1" si="120"/>
        <v>0</v>
      </c>
      <c r="AY92" s="69">
        <f t="shared" ca="1" si="121"/>
        <v>0</v>
      </c>
      <c r="AZ92" s="69">
        <f ca="1">$AO92*IF(Auswahllisten!$G$150,AZ$25+AZ$25*AZ$13*$AN92,AZ$25*(1+AZ$13)^$AN92)</f>
        <v>0</v>
      </c>
      <c r="BA92" s="69">
        <f ca="1">$AO92*IF(Auswahllisten!$G$150,BA$25+BA$25*BA$13*$AN92,BA$25*(1+BA$13)^$AN92)</f>
        <v>0</v>
      </c>
      <c r="BB92" s="69">
        <f ca="1">$AO92*IF(Auswahllisten!$G$150,BB$25+BB$25*BB$13*$AN92,BB$25*(1+BB$13)^$AN92)</f>
        <v>0</v>
      </c>
      <c r="BC92" s="69">
        <f ca="1">$AO92*IF(Auswahllisten!$G$150,BC$25+BC$25*BC$13*$AN92,BC$25*(1+BC$13)^$AN92)</f>
        <v>0</v>
      </c>
      <c r="BD92" s="69">
        <f t="shared" ca="1" si="122"/>
        <v>0</v>
      </c>
      <c r="BE92" s="69">
        <f t="shared" ca="1" si="123"/>
        <v>0</v>
      </c>
      <c r="BF92" s="69">
        <f t="shared" ca="1" si="124"/>
        <v>0</v>
      </c>
      <c r="BG92" s="69">
        <f t="shared" ca="1" si="125"/>
        <v>0</v>
      </c>
      <c r="BI92" s="69">
        <f t="shared" ca="1" si="105"/>
        <v>0</v>
      </c>
      <c r="BJ92" s="69">
        <f t="shared" ca="1" si="105"/>
        <v>0</v>
      </c>
      <c r="BK92" s="69">
        <f t="shared" si="105"/>
        <v>0</v>
      </c>
      <c r="BL92" s="69">
        <f t="shared" ca="1" si="105"/>
        <v>0</v>
      </c>
      <c r="BM92" s="69">
        <f t="shared" ca="1" si="105"/>
        <v>0</v>
      </c>
      <c r="BN92" s="69">
        <f t="shared" ca="1" si="105"/>
        <v>0</v>
      </c>
      <c r="BO92" s="69">
        <f t="shared" si="105"/>
        <v>0</v>
      </c>
      <c r="BP92" s="69">
        <f t="shared" ca="1" si="82"/>
        <v>0</v>
      </c>
      <c r="BQ92" s="69">
        <f t="shared" ca="1" si="126"/>
        <v>0</v>
      </c>
      <c r="BR92" s="69">
        <f t="shared" ca="1" si="83"/>
        <v>0</v>
      </c>
      <c r="BS92" s="69">
        <f ca="1">$AO92*IF(Auswahllisten!$G$150,BS$25+BS$25*BS$13*$AN92,BS$25*(1+BS$13)^$AN92)</f>
        <v>0</v>
      </c>
      <c r="BT92" s="69">
        <f ca="1">$AO92*IF(Auswahllisten!$G$150,BT$25+BT$25*BT$13*$AN92,BT$25*(1+BT$13)^$AN92)</f>
        <v>0</v>
      </c>
      <c r="BU92" s="69">
        <f ca="1">$AO92*IF(Auswahllisten!$G$150,BU$25+BU$25*BU$13*$AN92,BU$25*(1+BU$13)^$AN92)</f>
        <v>0</v>
      </c>
      <c r="BV92" s="69">
        <f ca="1">$AO92*IF(Auswahllisten!$G$150,BV$25+BV$25*BV$13*$AN92,BV$25*(1+BV$13)^$AN92)</f>
        <v>0</v>
      </c>
      <c r="BW92" s="69">
        <f t="shared" ca="1" si="127"/>
        <v>0</v>
      </c>
      <c r="BX92" s="69">
        <f t="shared" ca="1" si="128"/>
        <v>0</v>
      </c>
      <c r="BY92" s="69">
        <f t="shared" ca="1" si="117"/>
        <v>0</v>
      </c>
      <c r="BZ92" s="69">
        <f t="shared" ca="1" si="118"/>
        <v>0</v>
      </c>
    </row>
    <row r="93" spans="1:78">
      <c r="A93" s="305" t="s">
        <v>1215</v>
      </c>
      <c r="B93" s="126" t="s">
        <v>303</v>
      </c>
      <c r="C93" s="126" t="s">
        <v>241</v>
      </c>
      <c r="D93" s="26" t="str" cm="1">
        <f t="array" aca="1" ref="D93" ca="1">INDIRECT("Vergleich!"&amp;$G$2&amp;Z93)</f>
        <v>mittel</v>
      </c>
      <c r="E93" s="26" cm="1">
        <f t="array" aca="1" ref="E93" ca="1">INDIRECT("Investition_gewählt!"&amp;$I$5&amp;AA93)</f>
        <v>7000</v>
      </c>
      <c r="F93" s="25" cm="1">
        <f t="array" aca="1" ref="F93" ca="1">IF($C$5=0,0,INDEX(Faktoren!E79:GQ79,1,VLOOKUP($F$5,$L$2:$O$14,4,FALSE)+$C$9*5+VLOOKUP(D93,Auswahllisten!$E$25:$F$29,2,FALSE)))</f>
        <v>0</v>
      </c>
      <c r="G93" s="26">
        <f t="shared" ref="G93:G94" ca="1" si="133">E93*F93</f>
        <v>0</v>
      </c>
      <c r="H93" s="26" cm="1">
        <f t="array" aca="1" ref="H93" ca="1">INDIRECT("Investition_gewählt!"&amp;$I$6&amp;AA93)</f>
        <v>7000</v>
      </c>
      <c r="I93" s="25" cm="1">
        <f t="array" aca="1" ref="I93" ca="1">IF($C$5=0,0,INDEX(Faktoren!E79:GQ79,1,VLOOKUP($F$6,$L$2:$O$14,4,FALSE)+$C$9*5+VLOOKUP(D93,Auswahllisten!$E$25:$F$29,2,FALSE)))</f>
        <v>0</v>
      </c>
      <c r="J93" s="26">
        <f t="shared" ref="J93:J94" ca="1" si="134">H93*I93</f>
        <v>0</v>
      </c>
      <c r="K93" s="26">
        <f t="shared" ca="1" si="129"/>
        <v>0</v>
      </c>
      <c r="L93" s="16" t="b">
        <f ca="1">(OR($C$5=10,$C$5=11,$C$5=12,$C$5=13))</f>
        <v>0</v>
      </c>
      <c r="M93" s="26">
        <f t="shared" ca="1" si="130"/>
        <v>0</v>
      </c>
      <c r="O93" s="16" t="str" cm="1">
        <f t="array" aca="1" ref="O93" ca="1">INDIRECT("Vergleich!"&amp;$Y$2&amp;Z93)</f>
        <v>gering</v>
      </c>
      <c r="P93" s="26" cm="1">
        <f t="array" aca="1" ref="P93" ca="1">INDIRECT("Investition_gewählt!"&amp;$AA$5&amp;AA93)</f>
        <v>7000</v>
      </c>
      <c r="Q93" s="16" cm="1">
        <f t="array" aca="1" ref="Q93" ca="1">IF($U$5=0,0,INDEX(Faktoren!E79:GQ79,1,VLOOKUP($X$5,$L$2:$O$14,4,FALSE)+$U$9*5+VLOOKUP(O93,Auswahllisten!$E$25:$F$29,2,FALSE)))</f>
        <v>0</v>
      </c>
      <c r="R93" s="26">
        <f t="shared" ca="1" si="131"/>
        <v>0</v>
      </c>
      <c r="S93" s="26" cm="1">
        <f t="array" aca="1" ref="S93" ca="1">INDIRECT("Investition_gewählt!"&amp;$AA$6&amp;AA93)</f>
        <v>7000</v>
      </c>
      <c r="T93" s="16" cm="1">
        <f t="array" aca="1" ref="T93" ca="1">IF($U$5=0,0,INDEX(Faktoren!E79:QG79,1,VLOOKUP($X$6,$L$3:$O$14,4,FALSE)+$U$9*5+VLOOKUP(O93,Auswahllisten!$E$25:$F$29,2,FALSE)))</f>
        <v>0</v>
      </c>
      <c r="U93" s="26">
        <f t="shared" ca="1" si="132"/>
        <v>0</v>
      </c>
      <c r="V93" s="26">
        <f t="shared" ca="1" si="115"/>
        <v>0</v>
      </c>
      <c r="W93" s="25" t="b">
        <f ca="1">(OR($U$5=10,$U$5=11,$U$5=12,$U$5=13))</f>
        <v>0</v>
      </c>
      <c r="X93" s="26">
        <f ca="1">IFERROR(ROUND(V93*W93,AB93),0)</f>
        <v>0</v>
      </c>
      <c r="Z93" s="1">
        <v>43</v>
      </c>
      <c r="AA93" s="1">
        <v>79</v>
      </c>
      <c r="AB93" s="1">
        <v>-2</v>
      </c>
      <c r="AC93" s="82"/>
      <c r="AD93" s="64"/>
      <c r="AE93" s="64"/>
      <c r="AN93" s="1">
        <v>68</v>
      </c>
      <c r="AO93" s="1">
        <f t="shared" si="116"/>
        <v>0</v>
      </c>
      <c r="AP93" s="69">
        <f t="shared" ca="1" si="103"/>
        <v>0</v>
      </c>
      <c r="AQ93" s="69">
        <f t="shared" ca="1" si="103"/>
        <v>0</v>
      </c>
      <c r="AR93" s="69">
        <f t="shared" si="103"/>
        <v>0</v>
      </c>
      <c r="AS93" s="69">
        <f t="shared" ca="1" si="103"/>
        <v>0</v>
      </c>
      <c r="AT93" s="69">
        <f t="shared" ca="1" si="103"/>
        <v>0</v>
      </c>
      <c r="AU93" s="69">
        <f t="shared" ca="1" si="103"/>
        <v>0</v>
      </c>
      <c r="AV93" s="69">
        <f t="shared" si="103"/>
        <v>0</v>
      </c>
      <c r="AW93" s="69">
        <f t="shared" ca="1" si="119"/>
        <v>0</v>
      </c>
      <c r="AX93" s="69">
        <f t="shared" ca="1" si="120"/>
        <v>0</v>
      </c>
      <c r="AY93" s="69">
        <f t="shared" ca="1" si="121"/>
        <v>0</v>
      </c>
      <c r="AZ93" s="69">
        <f ca="1">$AO93*IF(Auswahllisten!$G$150,AZ$25+AZ$25*AZ$13*$AN93,AZ$25*(1+AZ$13)^$AN93)</f>
        <v>0</v>
      </c>
      <c r="BA93" s="69">
        <f ca="1">$AO93*IF(Auswahllisten!$G$150,BA$25+BA$25*BA$13*$AN93,BA$25*(1+BA$13)^$AN93)</f>
        <v>0</v>
      </c>
      <c r="BB93" s="69">
        <f ca="1">$AO93*IF(Auswahllisten!$G$150,BB$25+BB$25*BB$13*$AN93,BB$25*(1+BB$13)^$AN93)</f>
        <v>0</v>
      </c>
      <c r="BC93" s="69">
        <f ca="1">$AO93*IF(Auswahllisten!$G$150,BC$25+BC$25*BC$13*$AN93,BC$25*(1+BC$13)^$AN93)</f>
        <v>0</v>
      </c>
      <c r="BD93" s="69">
        <f t="shared" ca="1" si="122"/>
        <v>0</v>
      </c>
      <c r="BE93" s="69">
        <f t="shared" ca="1" si="123"/>
        <v>0</v>
      </c>
      <c r="BF93" s="69">
        <f t="shared" ca="1" si="124"/>
        <v>0</v>
      </c>
      <c r="BG93" s="69">
        <f t="shared" ca="1" si="125"/>
        <v>0</v>
      </c>
      <c r="BI93" s="69">
        <f t="shared" ca="1" si="105"/>
        <v>0</v>
      </c>
      <c r="BJ93" s="69">
        <f t="shared" ca="1" si="105"/>
        <v>0</v>
      </c>
      <c r="BK93" s="69">
        <f t="shared" si="105"/>
        <v>0</v>
      </c>
      <c r="BL93" s="69">
        <f t="shared" ca="1" si="105"/>
        <v>0</v>
      </c>
      <c r="BM93" s="69">
        <f t="shared" ca="1" si="105"/>
        <v>0</v>
      </c>
      <c r="BN93" s="69">
        <f t="shared" ca="1" si="105"/>
        <v>0</v>
      </c>
      <c r="BO93" s="69">
        <f t="shared" si="105"/>
        <v>0</v>
      </c>
      <c r="BP93" s="69">
        <f t="shared" ca="1" si="82"/>
        <v>0</v>
      </c>
      <c r="BQ93" s="69">
        <f t="shared" ca="1" si="126"/>
        <v>0</v>
      </c>
      <c r="BR93" s="69">
        <f t="shared" ca="1" si="83"/>
        <v>0</v>
      </c>
      <c r="BS93" s="69">
        <f ca="1">$AO93*IF(Auswahllisten!$G$150,BS$25+BS$25*BS$13*$AN93,BS$25*(1+BS$13)^$AN93)</f>
        <v>0</v>
      </c>
      <c r="BT93" s="69">
        <f ca="1">$AO93*IF(Auswahllisten!$G$150,BT$25+BT$25*BT$13*$AN93,BT$25*(1+BT$13)^$AN93)</f>
        <v>0</v>
      </c>
      <c r="BU93" s="69">
        <f ca="1">$AO93*IF(Auswahllisten!$G$150,BU$25+BU$25*BU$13*$AN93,BU$25*(1+BU$13)^$AN93)</f>
        <v>0</v>
      </c>
      <c r="BV93" s="69">
        <f ca="1">$AO93*IF(Auswahllisten!$G$150,BV$25+BV$25*BV$13*$AN93,BV$25*(1+BV$13)^$AN93)</f>
        <v>0</v>
      </c>
      <c r="BW93" s="69">
        <f t="shared" ca="1" si="127"/>
        <v>0</v>
      </c>
      <c r="BX93" s="69">
        <f t="shared" ca="1" si="128"/>
        <v>0</v>
      </c>
      <c r="BY93" s="69">
        <f t="shared" ca="1" si="117"/>
        <v>0</v>
      </c>
      <c r="BZ93" s="69">
        <f t="shared" ca="1" si="118"/>
        <v>0</v>
      </c>
    </row>
    <row r="94" spans="1:78">
      <c r="A94" s="307" t="s">
        <v>1215</v>
      </c>
      <c r="B94" s="297" t="s">
        <v>303</v>
      </c>
      <c r="C94" s="134" t="s">
        <v>966</v>
      </c>
      <c r="D94" s="163" t="str" cm="1">
        <f t="array" aca="1" ref="D94" ca="1">INDIRECT("Vergleich!"&amp;$G$2&amp;Z94)</f>
        <v>mittel</v>
      </c>
      <c r="E94" s="163" cm="1">
        <f t="array" aca="1" ref="E94" ca="1">INDIRECT("Investition_gewählt!"&amp;$I$5&amp;AA94)</f>
        <v>2500</v>
      </c>
      <c r="F94" s="61" cm="1">
        <f t="array" aca="1" ref="F94" ca="1">IF($C$5=0,0,INDEX(Faktoren!E80:GQ80,1,VLOOKUP($F$5,$L$2:$O$14,4,FALSE)+$C$9*5+VLOOKUP(D94,Auswahllisten!$E$25:$F$29,2,FALSE)))</f>
        <v>0</v>
      </c>
      <c r="G94" s="296">
        <f t="shared" ca="1" si="133"/>
        <v>0</v>
      </c>
      <c r="H94" s="296" cm="1">
        <f t="array" aca="1" ref="H94" ca="1">INDIRECT("Investition_gewählt!"&amp;$I$6&amp;AA94)</f>
        <v>2500</v>
      </c>
      <c r="I94" s="61" cm="1">
        <f t="array" aca="1" ref="I94" ca="1">IF($C$5=0,0,INDEX(Faktoren!E80:GQ80,1,VLOOKUP($F$6,$L$2:$O$14,4,FALSE)+$C$9*5+VLOOKUP(D94,Auswahllisten!$E$25:$F$29,2,FALSE)))</f>
        <v>0</v>
      </c>
      <c r="J94" s="163">
        <f t="shared" ca="1" si="134"/>
        <v>0</v>
      </c>
      <c r="K94" s="163">
        <f t="shared" ca="1" si="129"/>
        <v>0</v>
      </c>
      <c r="L94" s="93" t="b">
        <f ca="1">(OR($C$5=10,$C$5=11,$C$5=12,$C$5=13))</f>
        <v>0</v>
      </c>
      <c r="M94" s="163">
        <f t="shared" ca="1" si="130"/>
        <v>0</v>
      </c>
      <c r="O94" s="93" t="str" cm="1">
        <f t="array" aca="1" ref="O94" ca="1">INDIRECT("Vergleich!"&amp;$Y$2&amp;Z94)</f>
        <v>gering</v>
      </c>
      <c r="P94" s="163" cm="1">
        <f t="array" aca="1" ref="P94" ca="1">INDIRECT("Investition_gewählt!"&amp;$AA$5&amp;AA94)</f>
        <v>2500</v>
      </c>
      <c r="Q94" s="93" cm="1">
        <f t="array" aca="1" ref="Q94" ca="1">IF($U$5=0,0,INDEX(Faktoren!E80:GQ80,1,VLOOKUP($X$5,$L$2:$O$14,4,FALSE)+$U$9*5+VLOOKUP(O94,Auswahllisten!$E$25:$F$29,2,FALSE)))</f>
        <v>0</v>
      </c>
      <c r="R94" s="163">
        <f t="shared" ca="1" si="131"/>
        <v>0</v>
      </c>
      <c r="S94" s="163" cm="1">
        <f t="array" aca="1" ref="S94" ca="1">INDIRECT("Investition_gewählt!"&amp;$AA$6&amp;AA94)</f>
        <v>2500</v>
      </c>
      <c r="T94" s="93" cm="1">
        <f t="array" aca="1" ref="T94" ca="1">IF($U$5=0,0,INDEX(Faktoren!E80:QG80,1,VLOOKUP($X$6,$L$3:$O$14,4,FALSE)+$U$9*5+VLOOKUP(O94,Auswahllisten!$E$25:$F$29,2,FALSE)))</f>
        <v>0</v>
      </c>
      <c r="U94" s="163">
        <f t="shared" ca="1" si="132"/>
        <v>0</v>
      </c>
      <c r="V94" s="163">
        <f t="shared" ca="1" si="115"/>
        <v>0</v>
      </c>
      <c r="W94" s="61" t="b">
        <f ca="1">(OR($U$5=10,$U$5=11,$U$5=12,$U$5=13))</f>
        <v>0</v>
      </c>
      <c r="X94" s="163">
        <f ca="1">IFERROR(ROUND(V94*W94,AB94),0)</f>
        <v>0</v>
      </c>
      <c r="Z94" s="1">
        <v>47</v>
      </c>
      <c r="AA94" s="1">
        <v>80</v>
      </c>
      <c r="AB94" s="1">
        <v>-2</v>
      </c>
      <c r="AC94" s="82"/>
      <c r="AD94" s="64"/>
      <c r="AE94" s="64"/>
      <c r="AN94" s="1">
        <v>69</v>
      </c>
      <c r="AO94" s="1">
        <f t="shared" si="116"/>
        <v>0</v>
      </c>
      <c r="AP94" s="69">
        <f t="shared" ref="AP94:AV96" ca="1" si="135">IFERROR($AO94*IF(MOD($AN94,AP$20)=0,AP$25,0)*(1+$AS$10)^$AN94*IF($AS$3=$AN94,0,1),0)</f>
        <v>0</v>
      </c>
      <c r="AQ94" s="69">
        <f t="shared" ca="1" si="135"/>
        <v>0</v>
      </c>
      <c r="AR94" s="69">
        <f t="shared" si="135"/>
        <v>0</v>
      </c>
      <c r="AS94" s="69">
        <f t="shared" ca="1" si="135"/>
        <v>0</v>
      </c>
      <c r="AT94" s="69">
        <f t="shared" ca="1" si="135"/>
        <v>0</v>
      </c>
      <c r="AU94" s="69">
        <f t="shared" ca="1" si="135"/>
        <v>0</v>
      </c>
      <c r="AV94" s="69">
        <f t="shared" si="135"/>
        <v>0</v>
      </c>
      <c r="AW94" s="69">
        <f t="shared" ca="1" si="119"/>
        <v>0</v>
      </c>
      <c r="AX94" s="69">
        <f t="shared" ca="1" si="120"/>
        <v>0</v>
      </c>
      <c r="AY94" s="69">
        <f t="shared" ca="1" si="121"/>
        <v>0</v>
      </c>
      <c r="AZ94" s="69">
        <f ca="1">$AO94*IF(Auswahllisten!$G$150,AZ$25+AZ$25*AZ$13*$AN94,AZ$25*(1+AZ$13)^$AN94)</f>
        <v>0</v>
      </c>
      <c r="BA94" s="69">
        <f ca="1">$AO94*IF(Auswahllisten!$G$150,BA$25+BA$25*BA$13*$AN94,BA$25*(1+BA$13)^$AN94)</f>
        <v>0</v>
      </c>
      <c r="BB94" s="69">
        <f ca="1">$AO94*IF(Auswahllisten!$G$150,BB$25+BB$25*BB$13*$AN94,BB$25*(1+BB$13)^$AN94)</f>
        <v>0</v>
      </c>
      <c r="BC94" s="69">
        <f ca="1">$AO94*IF(Auswahllisten!$G$150,BC$25+BC$25*BC$13*$AN94,BC$25*(1+BC$13)^$AN94)</f>
        <v>0</v>
      </c>
      <c r="BD94" s="69">
        <f t="shared" ca="1" si="122"/>
        <v>0</v>
      </c>
      <c r="BE94" s="69">
        <f t="shared" ca="1" si="123"/>
        <v>0</v>
      </c>
      <c r="BF94" s="69">
        <f t="shared" ca="1" si="124"/>
        <v>0</v>
      </c>
      <c r="BG94" s="69">
        <f t="shared" ca="1" si="125"/>
        <v>0</v>
      </c>
      <c r="BI94" s="69">
        <f t="shared" ca="1" si="105"/>
        <v>0</v>
      </c>
      <c r="BJ94" s="69">
        <f t="shared" ca="1" si="105"/>
        <v>0</v>
      </c>
      <c r="BK94" s="69">
        <f t="shared" si="105"/>
        <v>0</v>
      </c>
      <c r="BL94" s="69">
        <f t="shared" ca="1" si="105"/>
        <v>0</v>
      </c>
      <c r="BM94" s="69">
        <f t="shared" ca="1" si="105"/>
        <v>0</v>
      </c>
      <c r="BN94" s="69">
        <f t="shared" ca="1" si="105"/>
        <v>0</v>
      </c>
      <c r="BO94" s="69">
        <f t="shared" si="105"/>
        <v>0</v>
      </c>
      <c r="BP94" s="69">
        <f t="shared" ca="1" si="82"/>
        <v>0</v>
      </c>
      <c r="BQ94" s="69">
        <f t="shared" ca="1" si="126"/>
        <v>0</v>
      </c>
      <c r="BR94" s="69">
        <f t="shared" ca="1" si="83"/>
        <v>0</v>
      </c>
      <c r="BS94" s="69">
        <f ca="1">$AO94*IF(Auswahllisten!$G$150,BS$25+BS$25*BS$13*$AN94,BS$25*(1+BS$13)^$AN94)</f>
        <v>0</v>
      </c>
      <c r="BT94" s="69">
        <f ca="1">$AO94*IF(Auswahllisten!$G$150,BT$25+BT$25*BT$13*$AN94,BT$25*(1+BT$13)^$AN94)</f>
        <v>0</v>
      </c>
      <c r="BU94" s="69">
        <f ca="1">$AO94*IF(Auswahllisten!$G$150,BU$25+BU$25*BU$13*$AN94,BU$25*(1+BU$13)^$AN94)</f>
        <v>0</v>
      </c>
      <c r="BV94" s="69">
        <f ca="1">$AO94*IF(Auswahllisten!$G$150,BV$25+BV$25*BV$13*$AN94,BV$25*(1+BV$13)^$AN94)</f>
        <v>0</v>
      </c>
      <c r="BW94" s="69">
        <f t="shared" ca="1" si="127"/>
        <v>0</v>
      </c>
      <c r="BX94" s="69">
        <f t="shared" ca="1" si="128"/>
        <v>0</v>
      </c>
      <c r="BY94" s="69">
        <f t="shared" ca="1" si="117"/>
        <v>0</v>
      </c>
      <c r="BZ94" s="69">
        <f t="shared" ca="1" si="118"/>
        <v>0</v>
      </c>
    </row>
    <row r="95" spans="1:78">
      <c r="D95" s="69"/>
      <c r="G95" s="69"/>
      <c r="H95" s="69"/>
      <c r="M95" s="69"/>
      <c r="X95" s="69"/>
      <c r="AA95" s="1">
        <v>81</v>
      </c>
      <c r="AB95" s="1">
        <v>-2</v>
      </c>
      <c r="AC95" s="82"/>
      <c r="AD95" s="64"/>
      <c r="AE95" s="64"/>
      <c r="AN95" s="1">
        <v>70</v>
      </c>
      <c r="AO95" s="1">
        <f t="shared" si="116"/>
        <v>0</v>
      </c>
      <c r="AP95" s="69">
        <f t="shared" ca="1" si="135"/>
        <v>0</v>
      </c>
      <c r="AQ95" s="69">
        <f t="shared" ca="1" si="135"/>
        <v>0</v>
      </c>
      <c r="AR95" s="69">
        <f t="shared" si="135"/>
        <v>0</v>
      </c>
      <c r="AS95" s="69">
        <f t="shared" ca="1" si="135"/>
        <v>0</v>
      </c>
      <c r="AT95" s="69">
        <f t="shared" ca="1" si="135"/>
        <v>0</v>
      </c>
      <c r="AU95" s="69">
        <f t="shared" ca="1" si="135"/>
        <v>0</v>
      </c>
      <c r="AV95" s="69">
        <f t="shared" si="135"/>
        <v>0</v>
      </c>
      <c r="AW95" s="69">
        <f t="shared" ca="1" si="119"/>
        <v>0</v>
      </c>
      <c r="AX95" s="69">
        <f t="shared" ca="1" si="120"/>
        <v>0</v>
      </c>
      <c r="AY95" s="69">
        <f t="shared" ca="1" si="121"/>
        <v>0</v>
      </c>
      <c r="AZ95" s="69">
        <f ca="1">$AO95*IF(Auswahllisten!$G$150,AZ$25+AZ$25*AZ$13*$AN95,AZ$25*(1+AZ$13)^$AN95)</f>
        <v>0</v>
      </c>
      <c r="BA95" s="69">
        <f ca="1">$AO95*IF(Auswahllisten!$G$150,BA$25+BA$25*BA$13*$AN95,BA$25*(1+BA$13)^$AN95)</f>
        <v>0</v>
      </c>
      <c r="BB95" s="69">
        <f ca="1">$AO95*IF(Auswahllisten!$G$150,BB$25+BB$25*BB$13*$AN95,BB$25*(1+BB$13)^$AN95)</f>
        <v>0</v>
      </c>
      <c r="BC95" s="69">
        <f ca="1">$AO95*IF(Auswahllisten!$G$150,BC$25+BC$25*BC$13*$AN95,BC$25*(1+BC$13)^$AN95)</f>
        <v>0</v>
      </c>
      <c r="BD95" s="69">
        <f t="shared" ca="1" si="122"/>
        <v>0</v>
      </c>
      <c r="BE95" s="69">
        <f t="shared" ca="1" si="123"/>
        <v>0</v>
      </c>
      <c r="BF95" s="69">
        <f t="shared" ca="1" si="124"/>
        <v>0</v>
      </c>
      <c r="BG95" s="69">
        <f t="shared" ca="1" si="125"/>
        <v>0</v>
      </c>
      <c r="BI95" s="69">
        <f t="shared" ca="1" si="105"/>
        <v>0</v>
      </c>
      <c r="BJ95" s="69">
        <f t="shared" ca="1" si="105"/>
        <v>0</v>
      </c>
      <c r="BK95" s="69">
        <f t="shared" si="105"/>
        <v>0</v>
      </c>
      <c r="BL95" s="69">
        <f t="shared" ca="1" si="105"/>
        <v>0</v>
      </c>
      <c r="BM95" s="69">
        <f t="shared" ca="1" si="105"/>
        <v>0</v>
      </c>
      <c r="BN95" s="69">
        <f t="shared" ca="1" si="105"/>
        <v>0</v>
      </c>
      <c r="BO95" s="69">
        <f t="shared" si="105"/>
        <v>0</v>
      </c>
      <c r="BP95" s="69">
        <f t="shared" ca="1" si="82"/>
        <v>0</v>
      </c>
      <c r="BQ95" s="69">
        <f t="shared" ca="1" si="126"/>
        <v>0</v>
      </c>
      <c r="BR95" s="69">
        <f t="shared" ca="1" si="83"/>
        <v>0</v>
      </c>
      <c r="BS95" s="69">
        <f ca="1">$AO95*IF(Auswahllisten!$G$150,BS$25+BS$25*BS$13*$AN95,BS$25*(1+BS$13)^$AN95)</f>
        <v>0</v>
      </c>
      <c r="BT95" s="69">
        <f ca="1">$AO95*IF(Auswahllisten!$G$150,BT$25+BT$25*BT$13*$AN95,BT$25*(1+BT$13)^$AN95)</f>
        <v>0</v>
      </c>
      <c r="BU95" s="69">
        <f ca="1">$AO95*IF(Auswahllisten!$G$150,BU$25+BU$25*BU$13*$AN95,BU$25*(1+BU$13)^$AN95)</f>
        <v>0</v>
      </c>
      <c r="BV95" s="69">
        <f ca="1">$AO95*IF(Auswahllisten!$G$150,BV$25+BV$25*BV$13*$AN95,BV$25*(1+BV$13)^$AN95)</f>
        <v>0</v>
      </c>
      <c r="BW95" s="69">
        <f t="shared" ca="1" si="127"/>
        <v>0</v>
      </c>
      <c r="BX95" s="69">
        <f t="shared" ca="1" si="128"/>
        <v>0</v>
      </c>
      <c r="BY95" s="69">
        <f t="shared" ca="1" si="117"/>
        <v>0</v>
      </c>
      <c r="BZ95" s="69">
        <f t="shared" ca="1" si="118"/>
        <v>0</v>
      </c>
    </row>
    <row r="96" spans="1:78">
      <c r="A96" s="125" t="s">
        <v>1008</v>
      </c>
      <c r="B96" s="125" t="s">
        <v>1188</v>
      </c>
      <c r="C96" s="64"/>
      <c r="D96" s="69"/>
      <c r="M96" s="69"/>
      <c r="X96" s="69"/>
      <c r="AA96" s="1">
        <v>82</v>
      </c>
      <c r="AB96" s="1">
        <v>-2</v>
      </c>
      <c r="AC96" s="82"/>
      <c r="AD96" s="64"/>
      <c r="AE96" s="64"/>
      <c r="AN96" s="1">
        <v>71</v>
      </c>
      <c r="AO96" s="1">
        <f t="shared" si="116"/>
        <v>0</v>
      </c>
      <c r="AP96" s="69">
        <f t="shared" ca="1" si="135"/>
        <v>0</v>
      </c>
      <c r="AQ96" s="69">
        <f t="shared" ca="1" si="135"/>
        <v>0</v>
      </c>
      <c r="AR96" s="69">
        <f t="shared" si="135"/>
        <v>0</v>
      </c>
      <c r="AS96" s="69">
        <f t="shared" ca="1" si="135"/>
        <v>0</v>
      </c>
      <c r="AT96" s="69">
        <f t="shared" ca="1" si="135"/>
        <v>0</v>
      </c>
      <c r="AU96" s="69">
        <f t="shared" ca="1" si="135"/>
        <v>0</v>
      </c>
      <c r="AV96" s="69">
        <f t="shared" si="135"/>
        <v>0</v>
      </c>
      <c r="AW96" s="69">
        <f t="shared" ca="1" si="119"/>
        <v>0</v>
      </c>
      <c r="AX96" s="69">
        <f t="shared" ca="1" si="120"/>
        <v>0</v>
      </c>
      <c r="AY96" s="69">
        <f t="shared" ca="1" si="121"/>
        <v>0</v>
      </c>
      <c r="AZ96" s="69">
        <f ca="1">$AO96*IF(Auswahllisten!$G$150,AZ$25+AZ$25*AZ$13*$AN96,AZ$25*(1+AZ$13)^$AN96)</f>
        <v>0</v>
      </c>
      <c r="BA96" s="69">
        <f ca="1">$AO96*IF(Auswahllisten!$G$150,BA$25+BA$25*BA$13*$AN96,BA$25*(1+BA$13)^$AN96)</f>
        <v>0</v>
      </c>
      <c r="BB96" s="69">
        <f ca="1">$AO96*IF(Auswahllisten!$G$150,BB$25+BB$25*BB$13*$AN96,BB$25*(1+BB$13)^$AN96)</f>
        <v>0</v>
      </c>
      <c r="BC96" s="69">
        <f ca="1">$AO96*IF(Auswahllisten!$G$150,BC$25+BC$25*BC$13*$AN96,BC$25*(1+BC$13)^$AN96)</f>
        <v>0</v>
      </c>
      <c r="BD96" s="69">
        <f t="shared" ca="1" si="122"/>
        <v>0</v>
      </c>
      <c r="BE96" s="69">
        <f t="shared" ca="1" si="123"/>
        <v>0</v>
      </c>
      <c r="BF96" s="69">
        <f t="shared" ca="1" si="124"/>
        <v>0</v>
      </c>
      <c r="BG96" s="69">
        <f t="shared" ca="1" si="125"/>
        <v>0</v>
      </c>
      <c r="BI96" s="69">
        <f t="shared" ca="1" si="105"/>
        <v>0</v>
      </c>
      <c r="BJ96" s="69">
        <f t="shared" ca="1" si="105"/>
        <v>0</v>
      </c>
      <c r="BK96" s="69">
        <f t="shared" si="105"/>
        <v>0</v>
      </c>
      <c r="BL96" s="69">
        <f t="shared" ca="1" si="105"/>
        <v>0</v>
      </c>
      <c r="BM96" s="69">
        <f t="shared" ca="1" si="105"/>
        <v>0</v>
      </c>
      <c r="BN96" s="69">
        <f t="shared" ca="1" si="105"/>
        <v>0</v>
      </c>
      <c r="BO96" s="69">
        <f t="shared" si="105"/>
        <v>0</v>
      </c>
      <c r="BP96" s="69">
        <f t="shared" ca="1" si="82"/>
        <v>0</v>
      </c>
      <c r="BQ96" s="69">
        <f t="shared" ca="1" si="126"/>
        <v>0</v>
      </c>
      <c r="BR96" s="69">
        <f t="shared" ca="1" si="83"/>
        <v>0</v>
      </c>
      <c r="BS96" s="69">
        <f ca="1">$AO96*IF(Auswahllisten!$G$150,BS$25+BS$25*BS$13*$AN96,BS$25*(1+BS$13)^$AN96)</f>
        <v>0</v>
      </c>
      <c r="BT96" s="69">
        <f ca="1">$AO96*IF(Auswahllisten!$G$150,BT$25+BT$25*BT$13*$AN96,BT$25*(1+BT$13)^$AN96)</f>
        <v>0</v>
      </c>
      <c r="BU96" s="69">
        <f ca="1">$AO96*IF(Auswahllisten!$G$150,BU$25+BU$25*BU$13*$AN96,BU$25*(1+BU$13)^$AN96)</f>
        <v>0</v>
      </c>
      <c r="BV96" s="69">
        <f ca="1">$AO96*IF(Auswahllisten!$G$150,BV$25+BV$25*BV$13*$AN96,BV$25*(1+BV$13)^$AN96)</f>
        <v>0</v>
      </c>
      <c r="BW96" s="69">
        <f t="shared" ca="1" si="127"/>
        <v>0</v>
      </c>
      <c r="BX96" s="69">
        <f t="shared" ca="1" si="128"/>
        <v>0</v>
      </c>
      <c r="BY96" s="69">
        <f t="shared" ca="1" si="117"/>
        <v>0</v>
      </c>
      <c r="BZ96" s="69">
        <f t="shared" ca="1" si="118"/>
        <v>0</v>
      </c>
    </row>
    <row r="97" spans="1:78">
      <c r="A97" s="304" t="s">
        <v>1217</v>
      </c>
      <c r="B97" s="131" t="s">
        <v>1242</v>
      </c>
      <c r="C97" s="131" t="s">
        <v>206</v>
      </c>
      <c r="D97" s="162" t="str" cm="1">
        <f t="array" aca="1" ref="D97" ca="1">INDIRECT("Vergleich!"&amp;$G$2&amp;Z97)</f>
        <v>mittel</v>
      </c>
      <c r="E97" s="162" cm="1">
        <f t="array" aca="1" ref="E97" ca="1">INDIRECT("Investition_gewählt!"&amp;$I$5&amp;AA97)</f>
        <v>0</v>
      </c>
      <c r="F97" s="25" cm="1">
        <f t="array" aca="1" ref="F97" ca="1">IF($C$5=0,0,INDEX(Faktoren!E83:GQ83,1,VLOOKUP($F$5,$L$2:$O$14,4,FALSE)+$C$9*5+VLOOKUP(D97,Auswahllisten!$E$25:$F$29,2,FALSE)))</f>
        <v>0</v>
      </c>
      <c r="G97" s="162">
        <f ca="1">E97*F97</f>
        <v>0</v>
      </c>
      <c r="H97" s="162" cm="1">
        <f t="array" aca="1" ref="H97" ca="1">INDIRECT("Investition_gewählt!"&amp;$I$6&amp;AA97)</f>
        <v>0</v>
      </c>
      <c r="I97" s="25" cm="1">
        <f t="array" aca="1" ref="I97" ca="1">IF($C$5=0,0,INDEX(Faktoren!E83:GQ83,1,VLOOKUP($F$6,$L$2:$O$14,4,FALSE)+$C$9*5+VLOOKUP(D97,Auswahllisten!$E$25:$F$29,2,FALSE)))</f>
        <v>0</v>
      </c>
      <c r="J97" s="162">
        <f ca="1">H97*I97</f>
        <v>0</v>
      </c>
      <c r="K97" s="162">
        <f t="shared" ref="K97:K106" ca="1" si="136">IF($C$5=0,0,G97+(J97-G97)*($C$6-$F$5)/($F$6-$F$5))</f>
        <v>0</v>
      </c>
      <c r="L97" s="25" t="b">
        <f ca="1">(OR($C$5=8,$C$5=9))</f>
        <v>0</v>
      </c>
      <c r="M97" s="162">
        <f t="shared" ref="M97:M106" ca="1" si="137">IFERROR(ROUND(K97*L97,AB97),0)</f>
        <v>0</v>
      </c>
      <c r="O97" s="25" t="str" cm="1">
        <f t="array" aca="1" ref="O97" ca="1">INDIRECT("Vergleich!"&amp;$Y$2&amp;Z97)</f>
        <v>gering</v>
      </c>
      <c r="P97" s="162" cm="1">
        <f t="array" aca="1" ref="P97" ca="1">INDIRECT("Investition_gewählt!"&amp;$AA$5&amp;AA97)</f>
        <v>0</v>
      </c>
      <c r="Q97" s="25" cm="1">
        <f t="array" aca="1" ref="Q97" ca="1">IF($U$5=0,0,INDEX(Faktoren!E83:GQ83,1,VLOOKUP($X$5,$L$2:$O$14,4,FALSE)+$U$9*5+VLOOKUP(O97,Auswahllisten!$E$25:$F$29,2,FALSE)))</f>
        <v>0</v>
      </c>
      <c r="R97" s="162">
        <f t="shared" ref="R97:R106" ca="1" si="138">P97*Q97</f>
        <v>0</v>
      </c>
      <c r="S97" s="162" cm="1">
        <f t="array" aca="1" ref="S97" ca="1">INDIRECT("Investition_gewählt!"&amp;$AA$6&amp;AA97)</f>
        <v>0</v>
      </c>
      <c r="T97" s="25" cm="1">
        <f t="array" aca="1" ref="T97" ca="1">IF($U$5=0,0,INDEX(Faktoren!E83:QG83,1,VLOOKUP($X$6,$L$3:$O$14,4,FALSE)+$U$9*5+VLOOKUP(O97,Auswahllisten!$E$25:$F$29,2,FALSE)))</f>
        <v>0</v>
      </c>
      <c r="U97" s="162">
        <f t="shared" ref="U97:U106" ca="1" si="139">S97*T97</f>
        <v>0</v>
      </c>
      <c r="V97" s="162">
        <f t="shared" ca="1" si="115"/>
        <v>0</v>
      </c>
      <c r="W97" s="25" t="b">
        <f t="shared" ref="W97:W106" ca="1" si="140">(OR($U$5=8,$U$5=9))</f>
        <v>0</v>
      </c>
      <c r="X97" s="162">
        <f t="shared" ref="X97:X106" ca="1" si="141">IFERROR(ROUND(V97*W97,AB97),0)</f>
        <v>0</v>
      </c>
      <c r="Z97" s="1">
        <v>38</v>
      </c>
      <c r="AA97" s="1">
        <v>83</v>
      </c>
      <c r="AB97" s="1">
        <v>-2</v>
      </c>
      <c r="AN97" s="1">
        <v>72</v>
      </c>
      <c r="AO97" s="1">
        <f t="shared" ref="AO97:AO125" si="142">IF($AS$3&lt;AN97,0,1)</f>
        <v>0</v>
      </c>
      <c r="AP97" s="69">
        <f t="shared" ref="AP97:AV113" ca="1" si="143">IFERROR($AO97*IF(MOD($AN97,AP$20)=0,AP$25,0)*(1+$AS$10)^$AN97*IF($AS$3=$AN97,0,1),0)</f>
        <v>0</v>
      </c>
      <c r="AQ97" s="69">
        <f t="shared" ca="1" si="143"/>
        <v>0</v>
      </c>
      <c r="AR97" s="69">
        <f t="shared" si="143"/>
        <v>0</v>
      </c>
      <c r="AS97" s="69">
        <f t="shared" ca="1" si="143"/>
        <v>0</v>
      </c>
      <c r="AT97" s="69">
        <f t="shared" ca="1" si="143"/>
        <v>0</v>
      </c>
      <c r="AU97" s="69">
        <f t="shared" ca="1" si="143"/>
        <v>0</v>
      </c>
      <c r="AV97" s="69">
        <f t="shared" si="143"/>
        <v>0</v>
      </c>
      <c r="AW97" s="69">
        <f t="shared" ref="AW97:AW125" ca="1" si="144">SUM(AP97:AV97)/(1+$AS$11)^AN97</f>
        <v>0</v>
      </c>
      <c r="AX97" s="69">
        <f t="shared" ref="AX97:AX125" ca="1" si="145">$AO97*AX$25*(1+$AS$9)^$AN97</f>
        <v>0</v>
      </c>
      <c r="AY97" s="69">
        <f t="shared" ref="AY97:AY125" ca="1" si="146">SUM(AX97)/(1+$AS$11)^AN97</f>
        <v>0</v>
      </c>
      <c r="AZ97" s="69">
        <f ca="1">$AO97*IF(Auswahllisten!$G$150,AZ$25+AZ$25*AZ$13*$AN97,AZ$25*(1+AZ$13)^$AN97)</f>
        <v>0</v>
      </c>
      <c r="BA97" s="69">
        <f ca="1">$AO97*IF(Auswahllisten!$G$150,BA$25+BA$25*BA$13*$AN97,BA$25*(1+BA$13)^$AN97)</f>
        <v>0</v>
      </c>
      <c r="BB97" s="69">
        <f ca="1">$AO97*IF(Auswahllisten!$G$150,BB$25+BB$25*BB$13*$AN97,BB$25*(1+BB$13)^$AN97)</f>
        <v>0</v>
      </c>
      <c r="BC97" s="69">
        <f ca="1">$AO97*IF(Auswahllisten!$G$150,BC$25+BC$25*BC$13*$AN97,BC$25*(1+BC$13)^$AN97)</f>
        <v>0</v>
      </c>
      <c r="BD97" s="69">
        <f t="shared" ca="1" si="122"/>
        <v>0</v>
      </c>
      <c r="BE97" s="69">
        <f t="shared" ref="BE97:BE125" ca="1" si="147">AO97*$BE$25*(1+$AS$8)^AN97</f>
        <v>0</v>
      </c>
      <c r="BF97" s="69">
        <f t="shared" ref="BF97:BF125" ca="1" si="148">BE97/(1+$AS$11)^AN97</f>
        <v>0</v>
      </c>
      <c r="BG97" s="69">
        <f t="shared" ca="1" si="125"/>
        <v>0</v>
      </c>
      <c r="BI97" s="69">
        <f t="shared" ref="BI97:BO125" ca="1" si="149">IFERROR($AO97*IF(MOD($AN97,BI$20)=0,BI$25,0)*(1+$AS$10)^$AN97*IF($AS$3=$AN97,0,1),0)</f>
        <v>0</v>
      </c>
      <c r="BJ97" s="69">
        <f t="shared" ca="1" si="149"/>
        <v>0</v>
      </c>
      <c r="BK97" s="69">
        <f t="shared" si="149"/>
        <v>0</v>
      </c>
      <c r="BL97" s="69">
        <f t="shared" ca="1" si="149"/>
        <v>0</v>
      </c>
      <c r="BM97" s="69">
        <f t="shared" ca="1" si="149"/>
        <v>0</v>
      </c>
      <c r="BN97" s="69">
        <f t="shared" ca="1" si="149"/>
        <v>0</v>
      </c>
      <c r="BO97" s="69">
        <f t="shared" si="149"/>
        <v>0</v>
      </c>
      <c r="BP97" s="69">
        <f t="shared" ref="BP97:BP122" ca="1" si="150">SUM(BI97:BO97)/(1+$AS$11)^AN97</f>
        <v>0</v>
      </c>
      <c r="BQ97" s="69">
        <f t="shared" ref="BQ97:BQ125" ca="1" si="151">$AO97*BQ$25*(1+$AS$9)^$AN97</f>
        <v>0</v>
      </c>
      <c r="BR97" s="69">
        <f t="shared" ref="BR97:BR125" ca="1" si="152">SUM(BQ97)/(1+$AS$11)^AN97</f>
        <v>0</v>
      </c>
      <c r="BS97" s="69">
        <f ca="1">$AO97*IF(Auswahllisten!$G$150,BS$25+BS$25*BS$13*$AN97,BS$25*(1+BS$13)^$AN97)</f>
        <v>0</v>
      </c>
      <c r="BT97" s="69">
        <f ca="1">$AO97*IF(Auswahllisten!$G$150,BT$25+BT$25*BT$13*$AN97,BT$25*(1+BT$13)^$AN97)</f>
        <v>0</v>
      </c>
      <c r="BU97" s="69">
        <f ca="1">$AO97*IF(Auswahllisten!$G$150,BU$25+BU$25*BU$13*$AN97,BU$25*(1+BU$13)^$AN97)</f>
        <v>0</v>
      </c>
      <c r="BV97" s="69">
        <f ca="1">$AO97*IF(Auswahllisten!$G$150,BV$25+BV$25*BV$13*$AN97,BV$25*(1+BV$13)^$AN97)</f>
        <v>0</v>
      </c>
      <c r="BW97" s="69">
        <f t="shared" ca="1" si="127"/>
        <v>0</v>
      </c>
      <c r="BX97" s="69">
        <f t="shared" ref="BX97:BX125" ca="1" si="153">AO97*$BX$25*(1+$AS$8)^AN97</f>
        <v>0</v>
      </c>
      <c r="BY97" s="69">
        <f t="shared" ref="BY97:BY125" ca="1" si="154">BX97/(1+$AS$11)^AN97</f>
        <v>0</v>
      </c>
      <c r="BZ97" s="69">
        <f t="shared" ca="1" si="118"/>
        <v>0</v>
      </c>
    </row>
    <row r="98" spans="1:78">
      <c r="A98" s="305" t="s">
        <v>1215</v>
      </c>
      <c r="B98" s="126" t="s">
        <v>303</v>
      </c>
      <c r="C98" s="126" t="s">
        <v>1336</v>
      </c>
      <c r="D98" s="26" t="str" cm="1">
        <f t="array" aca="1" ref="D98" ca="1">INDIRECT("Vergleich!"&amp;$G$2&amp;Z98)</f>
        <v>mittel</v>
      </c>
      <c r="E98" s="26" cm="1">
        <f t="array" aca="1" ref="E98" ca="1">INDIRECT("Investition_gewählt!"&amp;$I$5&amp;AA98)</f>
        <v>0</v>
      </c>
      <c r="F98" s="25" cm="1">
        <f t="array" aca="1" ref="F98" ca="1">IF($C$5=0,0,INDEX(Faktoren!E84:GQ84,1,VLOOKUP($F$5,$L$2:$O$14,4,FALSE)+$C$9*5+VLOOKUP(D98,Auswahllisten!$E$25:$F$29,2,FALSE)))</f>
        <v>0</v>
      </c>
      <c r="G98" s="162">
        <f t="shared" ref="G98:G106" ca="1" si="155">E98*F98</f>
        <v>0</v>
      </c>
      <c r="H98" s="26" cm="1">
        <f t="array" aca="1" ref="H98" ca="1">INDIRECT("Investition_gewählt!"&amp;$I$6&amp;AA98)</f>
        <v>0</v>
      </c>
      <c r="I98" s="25" cm="1">
        <f t="array" aca="1" ref="I98" ca="1">IF($C$5=0,0,INDEX(Faktoren!E84:GQ84,1,VLOOKUP($F$6,$L$2:$O$14,4,FALSE)+$C$9*5+VLOOKUP(D98,Auswahllisten!$E$25:$F$29,2,FALSE)))</f>
        <v>0</v>
      </c>
      <c r="J98" s="162">
        <f t="shared" ref="J98:J106" ca="1" si="156">H98*I98</f>
        <v>0</v>
      </c>
      <c r="K98" s="26">
        <f t="shared" ca="1" si="136"/>
        <v>0</v>
      </c>
      <c r="L98" s="25" t="b">
        <f t="shared" ref="L98:L106" ca="1" si="157">(OR($C$5=8,$C$5=9))</f>
        <v>0</v>
      </c>
      <c r="M98" s="26">
        <f t="shared" ca="1" si="137"/>
        <v>0</v>
      </c>
      <c r="O98" s="16" t="str" cm="1">
        <f t="array" aca="1" ref="O98" ca="1">INDIRECT("Vergleich!"&amp;$Y$2&amp;Z98)</f>
        <v>gering</v>
      </c>
      <c r="P98" s="26" cm="1">
        <f t="array" aca="1" ref="P98" ca="1">INDIRECT("Investition_gewählt!"&amp;$AA$5&amp;AA98)</f>
        <v>0</v>
      </c>
      <c r="Q98" s="16" cm="1">
        <f t="array" aca="1" ref="Q98" ca="1">IF($U$5=0,0,INDEX(Faktoren!E84:GQ84,1,VLOOKUP($X$5,$L$2:$O$14,4,FALSE)+$U$9*5+VLOOKUP(O98,Auswahllisten!$E$25:$F$29,2,FALSE)))</f>
        <v>0</v>
      </c>
      <c r="R98" s="26">
        <f t="shared" ca="1" si="138"/>
        <v>0</v>
      </c>
      <c r="S98" s="26" cm="1">
        <f t="array" aca="1" ref="S98" ca="1">INDIRECT("Investition_gewählt!"&amp;$AA$6&amp;AA98)</f>
        <v>0</v>
      </c>
      <c r="T98" s="16" cm="1">
        <f t="array" aca="1" ref="T98" ca="1">IF($U$5=0,0,INDEX(Faktoren!E84:QG84,1,VLOOKUP($X$6,$L$3:$O$14,4,FALSE)+$U$9*5+VLOOKUP(O98,Auswahllisten!$E$25:$F$29,2,FALSE)))</f>
        <v>0</v>
      </c>
      <c r="U98" s="26">
        <f t="shared" ca="1" si="139"/>
        <v>0</v>
      </c>
      <c r="V98" s="26">
        <f t="shared" ca="1" si="115"/>
        <v>0</v>
      </c>
      <c r="W98" s="16" t="b">
        <f t="shared" ca="1" si="140"/>
        <v>0</v>
      </c>
      <c r="X98" s="26">
        <f t="shared" ca="1" si="141"/>
        <v>0</v>
      </c>
      <c r="Z98" s="1">
        <v>40</v>
      </c>
      <c r="AA98" s="1">
        <v>84</v>
      </c>
      <c r="AB98" s="1">
        <v>-2</v>
      </c>
      <c r="AN98" s="1">
        <v>73</v>
      </c>
      <c r="AO98" s="1">
        <f t="shared" si="142"/>
        <v>0</v>
      </c>
      <c r="AP98" s="69">
        <f t="shared" ca="1" si="143"/>
        <v>0</v>
      </c>
      <c r="AQ98" s="69">
        <f t="shared" ca="1" si="143"/>
        <v>0</v>
      </c>
      <c r="AR98" s="69">
        <f t="shared" si="143"/>
        <v>0</v>
      </c>
      <c r="AS98" s="69">
        <f t="shared" ca="1" si="143"/>
        <v>0</v>
      </c>
      <c r="AT98" s="69">
        <f t="shared" ca="1" si="143"/>
        <v>0</v>
      </c>
      <c r="AU98" s="69">
        <f t="shared" ca="1" si="143"/>
        <v>0</v>
      </c>
      <c r="AV98" s="69">
        <f t="shared" si="143"/>
        <v>0</v>
      </c>
      <c r="AW98" s="69">
        <f t="shared" ca="1" si="144"/>
        <v>0</v>
      </c>
      <c r="AX98" s="69">
        <f t="shared" ca="1" si="145"/>
        <v>0</v>
      </c>
      <c r="AY98" s="69">
        <f t="shared" ca="1" si="146"/>
        <v>0</v>
      </c>
      <c r="AZ98" s="69">
        <f ca="1">$AO98*IF(Auswahllisten!$G$150,AZ$25+AZ$25*AZ$13*$AN98,AZ$25*(1+AZ$13)^$AN98)</f>
        <v>0</v>
      </c>
      <c r="BA98" s="69">
        <f ca="1">$AO98*IF(Auswahllisten!$G$150,BA$25+BA$25*BA$13*$AN98,BA$25*(1+BA$13)^$AN98)</f>
        <v>0</v>
      </c>
      <c r="BB98" s="69">
        <f ca="1">$AO98*IF(Auswahllisten!$G$150,BB$25+BB$25*BB$13*$AN98,BB$25*(1+BB$13)^$AN98)</f>
        <v>0</v>
      </c>
      <c r="BC98" s="69">
        <f ca="1">$AO98*IF(Auswahllisten!$G$150,BC$25+BC$25*BC$13*$AN98,BC$25*(1+BC$13)^$AN98)</f>
        <v>0</v>
      </c>
      <c r="BD98" s="69">
        <f t="shared" ca="1" si="122"/>
        <v>0</v>
      </c>
      <c r="BE98" s="69">
        <f t="shared" ca="1" si="147"/>
        <v>0</v>
      </c>
      <c r="BF98" s="69">
        <f t="shared" ca="1" si="148"/>
        <v>0</v>
      </c>
      <c r="BG98" s="69">
        <f t="shared" ca="1" si="125"/>
        <v>0</v>
      </c>
      <c r="BI98" s="69">
        <f t="shared" ca="1" si="149"/>
        <v>0</v>
      </c>
      <c r="BJ98" s="69">
        <f t="shared" ca="1" si="149"/>
        <v>0</v>
      </c>
      <c r="BK98" s="69">
        <f t="shared" si="149"/>
        <v>0</v>
      </c>
      <c r="BL98" s="69">
        <f t="shared" ca="1" si="149"/>
        <v>0</v>
      </c>
      <c r="BM98" s="69">
        <f t="shared" ca="1" si="149"/>
        <v>0</v>
      </c>
      <c r="BN98" s="69">
        <f t="shared" ca="1" si="149"/>
        <v>0</v>
      </c>
      <c r="BO98" s="69">
        <f t="shared" si="149"/>
        <v>0</v>
      </c>
      <c r="BP98" s="69">
        <f t="shared" ca="1" si="150"/>
        <v>0</v>
      </c>
      <c r="BQ98" s="69">
        <f t="shared" ca="1" si="151"/>
        <v>0</v>
      </c>
      <c r="BR98" s="69">
        <f t="shared" ca="1" si="152"/>
        <v>0</v>
      </c>
      <c r="BS98" s="69">
        <f ca="1">$AO98*IF(Auswahllisten!$G$150,BS$25+BS$25*BS$13*$AN98,BS$25*(1+BS$13)^$AN98)</f>
        <v>0</v>
      </c>
      <c r="BT98" s="69">
        <f ca="1">$AO98*IF(Auswahllisten!$G$150,BT$25+BT$25*BT$13*$AN98,BT$25*(1+BT$13)^$AN98)</f>
        <v>0</v>
      </c>
      <c r="BU98" s="69">
        <f ca="1">$AO98*IF(Auswahllisten!$G$150,BU$25+BU$25*BU$13*$AN98,BU$25*(1+BU$13)^$AN98)</f>
        <v>0</v>
      </c>
      <c r="BV98" s="69">
        <f ca="1">$AO98*IF(Auswahllisten!$G$150,BV$25+BV$25*BV$13*$AN98,BV$25*(1+BV$13)^$AN98)</f>
        <v>0</v>
      </c>
      <c r="BW98" s="69">
        <f t="shared" ca="1" si="127"/>
        <v>0</v>
      </c>
      <c r="BX98" s="69">
        <f t="shared" ca="1" si="153"/>
        <v>0</v>
      </c>
      <c r="BY98" s="69">
        <f t="shared" ca="1" si="154"/>
        <v>0</v>
      </c>
      <c r="BZ98" s="69">
        <f t="shared" ca="1" si="118"/>
        <v>0</v>
      </c>
    </row>
    <row r="99" spans="1:78">
      <c r="A99" s="305" t="s">
        <v>1215</v>
      </c>
      <c r="B99" s="126" t="s">
        <v>303</v>
      </c>
      <c r="C99" s="126" t="s">
        <v>965</v>
      </c>
      <c r="D99" s="26" t="str" cm="1">
        <f t="array" aca="1" ref="D99" ca="1">INDIRECT("Vergleich!"&amp;$G$2&amp;Z99)</f>
        <v>mittel</v>
      </c>
      <c r="E99" s="26" cm="1">
        <f t="array" aca="1" ref="E99" ca="1">INDIRECT("Investition_gewählt!"&amp;$I$5&amp;AA99)</f>
        <v>0</v>
      </c>
      <c r="F99" s="25" cm="1">
        <f t="array" aca="1" ref="F99" ca="1">IF($C$5=0,0,INDEX(Faktoren!E85:GQ85,1,VLOOKUP($F$5,$L$2:$O$14,4,FALSE)+$C$9*5+VLOOKUP(D99,Auswahllisten!$E$25:$F$29,2,FALSE)))</f>
        <v>0</v>
      </c>
      <c r="G99" s="162">
        <f t="shared" ca="1" si="155"/>
        <v>0</v>
      </c>
      <c r="H99" s="26" cm="1">
        <f t="array" aca="1" ref="H99" ca="1">INDIRECT("Investition_gewählt!"&amp;$I$6&amp;AA99)</f>
        <v>0</v>
      </c>
      <c r="I99" s="25" cm="1">
        <f t="array" aca="1" ref="I99" ca="1">IF($C$5=0,0,INDEX(Faktoren!E85:GQ85,1,VLOOKUP($F$6,$L$2:$O$14,4,FALSE)+$C$9*5+VLOOKUP(D99,Auswahllisten!$E$25:$F$29,2,FALSE)))</f>
        <v>0</v>
      </c>
      <c r="J99" s="162">
        <f t="shared" ca="1" si="156"/>
        <v>0</v>
      </c>
      <c r="K99" s="26">
        <f t="shared" ca="1" si="136"/>
        <v>0</v>
      </c>
      <c r="L99" s="25" t="b">
        <f t="shared" ca="1" si="157"/>
        <v>0</v>
      </c>
      <c r="M99" s="26">
        <f t="shared" ca="1" si="137"/>
        <v>0</v>
      </c>
      <c r="O99" s="16" t="str" cm="1">
        <f t="array" aca="1" ref="O99" ca="1">INDIRECT("Vergleich!"&amp;$Y$2&amp;Z99)</f>
        <v>gering</v>
      </c>
      <c r="P99" s="26" cm="1">
        <f t="array" aca="1" ref="P99" ca="1">INDIRECT("Investition_gewählt!"&amp;$AA$5&amp;AA99)</f>
        <v>0</v>
      </c>
      <c r="Q99" s="16" cm="1">
        <f t="array" aca="1" ref="Q99" ca="1">IF($U$5=0,0,INDEX(Faktoren!E85:GQ85,1,VLOOKUP($X$5,$L$2:$O$14,4,FALSE)+$U$9*5+VLOOKUP(O99,Auswahllisten!$E$25:$F$29,2,FALSE)))</f>
        <v>0</v>
      </c>
      <c r="R99" s="26">
        <f t="shared" ca="1" si="138"/>
        <v>0</v>
      </c>
      <c r="S99" s="26" cm="1">
        <f t="array" aca="1" ref="S99" ca="1">INDIRECT("Investition_gewählt!"&amp;$AA$6&amp;AA99)</f>
        <v>0</v>
      </c>
      <c r="T99" s="16" cm="1">
        <f t="array" aca="1" ref="T99" ca="1">IF($U$5=0,0,INDEX(Faktoren!E85:QG85,1,VLOOKUP($X$6,$L$3:$O$14,4,FALSE)+$U$9*5+VLOOKUP(O99,Auswahllisten!$E$25:$F$29,2,FALSE)))</f>
        <v>0</v>
      </c>
      <c r="U99" s="26">
        <f t="shared" ca="1" si="139"/>
        <v>0</v>
      </c>
      <c r="V99" s="26">
        <f t="shared" ca="1" si="115"/>
        <v>0</v>
      </c>
      <c r="W99" s="16" t="b">
        <f t="shared" ca="1" si="140"/>
        <v>0</v>
      </c>
      <c r="X99" s="26">
        <f t="shared" ca="1" si="141"/>
        <v>0</v>
      </c>
      <c r="Z99" s="1">
        <v>42</v>
      </c>
      <c r="AA99" s="1">
        <v>85</v>
      </c>
      <c r="AB99" s="1">
        <v>-2</v>
      </c>
      <c r="AN99" s="1">
        <v>74</v>
      </c>
      <c r="AO99" s="1">
        <f t="shared" si="142"/>
        <v>0</v>
      </c>
      <c r="AP99" s="69">
        <f t="shared" ca="1" si="143"/>
        <v>0</v>
      </c>
      <c r="AQ99" s="69">
        <f t="shared" ca="1" si="143"/>
        <v>0</v>
      </c>
      <c r="AR99" s="69">
        <f t="shared" si="143"/>
        <v>0</v>
      </c>
      <c r="AS99" s="69">
        <f t="shared" ca="1" si="143"/>
        <v>0</v>
      </c>
      <c r="AT99" s="69">
        <f t="shared" ca="1" si="143"/>
        <v>0</v>
      </c>
      <c r="AU99" s="69">
        <f t="shared" ca="1" si="143"/>
        <v>0</v>
      </c>
      <c r="AV99" s="69">
        <f t="shared" si="143"/>
        <v>0</v>
      </c>
      <c r="AW99" s="69">
        <f t="shared" ca="1" si="144"/>
        <v>0</v>
      </c>
      <c r="AX99" s="69">
        <f t="shared" ca="1" si="145"/>
        <v>0</v>
      </c>
      <c r="AY99" s="69">
        <f t="shared" ca="1" si="146"/>
        <v>0</v>
      </c>
      <c r="AZ99" s="69">
        <f ca="1">$AO99*IF(Auswahllisten!$G$150,AZ$25+AZ$25*AZ$13*$AN99,AZ$25*(1+AZ$13)^$AN99)</f>
        <v>0</v>
      </c>
      <c r="BA99" s="69">
        <f ca="1">$AO99*IF(Auswahllisten!$G$150,BA$25+BA$25*BA$13*$AN99,BA$25*(1+BA$13)^$AN99)</f>
        <v>0</v>
      </c>
      <c r="BB99" s="69">
        <f ca="1">$AO99*IF(Auswahllisten!$G$150,BB$25+BB$25*BB$13*$AN99,BB$25*(1+BB$13)^$AN99)</f>
        <v>0</v>
      </c>
      <c r="BC99" s="69">
        <f ca="1">$AO99*IF(Auswahllisten!$G$150,BC$25+BC$25*BC$13*$AN99,BC$25*(1+BC$13)^$AN99)</f>
        <v>0</v>
      </c>
      <c r="BD99" s="69">
        <f t="shared" ca="1" si="122"/>
        <v>0</v>
      </c>
      <c r="BE99" s="69">
        <f t="shared" ca="1" si="147"/>
        <v>0</v>
      </c>
      <c r="BF99" s="69">
        <f t="shared" ca="1" si="148"/>
        <v>0</v>
      </c>
      <c r="BG99" s="69">
        <f t="shared" ca="1" si="125"/>
        <v>0</v>
      </c>
      <c r="BI99" s="69">
        <f t="shared" ca="1" si="149"/>
        <v>0</v>
      </c>
      <c r="BJ99" s="69">
        <f t="shared" ca="1" si="149"/>
        <v>0</v>
      </c>
      <c r="BK99" s="69">
        <f t="shared" si="149"/>
        <v>0</v>
      </c>
      <c r="BL99" s="69">
        <f t="shared" ca="1" si="149"/>
        <v>0</v>
      </c>
      <c r="BM99" s="69">
        <f t="shared" ca="1" si="149"/>
        <v>0</v>
      </c>
      <c r="BN99" s="69">
        <f t="shared" ca="1" si="149"/>
        <v>0</v>
      </c>
      <c r="BO99" s="69">
        <f t="shared" si="149"/>
        <v>0</v>
      </c>
      <c r="BP99" s="69">
        <f t="shared" ca="1" si="150"/>
        <v>0</v>
      </c>
      <c r="BQ99" s="69">
        <f t="shared" ca="1" si="151"/>
        <v>0</v>
      </c>
      <c r="BR99" s="69">
        <f t="shared" ca="1" si="152"/>
        <v>0</v>
      </c>
      <c r="BS99" s="69">
        <f ca="1">$AO99*IF(Auswahllisten!$G$150,BS$25+BS$25*BS$13*$AN99,BS$25*(1+BS$13)^$AN99)</f>
        <v>0</v>
      </c>
      <c r="BT99" s="69">
        <f ca="1">$AO99*IF(Auswahllisten!$G$150,BT$25+BT$25*BT$13*$AN99,BT$25*(1+BT$13)^$AN99)</f>
        <v>0</v>
      </c>
      <c r="BU99" s="69">
        <f ca="1">$AO99*IF(Auswahllisten!$G$150,BU$25+BU$25*BU$13*$AN99,BU$25*(1+BU$13)^$AN99)</f>
        <v>0</v>
      </c>
      <c r="BV99" s="69">
        <f ca="1">$AO99*IF(Auswahllisten!$G$150,BV$25+BV$25*BV$13*$AN99,BV$25*(1+BV$13)^$AN99)</f>
        <v>0</v>
      </c>
      <c r="BW99" s="69">
        <f t="shared" ca="1" si="127"/>
        <v>0</v>
      </c>
      <c r="BX99" s="69">
        <f t="shared" ca="1" si="153"/>
        <v>0</v>
      </c>
      <c r="BY99" s="69">
        <f t="shared" ca="1" si="154"/>
        <v>0</v>
      </c>
      <c r="BZ99" s="69">
        <f t="shared" ca="1" si="118"/>
        <v>0</v>
      </c>
    </row>
    <row r="100" spans="1:78">
      <c r="A100" s="305" t="s">
        <v>1218</v>
      </c>
      <c r="B100" s="126" t="s">
        <v>1243</v>
      </c>
      <c r="C100" s="185" t="s">
        <v>231</v>
      </c>
      <c r="D100" s="26" t="str" cm="1">
        <f t="array" aca="1" ref="D100" ca="1">INDIRECT("Vergleich!"&amp;$G$2&amp;Z100)</f>
        <v>mittel</v>
      </c>
      <c r="E100" s="26" cm="1">
        <f t="array" aca="1" ref="E100" ca="1">INDIRECT("Investition_gewählt!"&amp;$I$5&amp;AA100)</f>
        <v>0</v>
      </c>
      <c r="F100" s="25" cm="1">
        <f t="array" aca="1" ref="F100" ca="1">IF($C$5=0,0,INDEX(Faktoren!E86:GQ86,1,VLOOKUP($F$5,$L$2:$O$14,4,FALSE)+$C$9*5+VLOOKUP(D100,Auswahllisten!$E$25:$F$29,2,FALSE)))</f>
        <v>0</v>
      </c>
      <c r="G100" s="162">
        <f t="shared" ca="1" si="155"/>
        <v>0</v>
      </c>
      <c r="H100" s="26" cm="1">
        <f t="array" aca="1" ref="H100" ca="1">INDIRECT("Investition_gewählt!"&amp;$I$6&amp;AA100)</f>
        <v>0</v>
      </c>
      <c r="I100" s="25" cm="1">
        <f t="array" aca="1" ref="I100" ca="1">IF($C$5=0,0,INDEX(Faktoren!E86:GQ86,1,VLOOKUP($F$6,$L$2:$O$14,4,FALSE)+$C$9*5+VLOOKUP(D100,Auswahllisten!$E$25:$F$29,2,FALSE)))</f>
        <v>0</v>
      </c>
      <c r="J100" s="162">
        <f t="shared" ca="1" si="156"/>
        <v>0</v>
      </c>
      <c r="K100" s="26">
        <f t="shared" ca="1" si="136"/>
        <v>0</v>
      </c>
      <c r="L100" s="25" t="b">
        <f t="shared" ca="1" si="157"/>
        <v>0</v>
      </c>
      <c r="M100" s="26">
        <f t="shared" ca="1" si="137"/>
        <v>0</v>
      </c>
      <c r="O100" s="16" t="str" cm="1">
        <f t="array" aca="1" ref="O100" ca="1">INDIRECT("Vergleich!"&amp;$Y$2&amp;Z100)</f>
        <v>gering</v>
      </c>
      <c r="P100" s="26" cm="1">
        <f t="array" aca="1" ref="P100" ca="1">INDIRECT("Investition_gewählt!"&amp;$AA$5&amp;AA100)</f>
        <v>0</v>
      </c>
      <c r="Q100" s="16" cm="1">
        <f t="array" aca="1" ref="Q100" ca="1">IF($U$5=0,0,INDEX(Faktoren!E86:GQ86,1,VLOOKUP($X$5,$L$2:$O$14,4,FALSE)+$U$9*5+VLOOKUP(O100,Auswahllisten!$E$25:$F$29,2,FALSE)))</f>
        <v>0</v>
      </c>
      <c r="R100" s="26">
        <f t="shared" ca="1" si="138"/>
        <v>0</v>
      </c>
      <c r="S100" s="26" cm="1">
        <f t="array" aca="1" ref="S100" ca="1">INDIRECT("Investition_gewählt!"&amp;$AA$6&amp;AA100)</f>
        <v>0</v>
      </c>
      <c r="T100" s="16" cm="1">
        <f t="array" aca="1" ref="T100" ca="1">IF($U$5=0,0,INDEX(Faktoren!E86:QG86,1,VLOOKUP($X$6,$L$3:$O$14,4,FALSE)+$U$9*5+VLOOKUP(O100,Auswahllisten!$E$25:$F$29,2,FALSE)))</f>
        <v>0</v>
      </c>
      <c r="U100" s="26">
        <f t="shared" ca="1" si="139"/>
        <v>0</v>
      </c>
      <c r="V100" s="26">
        <f t="shared" ca="1" si="115"/>
        <v>0</v>
      </c>
      <c r="W100" s="16" t="b">
        <f t="shared" ca="1" si="140"/>
        <v>0</v>
      </c>
      <c r="X100" s="26">
        <f t="shared" ca="1" si="141"/>
        <v>0</v>
      </c>
      <c r="Z100" s="1">
        <v>41</v>
      </c>
      <c r="AA100" s="1">
        <v>86</v>
      </c>
      <c r="AB100" s="1">
        <v>-2</v>
      </c>
      <c r="AN100" s="1">
        <v>75</v>
      </c>
      <c r="AO100" s="1">
        <f t="shared" si="142"/>
        <v>0</v>
      </c>
      <c r="AP100" s="69">
        <f t="shared" ca="1" si="143"/>
        <v>0</v>
      </c>
      <c r="AQ100" s="69">
        <f t="shared" ca="1" si="143"/>
        <v>0</v>
      </c>
      <c r="AR100" s="69">
        <f t="shared" si="143"/>
        <v>0</v>
      </c>
      <c r="AS100" s="69">
        <f t="shared" ca="1" si="143"/>
        <v>0</v>
      </c>
      <c r="AT100" s="69">
        <f t="shared" ca="1" si="143"/>
        <v>0</v>
      </c>
      <c r="AU100" s="69">
        <f t="shared" ca="1" si="143"/>
        <v>0</v>
      </c>
      <c r="AV100" s="69">
        <f t="shared" si="143"/>
        <v>0</v>
      </c>
      <c r="AW100" s="69">
        <f t="shared" ca="1" si="144"/>
        <v>0</v>
      </c>
      <c r="AX100" s="69">
        <f t="shared" ca="1" si="145"/>
        <v>0</v>
      </c>
      <c r="AY100" s="69">
        <f t="shared" ca="1" si="146"/>
        <v>0</v>
      </c>
      <c r="AZ100" s="69">
        <f ca="1">$AO100*IF(Auswahllisten!$G$150,AZ$25+AZ$25*AZ$13*$AN100,AZ$25*(1+AZ$13)^$AN100)</f>
        <v>0</v>
      </c>
      <c r="BA100" s="69">
        <f ca="1">$AO100*IF(Auswahllisten!$G$150,BA$25+BA$25*BA$13*$AN100,BA$25*(1+BA$13)^$AN100)</f>
        <v>0</v>
      </c>
      <c r="BB100" s="69">
        <f ca="1">$AO100*IF(Auswahllisten!$G$150,BB$25+BB$25*BB$13*$AN100,BB$25*(1+BB$13)^$AN100)</f>
        <v>0</v>
      </c>
      <c r="BC100" s="69">
        <f ca="1">$AO100*IF(Auswahllisten!$G$150,BC$25+BC$25*BC$13*$AN100,BC$25*(1+BC$13)^$AN100)</f>
        <v>0</v>
      </c>
      <c r="BD100" s="69">
        <f t="shared" ca="1" si="122"/>
        <v>0</v>
      </c>
      <c r="BE100" s="69">
        <f t="shared" ca="1" si="147"/>
        <v>0</v>
      </c>
      <c r="BF100" s="69">
        <f t="shared" ca="1" si="148"/>
        <v>0</v>
      </c>
      <c r="BG100" s="69">
        <f t="shared" ca="1" si="125"/>
        <v>0</v>
      </c>
      <c r="BI100" s="69">
        <f t="shared" ca="1" si="149"/>
        <v>0</v>
      </c>
      <c r="BJ100" s="69">
        <f t="shared" ca="1" si="149"/>
        <v>0</v>
      </c>
      <c r="BK100" s="69">
        <f t="shared" si="149"/>
        <v>0</v>
      </c>
      <c r="BL100" s="69">
        <f t="shared" ca="1" si="149"/>
        <v>0</v>
      </c>
      <c r="BM100" s="69">
        <f t="shared" ca="1" si="149"/>
        <v>0</v>
      </c>
      <c r="BN100" s="69">
        <f t="shared" ca="1" si="149"/>
        <v>0</v>
      </c>
      <c r="BO100" s="69">
        <f t="shared" si="149"/>
        <v>0</v>
      </c>
      <c r="BP100" s="69">
        <f t="shared" ca="1" si="150"/>
        <v>0</v>
      </c>
      <c r="BQ100" s="69">
        <f t="shared" ca="1" si="151"/>
        <v>0</v>
      </c>
      <c r="BR100" s="69">
        <f t="shared" ca="1" si="152"/>
        <v>0</v>
      </c>
      <c r="BS100" s="69">
        <f ca="1">$AO100*IF(Auswahllisten!$G$150,BS$25+BS$25*BS$13*$AN100,BS$25*(1+BS$13)^$AN100)</f>
        <v>0</v>
      </c>
      <c r="BT100" s="69">
        <f ca="1">$AO100*IF(Auswahllisten!$G$150,BT$25+BT$25*BT$13*$AN100,BT$25*(1+BT$13)^$AN100)</f>
        <v>0</v>
      </c>
      <c r="BU100" s="69">
        <f ca="1">$AO100*IF(Auswahllisten!$G$150,BU$25+BU$25*BU$13*$AN100,BU$25*(1+BU$13)^$AN100)</f>
        <v>0</v>
      </c>
      <c r="BV100" s="69">
        <f ca="1">$AO100*IF(Auswahllisten!$G$150,BV$25+BV$25*BV$13*$AN100,BV$25*(1+BV$13)^$AN100)</f>
        <v>0</v>
      </c>
      <c r="BW100" s="69">
        <f t="shared" ca="1" si="127"/>
        <v>0</v>
      </c>
      <c r="BX100" s="69">
        <f t="shared" ca="1" si="153"/>
        <v>0</v>
      </c>
      <c r="BY100" s="69">
        <f t="shared" ca="1" si="154"/>
        <v>0</v>
      </c>
      <c r="BZ100" s="69">
        <f t="shared" ca="1" si="118"/>
        <v>0</v>
      </c>
    </row>
    <row r="101" spans="1:78">
      <c r="A101" s="305" t="s">
        <v>1215</v>
      </c>
      <c r="B101" s="126" t="s">
        <v>303</v>
      </c>
      <c r="C101" s="126" t="s">
        <v>966</v>
      </c>
      <c r="D101" s="26" t="str" cm="1">
        <f t="array" aca="1" ref="D101" ca="1">INDIRECT("Vergleich!"&amp;$G$2&amp;Z101)</f>
        <v>mittel</v>
      </c>
      <c r="E101" s="26" cm="1">
        <f t="array" aca="1" ref="E101" ca="1">INDIRECT("Investition_gewählt!"&amp;$I$5&amp;AA101)</f>
        <v>0</v>
      </c>
      <c r="F101" s="25" cm="1">
        <f t="array" aca="1" ref="F101" ca="1">IF($C$5=0,0,INDEX(Faktoren!E87:GQ87,1,VLOOKUP($F$5,$L$2:$O$14,4,FALSE)+$C$9*5+VLOOKUP(D101,Auswahllisten!$E$25:$F$29,2,FALSE)))</f>
        <v>0</v>
      </c>
      <c r="G101" s="162">
        <f t="shared" ca="1" si="155"/>
        <v>0</v>
      </c>
      <c r="H101" s="26" cm="1">
        <f t="array" aca="1" ref="H101" ca="1">INDIRECT("Investition_gewählt!"&amp;$I$6&amp;AA101)</f>
        <v>0</v>
      </c>
      <c r="I101" s="25" cm="1">
        <f t="array" aca="1" ref="I101" ca="1">IF($C$5=0,0,INDEX(Faktoren!E87:GQ87,1,VLOOKUP($F$6,$L$2:$O$14,4,FALSE)+$C$9*5+VLOOKUP(D101,Auswahllisten!$E$25:$F$29,2,FALSE)))</f>
        <v>0</v>
      </c>
      <c r="J101" s="162">
        <f t="shared" ca="1" si="156"/>
        <v>0</v>
      </c>
      <c r="K101" s="26">
        <f t="shared" ca="1" si="136"/>
        <v>0</v>
      </c>
      <c r="L101" s="25" t="b">
        <f t="shared" ca="1" si="157"/>
        <v>0</v>
      </c>
      <c r="M101" s="26">
        <f t="shared" ca="1" si="137"/>
        <v>0</v>
      </c>
      <c r="O101" s="16" t="str" cm="1">
        <f t="array" aca="1" ref="O101" ca="1">INDIRECT("Vergleich!"&amp;$Y$2&amp;Z101)</f>
        <v>gering</v>
      </c>
      <c r="P101" s="26" cm="1">
        <f t="array" aca="1" ref="P101" ca="1">INDIRECT("Investition_gewählt!"&amp;$AA$5&amp;AA101)</f>
        <v>0</v>
      </c>
      <c r="Q101" s="16" cm="1">
        <f t="array" aca="1" ref="Q101" ca="1">IF($U$5=0,0,INDEX(Faktoren!E87:GQ87,1,VLOOKUP($X$5,$L$2:$O$14,4,FALSE)+$U$9*5+VLOOKUP(O101,Auswahllisten!$E$25:$F$29,2,FALSE)))</f>
        <v>0</v>
      </c>
      <c r="R101" s="26">
        <f t="shared" ca="1" si="138"/>
        <v>0</v>
      </c>
      <c r="S101" s="26" cm="1">
        <f t="array" aca="1" ref="S101" ca="1">INDIRECT("Investition_gewählt!"&amp;$AA$6&amp;AA101)</f>
        <v>0</v>
      </c>
      <c r="T101" s="16" cm="1">
        <f t="array" aca="1" ref="T101" ca="1">IF($U$5=0,0,INDEX(Faktoren!E87:QG87,1,VLOOKUP($X$6,$L$3:$O$14,4,FALSE)+$U$9*5+VLOOKUP(O101,Auswahllisten!$E$25:$F$29,2,FALSE)))</f>
        <v>0</v>
      </c>
      <c r="U101" s="26">
        <f t="shared" ca="1" si="139"/>
        <v>0</v>
      </c>
      <c r="V101" s="26">
        <f t="shared" ca="1" si="115"/>
        <v>0</v>
      </c>
      <c r="W101" s="16" t="b">
        <f t="shared" ca="1" si="140"/>
        <v>0</v>
      </c>
      <c r="X101" s="26">
        <f t="shared" ca="1" si="141"/>
        <v>0</v>
      </c>
      <c r="Z101" s="1">
        <v>47</v>
      </c>
      <c r="AA101" s="1">
        <v>87</v>
      </c>
      <c r="AB101" s="1">
        <v>-2</v>
      </c>
      <c r="AN101" s="1">
        <v>76</v>
      </c>
      <c r="AO101" s="1">
        <f t="shared" si="142"/>
        <v>0</v>
      </c>
      <c r="AP101" s="69">
        <f t="shared" ca="1" si="143"/>
        <v>0</v>
      </c>
      <c r="AQ101" s="69">
        <f t="shared" ca="1" si="143"/>
        <v>0</v>
      </c>
      <c r="AR101" s="69">
        <f t="shared" si="143"/>
        <v>0</v>
      </c>
      <c r="AS101" s="69">
        <f t="shared" ca="1" si="143"/>
        <v>0</v>
      </c>
      <c r="AT101" s="69">
        <f t="shared" ca="1" si="143"/>
        <v>0</v>
      </c>
      <c r="AU101" s="69">
        <f t="shared" ca="1" si="143"/>
        <v>0</v>
      </c>
      <c r="AV101" s="69">
        <f t="shared" si="143"/>
        <v>0</v>
      </c>
      <c r="AW101" s="69">
        <f t="shared" ca="1" si="144"/>
        <v>0</v>
      </c>
      <c r="AX101" s="69">
        <f t="shared" ca="1" si="145"/>
        <v>0</v>
      </c>
      <c r="AY101" s="69">
        <f t="shared" ca="1" si="146"/>
        <v>0</v>
      </c>
      <c r="AZ101" s="69">
        <f ca="1">$AO101*IF(Auswahllisten!$G$150,AZ$25+AZ$25*AZ$13*$AN101,AZ$25*(1+AZ$13)^$AN101)</f>
        <v>0</v>
      </c>
      <c r="BA101" s="69">
        <f ca="1">$AO101*IF(Auswahllisten!$G$150,BA$25+BA$25*BA$13*$AN101,BA$25*(1+BA$13)^$AN101)</f>
        <v>0</v>
      </c>
      <c r="BB101" s="69">
        <f ca="1">$AO101*IF(Auswahllisten!$G$150,BB$25+BB$25*BB$13*$AN101,BB$25*(1+BB$13)^$AN101)</f>
        <v>0</v>
      </c>
      <c r="BC101" s="69">
        <f ca="1">$AO101*IF(Auswahllisten!$G$150,BC$25+BC$25*BC$13*$AN101,BC$25*(1+BC$13)^$AN101)</f>
        <v>0</v>
      </c>
      <c r="BD101" s="69">
        <f t="shared" ca="1" si="122"/>
        <v>0</v>
      </c>
      <c r="BE101" s="69">
        <f t="shared" ca="1" si="147"/>
        <v>0</v>
      </c>
      <c r="BF101" s="69">
        <f t="shared" ca="1" si="148"/>
        <v>0</v>
      </c>
      <c r="BG101" s="69">
        <f t="shared" ca="1" si="125"/>
        <v>0</v>
      </c>
      <c r="BI101" s="69">
        <f t="shared" ca="1" si="149"/>
        <v>0</v>
      </c>
      <c r="BJ101" s="69">
        <f t="shared" ca="1" si="149"/>
        <v>0</v>
      </c>
      <c r="BK101" s="69">
        <f t="shared" si="149"/>
        <v>0</v>
      </c>
      <c r="BL101" s="69">
        <f t="shared" ca="1" si="149"/>
        <v>0</v>
      </c>
      <c r="BM101" s="69">
        <f t="shared" ca="1" si="149"/>
        <v>0</v>
      </c>
      <c r="BN101" s="69">
        <f t="shared" ca="1" si="149"/>
        <v>0</v>
      </c>
      <c r="BO101" s="69">
        <f t="shared" si="149"/>
        <v>0</v>
      </c>
      <c r="BP101" s="69">
        <f t="shared" ca="1" si="150"/>
        <v>0</v>
      </c>
      <c r="BQ101" s="69">
        <f t="shared" ca="1" si="151"/>
        <v>0</v>
      </c>
      <c r="BR101" s="69">
        <f t="shared" ca="1" si="152"/>
        <v>0</v>
      </c>
      <c r="BS101" s="69">
        <f ca="1">$AO101*IF(Auswahllisten!$G$150,BS$25+BS$25*BS$13*$AN101,BS$25*(1+BS$13)^$AN101)</f>
        <v>0</v>
      </c>
      <c r="BT101" s="69">
        <f ca="1">$AO101*IF(Auswahllisten!$G$150,BT$25+BT$25*BT$13*$AN101,BT$25*(1+BT$13)^$AN101)</f>
        <v>0</v>
      </c>
      <c r="BU101" s="69">
        <f ca="1">$AO101*IF(Auswahllisten!$G$150,BU$25+BU$25*BU$13*$AN101,BU$25*(1+BU$13)^$AN101)</f>
        <v>0</v>
      </c>
      <c r="BV101" s="69">
        <f ca="1">$AO101*IF(Auswahllisten!$G$150,BV$25+BV$25*BV$13*$AN101,BV$25*(1+BV$13)^$AN101)</f>
        <v>0</v>
      </c>
      <c r="BW101" s="69">
        <f t="shared" ca="1" si="127"/>
        <v>0</v>
      </c>
      <c r="BX101" s="69">
        <f t="shared" ca="1" si="153"/>
        <v>0</v>
      </c>
      <c r="BY101" s="69">
        <f t="shared" ca="1" si="154"/>
        <v>0</v>
      </c>
      <c r="BZ101" s="69">
        <f t="shared" ca="1" si="118"/>
        <v>0</v>
      </c>
    </row>
    <row r="102" spans="1:78">
      <c r="A102" s="305" t="s">
        <v>1244</v>
      </c>
      <c r="B102" s="126" t="s">
        <v>1245</v>
      </c>
      <c r="C102" s="134" t="s">
        <v>1341</v>
      </c>
      <c r="D102" s="26" t="str" cm="1">
        <f t="array" aca="1" ref="D102" ca="1">INDIRECT("Vergleich!"&amp;$G$2&amp;Z102)</f>
        <v>mittel</v>
      </c>
      <c r="E102" s="26" cm="1">
        <f t="array" aca="1" ref="E102" ca="1">INDIRECT("Investition_gewählt!"&amp;$I$5&amp;AA102)</f>
        <v>0</v>
      </c>
      <c r="F102" s="25" cm="1">
        <f t="array" aca="1" ref="F102" ca="1">IF($C$5=0,0,INDEX(Faktoren!E88:GQ88,1,VLOOKUP($F$5,$L$2:$O$14,4,FALSE)+$C$9*5+VLOOKUP(D102,Auswahllisten!$E$25:$F$29,2,FALSE)))</f>
        <v>0</v>
      </c>
      <c r="G102" s="162">
        <f t="shared" ca="1" si="155"/>
        <v>0</v>
      </c>
      <c r="H102" s="26" cm="1">
        <f t="array" aca="1" ref="H102" ca="1">INDIRECT("Investition_gewählt!"&amp;$I$6&amp;AA102)</f>
        <v>0</v>
      </c>
      <c r="I102" s="25" cm="1">
        <f t="array" aca="1" ref="I102" ca="1">IF($C$5=0,0,INDEX(Faktoren!E88:GQ88,1,VLOOKUP($F$6,$L$2:$O$14,4,FALSE)+$C$9*5+VLOOKUP(D102,Auswahllisten!$E$25:$F$29,2,FALSE)))</f>
        <v>0</v>
      </c>
      <c r="J102" s="162">
        <f t="shared" ca="1" si="156"/>
        <v>0</v>
      </c>
      <c r="K102" s="26">
        <f t="shared" ca="1" si="136"/>
        <v>0</v>
      </c>
      <c r="L102" s="25" t="b">
        <f t="shared" ca="1" si="157"/>
        <v>0</v>
      </c>
      <c r="M102" s="26">
        <f t="shared" ca="1" si="137"/>
        <v>0</v>
      </c>
      <c r="O102" s="16" t="str" cm="1">
        <f t="array" aca="1" ref="O102" ca="1">INDIRECT("Vergleich!"&amp;$Y$2&amp;Z102)</f>
        <v>gering</v>
      </c>
      <c r="P102" s="26" cm="1">
        <f t="array" aca="1" ref="P102" ca="1">INDIRECT("Investition_gewählt!"&amp;$AA$5&amp;AA102)</f>
        <v>0</v>
      </c>
      <c r="Q102" s="16" cm="1">
        <f t="array" aca="1" ref="Q102" ca="1">IF($U$5=0,0,INDEX(Faktoren!E88:GQ88,1,VLOOKUP($X$5,$L$2:$O$14,4,FALSE)+$U$9*5+VLOOKUP(O102,Auswahllisten!$E$25:$F$29,2,FALSE)))</f>
        <v>0</v>
      </c>
      <c r="R102" s="26">
        <f t="shared" ca="1" si="138"/>
        <v>0</v>
      </c>
      <c r="S102" s="26" cm="1">
        <f t="array" aca="1" ref="S102" ca="1">INDIRECT("Investition_gewählt!"&amp;$AA$6&amp;AA102)</f>
        <v>0</v>
      </c>
      <c r="T102" s="16" cm="1">
        <f t="array" aca="1" ref="T102" ca="1">IF($U$5=0,0,INDEX(Faktoren!E88:QG88,1,VLOOKUP($X$6,$L$3:$O$14,4,FALSE)+$U$9*5+VLOOKUP(O102,Auswahllisten!$E$25:$F$29,2,FALSE)))</f>
        <v>0</v>
      </c>
      <c r="U102" s="26">
        <f t="shared" ca="1" si="139"/>
        <v>0</v>
      </c>
      <c r="V102" s="26">
        <f t="shared" ca="1" si="115"/>
        <v>0</v>
      </c>
      <c r="W102" s="16" t="b">
        <f t="shared" ca="1" si="140"/>
        <v>0</v>
      </c>
      <c r="X102" s="26">
        <f t="shared" ca="1" si="141"/>
        <v>0</v>
      </c>
      <c r="Z102" s="1">
        <v>49</v>
      </c>
      <c r="AA102" s="1">
        <v>88</v>
      </c>
      <c r="AB102" s="1">
        <v>-2</v>
      </c>
      <c r="AN102" s="1">
        <v>77</v>
      </c>
      <c r="AO102" s="1">
        <f t="shared" si="142"/>
        <v>0</v>
      </c>
      <c r="AP102" s="69">
        <f t="shared" ca="1" si="143"/>
        <v>0</v>
      </c>
      <c r="AQ102" s="69">
        <f t="shared" ca="1" si="143"/>
        <v>0</v>
      </c>
      <c r="AR102" s="69">
        <f t="shared" si="143"/>
        <v>0</v>
      </c>
      <c r="AS102" s="69">
        <f t="shared" ca="1" si="143"/>
        <v>0</v>
      </c>
      <c r="AT102" s="69">
        <f t="shared" ca="1" si="143"/>
        <v>0</v>
      </c>
      <c r="AU102" s="69">
        <f t="shared" ca="1" si="143"/>
        <v>0</v>
      </c>
      <c r="AV102" s="69">
        <f t="shared" si="143"/>
        <v>0</v>
      </c>
      <c r="AW102" s="69">
        <f t="shared" ca="1" si="144"/>
        <v>0</v>
      </c>
      <c r="AX102" s="69">
        <f t="shared" ca="1" si="145"/>
        <v>0</v>
      </c>
      <c r="AY102" s="69">
        <f t="shared" ca="1" si="146"/>
        <v>0</v>
      </c>
      <c r="AZ102" s="69">
        <f ca="1">$AO102*IF(Auswahllisten!$G$150,AZ$25+AZ$25*AZ$13*$AN102,AZ$25*(1+AZ$13)^$AN102)</f>
        <v>0</v>
      </c>
      <c r="BA102" s="69">
        <f ca="1">$AO102*IF(Auswahllisten!$G$150,BA$25+BA$25*BA$13*$AN102,BA$25*(1+BA$13)^$AN102)</f>
        <v>0</v>
      </c>
      <c r="BB102" s="69">
        <f ca="1">$AO102*IF(Auswahllisten!$G$150,BB$25+BB$25*BB$13*$AN102,BB$25*(1+BB$13)^$AN102)</f>
        <v>0</v>
      </c>
      <c r="BC102" s="69">
        <f ca="1">$AO102*IF(Auswahllisten!$G$150,BC$25+BC$25*BC$13*$AN102,BC$25*(1+BC$13)^$AN102)</f>
        <v>0</v>
      </c>
      <c r="BD102" s="69">
        <f t="shared" ca="1" si="122"/>
        <v>0</v>
      </c>
      <c r="BE102" s="69">
        <f t="shared" ca="1" si="147"/>
        <v>0</v>
      </c>
      <c r="BF102" s="69">
        <f t="shared" ca="1" si="148"/>
        <v>0</v>
      </c>
      <c r="BG102" s="69">
        <f t="shared" ca="1" si="125"/>
        <v>0</v>
      </c>
      <c r="BI102" s="69">
        <f t="shared" ca="1" si="149"/>
        <v>0</v>
      </c>
      <c r="BJ102" s="69">
        <f t="shared" ca="1" si="149"/>
        <v>0</v>
      </c>
      <c r="BK102" s="69">
        <f t="shared" si="149"/>
        <v>0</v>
      </c>
      <c r="BL102" s="69">
        <f t="shared" ca="1" si="149"/>
        <v>0</v>
      </c>
      <c r="BM102" s="69">
        <f t="shared" ca="1" si="149"/>
        <v>0</v>
      </c>
      <c r="BN102" s="69">
        <f t="shared" ca="1" si="149"/>
        <v>0</v>
      </c>
      <c r="BO102" s="69">
        <f t="shared" si="149"/>
        <v>0</v>
      </c>
      <c r="BP102" s="69">
        <f t="shared" ca="1" si="150"/>
        <v>0</v>
      </c>
      <c r="BQ102" s="69">
        <f t="shared" ca="1" si="151"/>
        <v>0</v>
      </c>
      <c r="BR102" s="69">
        <f t="shared" ca="1" si="152"/>
        <v>0</v>
      </c>
      <c r="BS102" s="69">
        <f ca="1">$AO102*IF(Auswahllisten!$G$150,BS$25+BS$25*BS$13*$AN102,BS$25*(1+BS$13)^$AN102)</f>
        <v>0</v>
      </c>
      <c r="BT102" s="69">
        <f ca="1">$AO102*IF(Auswahllisten!$G$150,BT$25+BT$25*BT$13*$AN102,BT$25*(1+BT$13)^$AN102)</f>
        <v>0</v>
      </c>
      <c r="BU102" s="69">
        <f ca="1">$AO102*IF(Auswahllisten!$G$150,BU$25+BU$25*BU$13*$AN102,BU$25*(1+BU$13)^$AN102)</f>
        <v>0</v>
      </c>
      <c r="BV102" s="69">
        <f ca="1">$AO102*IF(Auswahllisten!$G$150,BV$25+BV$25*BV$13*$AN102,BV$25*(1+BV$13)^$AN102)</f>
        <v>0</v>
      </c>
      <c r="BW102" s="69">
        <f t="shared" ca="1" si="127"/>
        <v>0</v>
      </c>
      <c r="BX102" s="69">
        <f t="shared" ca="1" si="153"/>
        <v>0</v>
      </c>
      <c r="BY102" s="69">
        <f t="shared" ca="1" si="154"/>
        <v>0</v>
      </c>
      <c r="BZ102" s="69">
        <f t="shared" ca="1" si="118"/>
        <v>0</v>
      </c>
    </row>
    <row r="103" spans="1:78">
      <c r="A103" s="305" t="s">
        <v>1215</v>
      </c>
      <c r="B103" s="126" t="s">
        <v>303</v>
      </c>
      <c r="C103" s="126" t="s">
        <v>1340</v>
      </c>
      <c r="D103" s="26" t="str" cm="1">
        <f t="array" aca="1" ref="D103" ca="1">INDIRECT("Vergleich!"&amp;$G$2&amp;Z103)</f>
        <v>mittel</v>
      </c>
      <c r="E103" s="26" cm="1">
        <f t="array" aca="1" ref="E103" ca="1">INDIRECT("Investition_gewählt!"&amp;$I$5&amp;AA103)</f>
        <v>0</v>
      </c>
      <c r="F103" s="25" cm="1">
        <f t="array" aca="1" ref="F103" ca="1">IF($C$5=0,0,INDEX(Faktoren!E89:GQ89,1,VLOOKUP($F$5,$L$2:$O$14,4,FALSE)+$C$9*5+VLOOKUP(D103,Auswahllisten!$E$25:$F$29,2,FALSE)))</f>
        <v>0</v>
      </c>
      <c r="G103" s="162">
        <f t="shared" ca="1" si="155"/>
        <v>0</v>
      </c>
      <c r="H103" s="26" cm="1">
        <f t="array" aca="1" ref="H103" ca="1">INDIRECT("Investition_gewählt!"&amp;$I$6&amp;AA103)</f>
        <v>0</v>
      </c>
      <c r="I103" s="25" cm="1">
        <f t="array" aca="1" ref="I103" ca="1">IF($C$5=0,0,INDEX(Faktoren!E89:GQ89,1,VLOOKUP($F$6,$L$2:$O$14,4,FALSE)+$C$9*5+VLOOKUP(D103,Auswahllisten!$E$25:$F$29,2,FALSE)))</f>
        <v>0</v>
      </c>
      <c r="J103" s="162">
        <f t="shared" ca="1" si="156"/>
        <v>0</v>
      </c>
      <c r="K103" s="26">
        <f t="shared" ca="1" si="136"/>
        <v>0</v>
      </c>
      <c r="L103" s="25" t="b">
        <f t="shared" ca="1" si="157"/>
        <v>0</v>
      </c>
      <c r="M103" s="26">
        <f t="shared" ca="1" si="137"/>
        <v>0</v>
      </c>
      <c r="O103" s="16" t="str" cm="1">
        <f t="array" aca="1" ref="O103" ca="1">INDIRECT("Vergleich!"&amp;$Y$2&amp;Z103)</f>
        <v>gering</v>
      </c>
      <c r="P103" s="26" cm="1">
        <f t="array" aca="1" ref="P103" ca="1">INDIRECT("Investition_gewählt!"&amp;$AA$5&amp;AA103)</f>
        <v>0</v>
      </c>
      <c r="Q103" s="16" cm="1">
        <f t="array" aca="1" ref="Q103" ca="1">IF($U$5=0,0,INDEX(Faktoren!E89:GQ89,1,VLOOKUP($X$5,$L$2:$O$14,4,FALSE)+$U$9*5+VLOOKUP(O103,Auswahllisten!$E$25:$F$29,2,FALSE)))</f>
        <v>0</v>
      </c>
      <c r="R103" s="26">
        <f t="shared" ca="1" si="138"/>
        <v>0</v>
      </c>
      <c r="S103" s="26" cm="1">
        <f t="array" aca="1" ref="S103" ca="1">INDIRECT("Investition_gewählt!"&amp;$AA$6&amp;AA103)</f>
        <v>0</v>
      </c>
      <c r="T103" s="16" cm="1">
        <f t="array" aca="1" ref="T103" ca="1">IF($U$5=0,0,INDEX(Faktoren!E89:QG89,1,VLOOKUP($X$6,$L$3:$O$14,4,FALSE)+$U$9*5+VLOOKUP(O103,Auswahllisten!$E$25:$F$29,2,FALSE)))</f>
        <v>0</v>
      </c>
      <c r="U103" s="26">
        <f t="shared" ca="1" si="139"/>
        <v>0</v>
      </c>
      <c r="V103" s="26">
        <f t="shared" ca="1" si="115"/>
        <v>0</v>
      </c>
      <c r="W103" s="16" t="b">
        <f t="shared" ca="1" si="140"/>
        <v>0</v>
      </c>
      <c r="X103" s="26">
        <f t="shared" ca="1" si="141"/>
        <v>0</v>
      </c>
      <c r="Z103" s="1">
        <v>44</v>
      </c>
      <c r="AA103" s="1">
        <v>89</v>
      </c>
      <c r="AB103" s="1">
        <v>-2</v>
      </c>
      <c r="AN103" s="1">
        <v>78</v>
      </c>
      <c r="AO103" s="1">
        <f t="shared" si="142"/>
        <v>0</v>
      </c>
      <c r="AP103" s="69">
        <f t="shared" ca="1" si="143"/>
        <v>0</v>
      </c>
      <c r="AQ103" s="69">
        <f t="shared" ca="1" si="143"/>
        <v>0</v>
      </c>
      <c r="AR103" s="69">
        <f t="shared" si="143"/>
        <v>0</v>
      </c>
      <c r="AS103" s="69">
        <f t="shared" ca="1" si="143"/>
        <v>0</v>
      </c>
      <c r="AT103" s="69">
        <f t="shared" ca="1" si="143"/>
        <v>0</v>
      </c>
      <c r="AU103" s="69">
        <f t="shared" ca="1" si="143"/>
        <v>0</v>
      </c>
      <c r="AV103" s="69">
        <f t="shared" si="143"/>
        <v>0</v>
      </c>
      <c r="AW103" s="69">
        <f t="shared" ca="1" si="144"/>
        <v>0</v>
      </c>
      <c r="AX103" s="69">
        <f t="shared" ca="1" si="145"/>
        <v>0</v>
      </c>
      <c r="AY103" s="69">
        <f t="shared" ca="1" si="146"/>
        <v>0</v>
      </c>
      <c r="AZ103" s="69">
        <f ca="1">$AO103*IF(Auswahllisten!$G$150,AZ$25+AZ$25*AZ$13*$AN103,AZ$25*(1+AZ$13)^$AN103)</f>
        <v>0</v>
      </c>
      <c r="BA103" s="69">
        <f ca="1">$AO103*IF(Auswahllisten!$G$150,BA$25+BA$25*BA$13*$AN103,BA$25*(1+BA$13)^$AN103)</f>
        <v>0</v>
      </c>
      <c r="BB103" s="69">
        <f ca="1">$AO103*IF(Auswahllisten!$G$150,BB$25+BB$25*BB$13*$AN103,BB$25*(1+BB$13)^$AN103)</f>
        <v>0</v>
      </c>
      <c r="BC103" s="69">
        <f ca="1">$AO103*IF(Auswahllisten!$G$150,BC$25+BC$25*BC$13*$AN103,BC$25*(1+BC$13)^$AN103)</f>
        <v>0</v>
      </c>
      <c r="BD103" s="69">
        <f t="shared" ca="1" si="122"/>
        <v>0</v>
      </c>
      <c r="BE103" s="69">
        <f t="shared" ca="1" si="147"/>
        <v>0</v>
      </c>
      <c r="BF103" s="69">
        <f t="shared" ca="1" si="148"/>
        <v>0</v>
      </c>
      <c r="BG103" s="69">
        <f t="shared" ca="1" si="125"/>
        <v>0</v>
      </c>
      <c r="BI103" s="69">
        <f t="shared" ca="1" si="149"/>
        <v>0</v>
      </c>
      <c r="BJ103" s="69">
        <f t="shared" ca="1" si="149"/>
        <v>0</v>
      </c>
      <c r="BK103" s="69">
        <f t="shared" si="149"/>
        <v>0</v>
      </c>
      <c r="BL103" s="69">
        <f t="shared" ca="1" si="149"/>
        <v>0</v>
      </c>
      <c r="BM103" s="69">
        <f t="shared" ca="1" si="149"/>
        <v>0</v>
      </c>
      <c r="BN103" s="69">
        <f t="shared" ca="1" si="149"/>
        <v>0</v>
      </c>
      <c r="BO103" s="69">
        <f t="shared" si="149"/>
        <v>0</v>
      </c>
      <c r="BP103" s="69">
        <f t="shared" ca="1" si="150"/>
        <v>0</v>
      </c>
      <c r="BQ103" s="69">
        <f t="shared" ca="1" si="151"/>
        <v>0</v>
      </c>
      <c r="BR103" s="69">
        <f t="shared" ca="1" si="152"/>
        <v>0</v>
      </c>
      <c r="BS103" s="69">
        <f ca="1">$AO103*IF(Auswahllisten!$G$150,BS$25+BS$25*BS$13*$AN103,BS$25*(1+BS$13)^$AN103)</f>
        <v>0</v>
      </c>
      <c r="BT103" s="69">
        <f ca="1">$AO103*IF(Auswahllisten!$G$150,BT$25+BT$25*BT$13*$AN103,BT$25*(1+BT$13)^$AN103)</f>
        <v>0</v>
      </c>
      <c r="BU103" s="69">
        <f ca="1">$AO103*IF(Auswahllisten!$G$150,BU$25+BU$25*BU$13*$AN103,BU$25*(1+BU$13)^$AN103)</f>
        <v>0</v>
      </c>
      <c r="BV103" s="69">
        <f ca="1">$AO103*IF(Auswahllisten!$G$150,BV$25+BV$25*BV$13*$AN103,BV$25*(1+BV$13)^$AN103)</f>
        <v>0</v>
      </c>
      <c r="BW103" s="69">
        <f t="shared" ca="1" si="127"/>
        <v>0</v>
      </c>
      <c r="BX103" s="69">
        <f t="shared" ca="1" si="153"/>
        <v>0</v>
      </c>
      <c r="BY103" s="69">
        <f t="shared" ca="1" si="154"/>
        <v>0</v>
      </c>
      <c r="BZ103" s="69">
        <f t="shared" ca="1" si="118"/>
        <v>0</v>
      </c>
    </row>
    <row r="104" spans="1:78">
      <c r="A104" s="305" t="s">
        <v>1215</v>
      </c>
      <c r="B104" s="126" t="s">
        <v>303</v>
      </c>
      <c r="C104" s="126" t="s">
        <v>1339</v>
      </c>
      <c r="D104" s="26" t="str" cm="1">
        <f t="array" aca="1" ref="D104" ca="1">INDIRECT("Vergleich!"&amp;$G$2&amp;Z104)</f>
        <v>mittel</v>
      </c>
      <c r="E104" s="26" cm="1">
        <f t="array" aca="1" ref="E104" ca="1">INDIRECT("Investition_gewählt!"&amp;$I$5&amp;AA104)</f>
        <v>0</v>
      </c>
      <c r="F104" s="25" cm="1">
        <f t="array" aca="1" ref="F104" ca="1">IF($C$5=0,0,INDEX(Faktoren!E90:GQ90,1,VLOOKUP($F$5,$L$2:$O$14,4,FALSE)+$C$9*5+VLOOKUP(D104,Auswahllisten!$E$25:$F$29,2,FALSE)))</f>
        <v>0</v>
      </c>
      <c r="G104" s="162">
        <f t="shared" ca="1" si="155"/>
        <v>0</v>
      </c>
      <c r="H104" s="26" cm="1">
        <f t="array" aca="1" ref="H104" ca="1">INDIRECT("Investition_gewählt!"&amp;$I$6&amp;AA104)</f>
        <v>0</v>
      </c>
      <c r="I104" s="25" cm="1">
        <f t="array" aca="1" ref="I104" ca="1">IF($C$5=0,0,INDEX(Faktoren!E90:GQ90,1,VLOOKUP($F$6,$L$2:$O$14,4,FALSE)+$C$9*5+VLOOKUP(D104,Auswahllisten!$E$25:$F$29,2,FALSE)))</f>
        <v>0</v>
      </c>
      <c r="J104" s="162">
        <f t="shared" ca="1" si="156"/>
        <v>0</v>
      </c>
      <c r="K104" s="26">
        <f t="shared" ca="1" si="136"/>
        <v>0</v>
      </c>
      <c r="L104" s="25" t="b">
        <f t="shared" ca="1" si="157"/>
        <v>0</v>
      </c>
      <c r="M104" s="26">
        <f t="shared" ca="1" si="137"/>
        <v>0</v>
      </c>
      <c r="O104" s="16" t="str" cm="1">
        <f t="array" aca="1" ref="O104" ca="1">INDIRECT("Vergleich!"&amp;$Y$2&amp;Z104)</f>
        <v>gering</v>
      </c>
      <c r="P104" s="26" cm="1">
        <f t="array" aca="1" ref="P104" ca="1">INDIRECT("Investition_gewählt!"&amp;$AA$5&amp;AA104)</f>
        <v>0</v>
      </c>
      <c r="Q104" s="16" cm="1">
        <f t="array" aca="1" ref="Q104" ca="1">IF($U$5=0,0,INDEX(Faktoren!E90:GQ90,1,VLOOKUP($X$5,$L$2:$O$14,4,FALSE)+$U$9*5+VLOOKUP(O104,Auswahllisten!$E$25:$F$29,2,FALSE)))</f>
        <v>0</v>
      </c>
      <c r="R104" s="26">
        <f t="shared" ca="1" si="138"/>
        <v>0</v>
      </c>
      <c r="S104" s="26" cm="1">
        <f t="array" aca="1" ref="S104" ca="1">INDIRECT("Investition_gewählt!"&amp;$AA$6&amp;AA104)</f>
        <v>0</v>
      </c>
      <c r="T104" s="16" cm="1">
        <f t="array" aca="1" ref="T104" ca="1">IF($U$5=0,0,INDEX(Faktoren!E90:QG90,1,VLOOKUP($X$6,$L$3:$O$14,4,FALSE)+$U$9*5+VLOOKUP(O104,Auswahllisten!$E$25:$F$29,2,FALSE)))</f>
        <v>0</v>
      </c>
      <c r="U104" s="26">
        <f t="shared" ca="1" si="139"/>
        <v>0</v>
      </c>
      <c r="V104" s="26">
        <f t="shared" ca="1" si="115"/>
        <v>0</v>
      </c>
      <c r="W104" s="16" t="b">
        <f t="shared" ca="1" si="140"/>
        <v>0</v>
      </c>
      <c r="X104" s="26">
        <f t="shared" ca="1" si="141"/>
        <v>0</v>
      </c>
      <c r="Z104" s="1">
        <v>45</v>
      </c>
      <c r="AA104" s="1">
        <v>90</v>
      </c>
      <c r="AB104" s="1">
        <v>-2</v>
      </c>
      <c r="AN104" s="1">
        <v>79</v>
      </c>
      <c r="AO104" s="1">
        <f t="shared" si="142"/>
        <v>0</v>
      </c>
      <c r="AP104" s="69">
        <f t="shared" ca="1" si="143"/>
        <v>0</v>
      </c>
      <c r="AQ104" s="69">
        <f t="shared" ca="1" si="143"/>
        <v>0</v>
      </c>
      <c r="AR104" s="69">
        <f t="shared" si="143"/>
        <v>0</v>
      </c>
      <c r="AS104" s="69">
        <f t="shared" ca="1" si="143"/>
        <v>0</v>
      </c>
      <c r="AT104" s="69">
        <f t="shared" ca="1" si="143"/>
        <v>0</v>
      </c>
      <c r="AU104" s="69">
        <f t="shared" ca="1" si="143"/>
        <v>0</v>
      </c>
      <c r="AV104" s="69">
        <f t="shared" si="143"/>
        <v>0</v>
      </c>
      <c r="AW104" s="69">
        <f t="shared" ca="1" si="144"/>
        <v>0</v>
      </c>
      <c r="AX104" s="69">
        <f t="shared" ca="1" si="145"/>
        <v>0</v>
      </c>
      <c r="AY104" s="69">
        <f t="shared" ca="1" si="146"/>
        <v>0</v>
      </c>
      <c r="AZ104" s="69">
        <f ca="1">$AO104*IF(Auswahllisten!$G$150,AZ$25+AZ$25*AZ$13*$AN104,AZ$25*(1+AZ$13)^$AN104)</f>
        <v>0</v>
      </c>
      <c r="BA104" s="69">
        <f ca="1">$AO104*IF(Auswahllisten!$G$150,BA$25+BA$25*BA$13*$AN104,BA$25*(1+BA$13)^$AN104)</f>
        <v>0</v>
      </c>
      <c r="BB104" s="69">
        <f ca="1">$AO104*IF(Auswahllisten!$G$150,BB$25+BB$25*BB$13*$AN104,BB$25*(1+BB$13)^$AN104)</f>
        <v>0</v>
      </c>
      <c r="BC104" s="69">
        <f ca="1">$AO104*IF(Auswahllisten!$G$150,BC$25+BC$25*BC$13*$AN104,BC$25*(1+BC$13)^$AN104)</f>
        <v>0</v>
      </c>
      <c r="BD104" s="69">
        <f t="shared" ca="1" si="122"/>
        <v>0</v>
      </c>
      <c r="BE104" s="69">
        <f t="shared" ca="1" si="147"/>
        <v>0</v>
      </c>
      <c r="BF104" s="69">
        <f t="shared" ca="1" si="148"/>
        <v>0</v>
      </c>
      <c r="BG104" s="69">
        <f t="shared" ca="1" si="125"/>
        <v>0</v>
      </c>
      <c r="BI104" s="69">
        <f t="shared" ca="1" si="149"/>
        <v>0</v>
      </c>
      <c r="BJ104" s="69">
        <f t="shared" ca="1" si="149"/>
        <v>0</v>
      </c>
      <c r="BK104" s="69">
        <f t="shared" si="149"/>
        <v>0</v>
      </c>
      <c r="BL104" s="69">
        <f t="shared" ca="1" si="149"/>
        <v>0</v>
      </c>
      <c r="BM104" s="69">
        <f t="shared" ca="1" si="149"/>
        <v>0</v>
      </c>
      <c r="BN104" s="69">
        <f t="shared" ca="1" si="149"/>
        <v>0</v>
      </c>
      <c r="BO104" s="69">
        <f t="shared" si="149"/>
        <v>0</v>
      </c>
      <c r="BP104" s="69">
        <f t="shared" ca="1" si="150"/>
        <v>0</v>
      </c>
      <c r="BQ104" s="69">
        <f t="shared" ca="1" si="151"/>
        <v>0</v>
      </c>
      <c r="BR104" s="69">
        <f t="shared" ca="1" si="152"/>
        <v>0</v>
      </c>
      <c r="BS104" s="69">
        <f ca="1">$AO104*IF(Auswahllisten!$G$150,BS$25+BS$25*BS$13*$AN104,BS$25*(1+BS$13)^$AN104)</f>
        <v>0</v>
      </c>
      <c r="BT104" s="69">
        <f ca="1">$AO104*IF(Auswahllisten!$G$150,BT$25+BT$25*BT$13*$AN104,BT$25*(1+BT$13)^$AN104)</f>
        <v>0</v>
      </c>
      <c r="BU104" s="69">
        <f ca="1">$AO104*IF(Auswahllisten!$G$150,BU$25+BU$25*BU$13*$AN104,BU$25*(1+BU$13)^$AN104)</f>
        <v>0</v>
      </c>
      <c r="BV104" s="69">
        <f ca="1">$AO104*IF(Auswahllisten!$G$150,BV$25+BV$25*BV$13*$AN104,BV$25*(1+BV$13)^$AN104)</f>
        <v>0</v>
      </c>
      <c r="BW104" s="69">
        <f t="shared" ca="1" si="127"/>
        <v>0</v>
      </c>
      <c r="BX104" s="69">
        <f t="shared" ca="1" si="153"/>
        <v>0</v>
      </c>
      <c r="BY104" s="69">
        <f t="shared" ca="1" si="154"/>
        <v>0</v>
      </c>
      <c r="BZ104" s="69">
        <f t="shared" ca="1" si="118"/>
        <v>0</v>
      </c>
    </row>
    <row r="105" spans="1:78">
      <c r="A105" s="307" t="s">
        <v>1215</v>
      </c>
      <c r="B105" s="297" t="s">
        <v>303</v>
      </c>
      <c r="C105" s="134" t="s">
        <v>1338</v>
      </c>
      <c r="D105" s="26" t="str" cm="1">
        <f t="array" aca="1" ref="D105" ca="1">INDIRECT("Vergleich!"&amp;$G$2&amp;Z105)</f>
        <v>mittel</v>
      </c>
      <c r="E105" s="26" cm="1">
        <f t="array" aca="1" ref="E105" ca="1">INDIRECT("Investition_gewählt!"&amp;$I$5&amp;AA105)</f>
        <v>0</v>
      </c>
      <c r="F105" s="16" cm="1">
        <f t="array" aca="1" ref="F105" ca="1">IF($C$5=0,0,INDEX(Faktoren!E91:GQ91,1,VLOOKUP($F$5,$L$2:$O$14,4,FALSE)+$C$9*5+VLOOKUP(D105,Auswahllisten!$E$25:$F$29,2,FALSE)))</f>
        <v>0</v>
      </c>
      <c r="G105" s="26">
        <f t="shared" ca="1" si="155"/>
        <v>0</v>
      </c>
      <c r="H105" s="26" cm="1">
        <f t="array" aca="1" ref="H105" ca="1">INDIRECT("Investition_gewählt!"&amp;$I$6&amp;AA105)</f>
        <v>0</v>
      </c>
      <c r="I105" s="16" cm="1">
        <f t="array" aca="1" ref="I105" ca="1">IF($C$5=0,0,INDEX(Faktoren!E91:GQ91,1,VLOOKUP($F$6,$L$2:$O$14,4,FALSE)+$C$9*5+VLOOKUP(D105,Auswahllisten!$E$25:$F$29,2,FALSE)))</f>
        <v>0</v>
      </c>
      <c r="J105" s="26">
        <f t="shared" ca="1" si="156"/>
        <v>0</v>
      </c>
      <c r="K105" s="26">
        <f t="shared" ca="1" si="136"/>
        <v>0</v>
      </c>
      <c r="L105" s="16" t="b">
        <f t="shared" ca="1" si="157"/>
        <v>0</v>
      </c>
      <c r="M105" s="26">
        <f t="shared" ca="1" si="137"/>
        <v>0</v>
      </c>
      <c r="O105" s="93" t="str" cm="1">
        <f t="array" aca="1" ref="O105" ca="1">INDIRECT("Vergleich!"&amp;$Y$2&amp;Z105)</f>
        <v>gering</v>
      </c>
      <c r="P105" s="163" cm="1">
        <f t="array" aca="1" ref="P105" ca="1">INDIRECT("Investition_gewählt!"&amp;$AA$5&amp;AA105)</f>
        <v>0</v>
      </c>
      <c r="Q105" s="93" cm="1">
        <f t="array" aca="1" ref="Q105" ca="1">IF($U$5=0,0,INDEX(Faktoren!E91:GQ91,1,VLOOKUP($X$5,$L$2:$O$14,4,FALSE)+$U$9*5+VLOOKUP(O105,Auswahllisten!$E$25:$F$29,2,FALSE)))</f>
        <v>0</v>
      </c>
      <c r="R105" s="163">
        <f t="shared" ca="1" si="138"/>
        <v>0</v>
      </c>
      <c r="S105" s="163" cm="1">
        <f t="array" aca="1" ref="S105" ca="1">INDIRECT("Investition_gewählt!"&amp;$AA$6&amp;AA105)</f>
        <v>0</v>
      </c>
      <c r="T105" s="93" cm="1">
        <f t="array" aca="1" ref="T105" ca="1">IF($U$5=0,0,INDEX(Faktoren!E91:QG91,1,VLOOKUP($X$6,$L$3:$O$14,4,FALSE)+$U$9*5+VLOOKUP(O105,Auswahllisten!$E$25:$F$29,2,FALSE)))</f>
        <v>0</v>
      </c>
      <c r="U105" s="163">
        <f t="shared" ca="1" si="139"/>
        <v>0</v>
      </c>
      <c r="V105" s="163">
        <f t="shared" ca="1" si="115"/>
        <v>0</v>
      </c>
      <c r="W105" s="93" t="b">
        <f t="shared" ca="1" si="140"/>
        <v>0</v>
      </c>
      <c r="X105" s="163">
        <f t="shared" ca="1" si="141"/>
        <v>0</v>
      </c>
      <c r="Z105" s="1">
        <v>46</v>
      </c>
      <c r="AA105" s="1">
        <v>91</v>
      </c>
      <c r="AB105" s="1">
        <v>-2</v>
      </c>
      <c r="AN105" s="1">
        <v>80</v>
      </c>
      <c r="AO105" s="1">
        <f t="shared" si="142"/>
        <v>0</v>
      </c>
      <c r="AP105" s="69">
        <f t="shared" ca="1" si="143"/>
        <v>0</v>
      </c>
      <c r="AQ105" s="69">
        <f t="shared" ca="1" si="143"/>
        <v>0</v>
      </c>
      <c r="AR105" s="69">
        <f t="shared" ca="1" si="143"/>
        <v>0</v>
      </c>
      <c r="AS105" s="69">
        <f t="shared" ca="1" si="143"/>
        <v>0</v>
      </c>
      <c r="AT105" s="69">
        <f t="shared" ca="1" si="143"/>
        <v>0</v>
      </c>
      <c r="AU105" s="69">
        <f t="shared" ca="1" si="143"/>
        <v>0</v>
      </c>
      <c r="AV105" s="69">
        <f t="shared" ca="1" si="143"/>
        <v>0</v>
      </c>
      <c r="AW105" s="69">
        <f t="shared" ca="1" si="144"/>
        <v>0</v>
      </c>
      <c r="AX105" s="69">
        <f t="shared" ca="1" si="145"/>
        <v>0</v>
      </c>
      <c r="AY105" s="69">
        <f t="shared" ca="1" si="146"/>
        <v>0</v>
      </c>
      <c r="AZ105" s="69">
        <f ca="1">$AO105*IF(Auswahllisten!$G$150,AZ$25+AZ$25*AZ$13*$AN105,AZ$25*(1+AZ$13)^$AN105)</f>
        <v>0</v>
      </c>
      <c r="BA105" s="69">
        <f ca="1">$AO105*IF(Auswahllisten!$G$150,BA$25+BA$25*BA$13*$AN105,BA$25*(1+BA$13)^$AN105)</f>
        <v>0</v>
      </c>
      <c r="BB105" s="69">
        <f ca="1">$AO105*IF(Auswahllisten!$G$150,BB$25+BB$25*BB$13*$AN105,BB$25*(1+BB$13)^$AN105)</f>
        <v>0</v>
      </c>
      <c r="BC105" s="69">
        <f ca="1">$AO105*IF(Auswahllisten!$G$150,BC$25+BC$25*BC$13*$AN105,BC$25*(1+BC$13)^$AN105)</f>
        <v>0</v>
      </c>
      <c r="BD105" s="69">
        <f t="shared" ca="1" si="122"/>
        <v>0</v>
      </c>
      <c r="BE105" s="69">
        <f t="shared" ca="1" si="147"/>
        <v>0</v>
      </c>
      <c r="BF105" s="69">
        <f t="shared" ca="1" si="148"/>
        <v>0</v>
      </c>
      <c r="BG105" s="69">
        <f t="shared" ca="1" si="125"/>
        <v>0</v>
      </c>
      <c r="BI105" s="69">
        <f t="shared" ca="1" si="149"/>
        <v>0</v>
      </c>
      <c r="BJ105" s="69">
        <f t="shared" ca="1" si="149"/>
        <v>0</v>
      </c>
      <c r="BK105" s="69">
        <f t="shared" si="149"/>
        <v>0</v>
      </c>
      <c r="BL105" s="69">
        <f t="shared" ca="1" si="149"/>
        <v>0</v>
      </c>
      <c r="BM105" s="69">
        <f t="shared" ca="1" si="149"/>
        <v>0</v>
      </c>
      <c r="BN105" s="69">
        <f t="shared" ca="1" si="149"/>
        <v>0</v>
      </c>
      <c r="BO105" s="69">
        <f t="shared" si="149"/>
        <v>0</v>
      </c>
      <c r="BP105" s="69">
        <f t="shared" ca="1" si="150"/>
        <v>0</v>
      </c>
      <c r="BQ105" s="69">
        <f t="shared" ca="1" si="151"/>
        <v>0</v>
      </c>
      <c r="BR105" s="69">
        <f t="shared" ca="1" si="152"/>
        <v>0</v>
      </c>
      <c r="BS105" s="69">
        <f ca="1">$AO105*IF(Auswahllisten!$G$150,BS$25+BS$25*BS$13*$AN105,BS$25*(1+BS$13)^$AN105)</f>
        <v>0</v>
      </c>
      <c r="BT105" s="69">
        <f ca="1">$AO105*IF(Auswahllisten!$G$150,BT$25+BT$25*BT$13*$AN105,BT$25*(1+BT$13)^$AN105)</f>
        <v>0</v>
      </c>
      <c r="BU105" s="69">
        <f ca="1">$AO105*IF(Auswahllisten!$G$150,BU$25+BU$25*BU$13*$AN105,BU$25*(1+BU$13)^$AN105)</f>
        <v>0</v>
      </c>
      <c r="BV105" s="69">
        <f ca="1">$AO105*IF(Auswahllisten!$G$150,BV$25+BV$25*BV$13*$AN105,BV$25*(1+BV$13)^$AN105)</f>
        <v>0</v>
      </c>
      <c r="BW105" s="69">
        <f t="shared" ca="1" si="127"/>
        <v>0</v>
      </c>
      <c r="BX105" s="69">
        <f t="shared" ca="1" si="153"/>
        <v>0</v>
      </c>
      <c r="BY105" s="69">
        <f t="shared" ca="1" si="154"/>
        <v>0</v>
      </c>
      <c r="BZ105" s="69">
        <f t="shared" ca="1" si="118"/>
        <v>0</v>
      </c>
    </row>
    <row r="106" spans="1:78">
      <c r="A106" s="306" t="s">
        <v>1230</v>
      </c>
      <c r="B106" s="134" t="s">
        <v>1033</v>
      </c>
      <c r="C106" s="134" t="s">
        <v>1337</v>
      </c>
      <c r="D106" s="296" t="str" cm="1">
        <f t="array" aca="1" ref="D106" ca="1">INDIRECT("Vergleich!"&amp;$G$2&amp;Z106)</f>
        <v>mittel</v>
      </c>
      <c r="E106" s="296" cm="1">
        <f t="array" aca="1" ref="E106" ca="1">INDIRECT("Investition_gewählt!"&amp;$I$5&amp;AA106)</f>
        <v>0</v>
      </c>
      <c r="F106" s="60" cm="1">
        <f t="array" aca="1" ref="F106" ca="1">IF($C$5=0,0,INDEX(Faktoren!E92:GQ92,1,VLOOKUP($F$5,$L$2:$O$14,4,FALSE)+$C$9*5+VLOOKUP(D106,Auswahllisten!$E$25:$F$29,2,FALSE)))</f>
        <v>0</v>
      </c>
      <c r="G106" s="296">
        <f t="shared" ca="1" si="155"/>
        <v>0</v>
      </c>
      <c r="H106" s="296" cm="1">
        <f t="array" aca="1" ref="H106" ca="1">INDIRECT("Investition_gewählt!"&amp;$I$6&amp;AA106)</f>
        <v>0</v>
      </c>
      <c r="I106" s="60" cm="1">
        <f t="array" aca="1" ref="I106" ca="1">IF($C$5=0,0,INDEX(Faktoren!E92:GQ92,1,VLOOKUP($F$6,$L$2:$O$14,4,FALSE)+$C$9*5+VLOOKUP(D106,Auswahllisten!$E$25:$F$29,2,FALSE)))</f>
        <v>0</v>
      </c>
      <c r="J106" s="296">
        <f t="shared" ca="1" si="156"/>
        <v>0</v>
      </c>
      <c r="K106" s="296">
        <f t="shared" ca="1" si="136"/>
        <v>0</v>
      </c>
      <c r="L106" s="60" t="b">
        <f t="shared" ca="1" si="157"/>
        <v>0</v>
      </c>
      <c r="M106" s="296">
        <f t="shared" ca="1" si="137"/>
        <v>0</v>
      </c>
      <c r="O106" s="93" t="str" cm="1">
        <f t="array" aca="1" ref="O106" ca="1">INDIRECT("Vergleich!"&amp;$Y$2&amp;Z106)</f>
        <v>gering</v>
      </c>
      <c r="P106" s="163" cm="1">
        <f t="array" aca="1" ref="P106" ca="1">INDIRECT("Investition_gewählt!"&amp;$AA$5&amp;AA106)</f>
        <v>0</v>
      </c>
      <c r="Q106" s="93" cm="1">
        <f t="array" aca="1" ref="Q106" ca="1">IF($U$5=0,0,INDEX(Faktoren!E92:GQ92,1,VLOOKUP($X$5,$L$2:$O$14,4,FALSE)+$U$9*5+VLOOKUP(O106,Auswahllisten!$E$25:$F$29,2,FALSE)))</f>
        <v>0</v>
      </c>
      <c r="R106" s="163">
        <f t="shared" ca="1" si="138"/>
        <v>0</v>
      </c>
      <c r="S106" s="163" cm="1">
        <f t="array" aca="1" ref="S106" ca="1">INDIRECT("Investition_gewählt!"&amp;$AA$6&amp;AA106)</f>
        <v>0</v>
      </c>
      <c r="T106" s="93" cm="1">
        <f t="array" aca="1" ref="T106" ca="1">IF($U$5=0,0,INDEX(Faktoren!E92:QG92,1,VLOOKUP($X$6,$L$3:$O$14,4,FALSE)+$U$9*5+VLOOKUP(O106,Auswahllisten!$E$25:$F$29,2,FALSE)))</f>
        <v>0</v>
      </c>
      <c r="U106" s="163">
        <f t="shared" ca="1" si="139"/>
        <v>0</v>
      </c>
      <c r="V106" s="163">
        <f t="shared" ca="1" si="115"/>
        <v>0</v>
      </c>
      <c r="W106" s="93" t="b">
        <f t="shared" ca="1" si="140"/>
        <v>0</v>
      </c>
      <c r="X106" s="163">
        <f t="shared" ca="1" si="141"/>
        <v>0</v>
      </c>
      <c r="Z106" s="1">
        <v>52</v>
      </c>
      <c r="AA106" s="1">
        <v>92</v>
      </c>
      <c r="AB106" s="1">
        <v>-2</v>
      </c>
      <c r="AN106" s="1">
        <v>81</v>
      </c>
      <c r="AO106" s="1">
        <f t="shared" si="142"/>
        <v>0</v>
      </c>
      <c r="AP106" s="69">
        <f t="shared" ca="1" si="143"/>
        <v>0</v>
      </c>
      <c r="AQ106" s="69">
        <f t="shared" ca="1" si="143"/>
        <v>0</v>
      </c>
      <c r="AR106" s="69">
        <f t="shared" si="143"/>
        <v>0</v>
      </c>
      <c r="AS106" s="69">
        <f t="shared" ca="1" si="143"/>
        <v>0</v>
      </c>
      <c r="AT106" s="69">
        <f t="shared" ca="1" si="143"/>
        <v>0</v>
      </c>
      <c r="AU106" s="69">
        <f t="shared" ca="1" si="143"/>
        <v>0</v>
      </c>
      <c r="AV106" s="69">
        <f t="shared" si="143"/>
        <v>0</v>
      </c>
      <c r="AW106" s="69">
        <f t="shared" ca="1" si="144"/>
        <v>0</v>
      </c>
      <c r="AX106" s="69">
        <f t="shared" ca="1" si="145"/>
        <v>0</v>
      </c>
      <c r="AY106" s="69">
        <f t="shared" ca="1" si="146"/>
        <v>0</v>
      </c>
      <c r="AZ106" s="69">
        <f ca="1">$AO106*IF(Auswahllisten!$G$150,AZ$25+AZ$25*AZ$13*$AN106,AZ$25*(1+AZ$13)^$AN106)</f>
        <v>0</v>
      </c>
      <c r="BA106" s="69">
        <f ca="1">$AO106*IF(Auswahllisten!$G$150,BA$25+BA$25*BA$13*$AN106,BA$25*(1+BA$13)^$AN106)</f>
        <v>0</v>
      </c>
      <c r="BB106" s="69">
        <f ca="1">$AO106*IF(Auswahllisten!$G$150,BB$25+BB$25*BB$13*$AN106,BB$25*(1+BB$13)^$AN106)</f>
        <v>0</v>
      </c>
      <c r="BC106" s="69">
        <f ca="1">$AO106*IF(Auswahllisten!$G$150,BC$25+BC$25*BC$13*$AN106,BC$25*(1+BC$13)^$AN106)</f>
        <v>0</v>
      </c>
      <c r="BD106" s="69">
        <f t="shared" ca="1" si="122"/>
        <v>0</v>
      </c>
      <c r="BE106" s="69">
        <f t="shared" ca="1" si="147"/>
        <v>0</v>
      </c>
      <c r="BF106" s="69">
        <f t="shared" ca="1" si="148"/>
        <v>0</v>
      </c>
      <c r="BG106" s="69">
        <f t="shared" ca="1" si="125"/>
        <v>0</v>
      </c>
      <c r="BI106" s="69">
        <f t="shared" ca="1" si="149"/>
        <v>0</v>
      </c>
      <c r="BJ106" s="69">
        <f t="shared" ca="1" si="149"/>
        <v>0</v>
      </c>
      <c r="BK106" s="69">
        <f t="shared" si="149"/>
        <v>0</v>
      </c>
      <c r="BL106" s="69">
        <f t="shared" ca="1" si="149"/>
        <v>0</v>
      </c>
      <c r="BM106" s="69">
        <f t="shared" ca="1" si="149"/>
        <v>0</v>
      </c>
      <c r="BN106" s="69">
        <f t="shared" ca="1" si="149"/>
        <v>0</v>
      </c>
      <c r="BO106" s="69">
        <f t="shared" si="149"/>
        <v>0</v>
      </c>
      <c r="BP106" s="69">
        <f t="shared" ca="1" si="150"/>
        <v>0</v>
      </c>
      <c r="BQ106" s="69">
        <f t="shared" ca="1" si="151"/>
        <v>0</v>
      </c>
      <c r="BR106" s="69">
        <f t="shared" ca="1" si="152"/>
        <v>0</v>
      </c>
      <c r="BS106" s="69">
        <f ca="1">$AO106*IF(Auswahllisten!$G$150,BS$25+BS$25*BS$13*$AN106,BS$25*(1+BS$13)^$AN106)</f>
        <v>0</v>
      </c>
      <c r="BT106" s="69">
        <f ca="1">$AO106*IF(Auswahllisten!$G$150,BT$25+BT$25*BT$13*$AN106,BT$25*(1+BT$13)^$AN106)</f>
        <v>0</v>
      </c>
      <c r="BU106" s="69">
        <f ca="1">$AO106*IF(Auswahllisten!$G$150,BU$25+BU$25*BU$13*$AN106,BU$25*(1+BU$13)^$AN106)</f>
        <v>0</v>
      </c>
      <c r="BV106" s="69">
        <f ca="1">$AO106*IF(Auswahllisten!$G$150,BV$25+BV$25*BV$13*$AN106,BV$25*(1+BV$13)^$AN106)</f>
        <v>0</v>
      </c>
      <c r="BW106" s="69">
        <f t="shared" ca="1" si="127"/>
        <v>0</v>
      </c>
      <c r="BX106" s="69">
        <f t="shared" ca="1" si="153"/>
        <v>0</v>
      </c>
      <c r="BY106" s="69">
        <f t="shared" ca="1" si="154"/>
        <v>0</v>
      </c>
      <c r="BZ106" s="69">
        <f t="shared" ca="1" si="118"/>
        <v>0</v>
      </c>
    </row>
    <row r="107" spans="1:78">
      <c r="A107" s="82"/>
      <c r="B107" s="64"/>
      <c r="C107" s="64"/>
      <c r="D107" s="69"/>
      <c r="E107" s="69"/>
      <c r="G107" s="69"/>
      <c r="H107" s="69"/>
      <c r="J107" s="69"/>
      <c r="K107" s="69"/>
      <c r="M107" s="69"/>
      <c r="P107" s="69"/>
      <c r="R107" s="69"/>
      <c r="S107" s="69"/>
      <c r="U107" s="69"/>
      <c r="V107" s="69"/>
      <c r="X107" s="69"/>
      <c r="AB107" s="1">
        <v>-2</v>
      </c>
      <c r="AN107" s="1">
        <v>82</v>
      </c>
      <c r="AO107" s="1">
        <f t="shared" si="142"/>
        <v>0</v>
      </c>
      <c r="AP107" s="69">
        <f t="shared" ca="1" si="143"/>
        <v>0</v>
      </c>
      <c r="AQ107" s="69">
        <f t="shared" ca="1" si="143"/>
        <v>0</v>
      </c>
      <c r="AR107" s="69">
        <f t="shared" si="143"/>
        <v>0</v>
      </c>
      <c r="AS107" s="69">
        <f t="shared" ca="1" si="143"/>
        <v>0</v>
      </c>
      <c r="AT107" s="69">
        <f t="shared" ca="1" si="143"/>
        <v>0</v>
      </c>
      <c r="AU107" s="69">
        <f t="shared" ca="1" si="143"/>
        <v>0</v>
      </c>
      <c r="AV107" s="69">
        <f t="shared" si="143"/>
        <v>0</v>
      </c>
      <c r="AW107" s="69">
        <f t="shared" ca="1" si="144"/>
        <v>0</v>
      </c>
      <c r="AX107" s="69">
        <f t="shared" ca="1" si="145"/>
        <v>0</v>
      </c>
      <c r="AY107" s="69">
        <f t="shared" ca="1" si="146"/>
        <v>0</v>
      </c>
      <c r="AZ107" s="69">
        <f ca="1">$AO107*IF(Auswahllisten!$G$150,AZ$25+AZ$25*AZ$13*$AN107,AZ$25*(1+AZ$13)^$AN107)</f>
        <v>0</v>
      </c>
      <c r="BA107" s="69">
        <f ca="1">$AO107*IF(Auswahllisten!$G$150,BA$25+BA$25*BA$13*$AN107,BA$25*(1+BA$13)^$AN107)</f>
        <v>0</v>
      </c>
      <c r="BB107" s="69">
        <f ca="1">$AO107*IF(Auswahllisten!$G$150,BB$25+BB$25*BB$13*$AN107,BB$25*(1+BB$13)^$AN107)</f>
        <v>0</v>
      </c>
      <c r="BC107" s="69">
        <f ca="1">$AO107*IF(Auswahllisten!$G$150,BC$25+BC$25*BC$13*$AN107,BC$25*(1+BC$13)^$AN107)</f>
        <v>0</v>
      </c>
      <c r="BD107" s="69">
        <f t="shared" ca="1" si="122"/>
        <v>0</v>
      </c>
      <c r="BE107" s="69">
        <f t="shared" ca="1" si="147"/>
        <v>0</v>
      </c>
      <c r="BF107" s="69">
        <f t="shared" ca="1" si="148"/>
        <v>0</v>
      </c>
      <c r="BG107" s="69">
        <f t="shared" ca="1" si="125"/>
        <v>0</v>
      </c>
      <c r="BI107" s="69">
        <f t="shared" ca="1" si="149"/>
        <v>0</v>
      </c>
      <c r="BJ107" s="69">
        <f t="shared" ca="1" si="149"/>
        <v>0</v>
      </c>
      <c r="BK107" s="69">
        <f t="shared" si="149"/>
        <v>0</v>
      </c>
      <c r="BL107" s="69">
        <f t="shared" ca="1" si="149"/>
        <v>0</v>
      </c>
      <c r="BM107" s="69">
        <f t="shared" ca="1" si="149"/>
        <v>0</v>
      </c>
      <c r="BN107" s="69">
        <f t="shared" ca="1" si="149"/>
        <v>0</v>
      </c>
      <c r="BO107" s="69">
        <f t="shared" si="149"/>
        <v>0</v>
      </c>
      <c r="BP107" s="69">
        <f t="shared" ca="1" si="150"/>
        <v>0</v>
      </c>
      <c r="BQ107" s="69">
        <f t="shared" ca="1" si="151"/>
        <v>0</v>
      </c>
      <c r="BR107" s="69">
        <f t="shared" ca="1" si="152"/>
        <v>0</v>
      </c>
      <c r="BS107" s="69">
        <f ca="1">$AO107*IF(Auswahllisten!$G$150,BS$25+BS$25*BS$13*$AN107,BS$25*(1+BS$13)^$AN107)</f>
        <v>0</v>
      </c>
      <c r="BT107" s="69">
        <f ca="1">$AO107*IF(Auswahllisten!$G$150,BT$25+BT$25*BT$13*$AN107,BT$25*(1+BT$13)^$AN107)</f>
        <v>0</v>
      </c>
      <c r="BU107" s="69">
        <f ca="1">$AO107*IF(Auswahllisten!$G$150,BU$25+BU$25*BU$13*$AN107,BU$25*(1+BU$13)^$AN107)</f>
        <v>0</v>
      </c>
      <c r="BV107" s="69">
        <f ca="1">$AO107*IF(Auswahllisten!$G$150,BV$25+BV$25*BV$13*$AN107,BV$25*(1+BV$13)^$AN107)</f>
        <v>0</v>
      </c>
      <c r="BW107" s="69">
        <f t="shared" ca="1" si="127"/>
        <v>0</v>
      </c>
      <c r="BX107" s="69">
        <f t="shared" ca="1" si="153"/>
        <v>0</v>
      </c>
      <c r="BY107" s="69">
        <f t="shared" ca="1" si="154"/>
        <v>0</v>
      </c>
      <c r="BZ107" s="69">
        <f t="shared" ca="1" si="118"/>
        <v>0</v>
      </c>
    </row>
    <row r="108" spans="1:78">
      <c r="A108" s="82"/>
      <c r="B108" s="125" t="s">
        <v>1258</v>
      </c>
      <c r="C108" s="64"/>
      <c r="D108" s="69"/>
      <c r="E108" s="69"/>
      <c r="G108" s="69"/>
      <c r="H108" s="69"/>
      <c r="J108" s="69"/>
      <c r="K108" s="69"/>
      <c r="M108" s="69"/>
      <c r="P108" s="69"/>
      <c r="R108" s="69"/>
      <c r="S108" s="69"/>
      <c r="U108" s="69"/>
      <c r="V108" s="69"/>
      <c r="X108" s="69"/>
      <c r="AB108" s="1">
        <v>-2</v>
      </c>
      <c r="AN108" s="1">
        <v>83</v>
      </c>
      <c r="AO108" s="1">
        <f t="shared" si="142"/>
        <v>0</v>
      </c>
      <c r="AP108" s="69">
        <f t="shared" ca="1" si="143"/>
        <v>0</v>
      </c>
      <c r="AQ108" s="69">
        <f t="shared" ca="1" si="143"/>
        <v>0</v>
      </c>
      <c r="AR108" s="69">
        <f t="shared" si="143"/>
        <v>0</v>
      </c>
      <c r="AS108" s="69">
        <f t="shared" ca="1" si="143"/>
        <v>0</v>
      </c>
      <c r="AT108" s="69">
        <f t="shared" ca="1" si="143"/>
        <v>0</v>
      </c>
      <c r="AU108" s="69">
        <f t="shared" ca="1" si="143"/>
        <v>0</v>
      </c>
      <c r="AV108" s="69">
        <f t="shared" si="143"/>
        <v>0</v>
      </c>
      <c r="AW108" s="69">
        <f t="shared" ca="1" si="144"/>
        <v>0</v>
      </c>
      <c r="AX108" s="69">
        <f t="shared" ca="1" si="145"/>
        <v>0</v>
      </c>
      <c r="AY108" s="69">
        <f t="shared" ca="1" si="146"/>
        <v>0</v>
      </c>
      <c r="AZ108" s="69">
        <f ca="1">$AO108*IF(Auswahllisten!$G$150,AZ$25+AZ$25*AZ$13*$AN108,AZ$25*(1+AZ$13)^$AN108)</f>
        <v>0</v>
      </c>
      <c r="BA108" s="69">
        <f ca="1">$AO108*IF(Auswahllisten!$G$150,BA$25+BA$25*BA$13*$AN108,BA$25*(1+BA$13)^$AN108)</f>
        <v>0</v>
      </c>
      <c r="BB108" s="69">
        <f ca="1">$AO108*IF(Auswahllisten!$G$150,BB$25+BB$25*BB$13*$AN108,BB$25*(1+BB$13)^$AN108)</f>
        <v>0</v>
      </c>
      <c r="BC108" s="69">
        <f ca="1">$AO108*IF(Auswahllisten!$G$150,BC$25+BC$25*BC$13*$AN108,BC$25*(1+BC$13)^$AN108)</f>
        <v>0</v>
      </c>
      <c r="BD108" s="69">
        <f t="shared" ca="1" si="122"/>
        <v>0</v>
      </c>
      <c r="BE108" s="69">
        <f t="shared" ca="1" si="147"/>
        <v>0</v>
      </c>
      <c r="BF108" s="69">
        <f t="shared" ca="1" si="148"/>
        <v>0</v>
      </c>
      <c r="BG108" s="69">
        <f t="shared" ca="1" si="125"/>
        <v>0</v>
      </c>
      <c r="BI108" s="69">
        <f t="shared" ca="1" si="149"/>
        <v>0</v>
      </c>
      <c r="BJ108" s="69">
        <f t="shared" ca="1" si="149"/>
        <v>0</v>
      </c>
      <c r="BK108" s="69">
        <f t="shared" si="149"/>
        <v>0</v>
      </c>
      <c r="BL108" s="69">
        <f t="shared" ca="1" si="149"/>
        <v>0</v>
      </c>
      <c r="BM108" s="69">
        <f t="shared" ca="1" si="149"/>
        <v>0</v>
      </c>
      <c r="BN108" s="69">
        <f t="shared" ca="1" si="149"/>
        <v>0</v>
      </c>
      <c r="BO108" s="69">
        <f t="shared" si="149"/>
        <v>0</v>
      </c>
      <c r="BP108" s="69">
        <f t="shared" ca="1" si="150"/>
        <v>0</v>
      </c>
      <c r="BQ108" s="69">
        <f t="shared" ca="1" si="151"/>
        <v>0</v>
      </c>
      <c r="BR108" s="69">
        <f t="shared" ca="1" si="152"/>
        <v>0</v>
      </c>
      <c r="BS108" s="69">
        <f ca="1">$AO108*IF(Auswahllisten!$G$150,BS$25+BS$25*BS$13*$AN108,BS$25*(1+BS$13)^$AN108)</f>
        <v>0</v>
      </c>
      <c r="BT108" s="69">
        <f ca="1">$AO108*IF(Auswahllisten!$G$150,BT$25+BT$25*BT$13*$AN108,BT$25*(1+BT$13)^$AN108)</f>
        <v>0</v>
      </c>
      <c r="BU108" s="69">
        <f ca="1">$AO108*IF(Auswahllisten!$G$150,BU$25+BU$25*BU$13*$AN108,BU$25*(1+BU$13)^$AN108)</f>
        <v>0</v>
      </c>
      <c r="BV108" s="69">
        <f ca="1">$AO108*IF(Auswahllisten!$G$150,BV$25+BV$25*BV$13*$AN108,BV$25*(1+BV$13)^$AN108)</f>
        <v>0</v>
      </c>
      <c r="BW108" s="69">
        <f t="shared" ca="1" si="127"/>
        <v>0</v>
      </c>
      <c r="BX108" s="69">
        <f t="shared" ca="1" si="153"/>
        <v>0</v>
      </c>
      <c r="BY108" s="69">
        <f t="shared" ca="1" si="154"/>
        <v>0</v>
      </c>
      <c r="BZ108" s="69">
        <f t="shared" ca="1" si="118"/>
        <v>0</v>
      </c>
    </row>
    <row r="109" spans="1:78">
      <c r="A109" s="304"/>
      <c r="B109" s="131" t="s">
        <v>672</v>
      </c>
      <c r="C109" s="131"/>
      <c r="D109" s="25" t="s">
        <v>175</v>
      </c>
      <c r="E109" s="162" cm="1">
        <f t="array" aca="1" ref="E109" ca="1">INDIRECT("Vergleich!"&amp;$G$2&amp;Z109)</f>
        <v>0</v>
      </c>
      <c r="G109" s="69"/>
      <c r="H109" s="69"/>
      <c r="J109" s="69"/>
      <c r="K109" s="69"/>
      <c r="M109" s="69"/>
      <c r="O109" s="25" t="s">
        <v>175</v>
      </c>
      <c r="P109" s="162" cm="1">
        <f t="array" aca="1" ref="P109" ca="1">INDIRECT("Vergleich!"&amp;$Y$2&amp;Z109)</f>
        <v>0</v>
      </c>
      <c r="R109" s="69"/>
      <c r="S109" s="69"/>
      <c r="U109" s="69"/>
      <c r="V109" s="69"/>
      <c r="X109" s="69"/>
      <c r="Z109" s="1">
        <v>65</v>
      </c>
      <c r="AB109" s="1">
        <v>-2</v>
      </c>
      <c r="AN109" s="1">
        <v>84</v>
      </c>
      <c r="AO109" s="1">
        <f t="shared" si="142"/>
        <v>0</v>
      </c>
      <c r="AP109" s="69">
        <f t="shared" ca="1" si="143"/>
        <v>0</v>
      </c>
      <c r="AQ109" s="69">
        <f t="shared" ca="1" si="143"/>
        <v>0</v>
      </c>
      <c r="AR109" s="69">
        <f t="shared" si="143"/>
        <v>0</v>
      </c>
      <c r="AS109" s="69">
        <f t="shared" ca="1" si="143"/>
        <v>0</v>
      </c>
      <c r="AT109" s="69">
        <f t="shared" ca="1" si="143"/>
        <v>0</v>
      </c>
      <c r="AU109" s="69">
        <f t="shared" ca="1" si="143"/>
        <v>0</v>
      </c>
      <c r="AV109" s="69">
        <f t="shared" si="143"/>
        <v>0</v>
      </c>
      <c r="AW109" s="69">
        <f t="shared" ca="1" si="144"/>
        <v>0</v>
      </c>
      <c r="AX109" s="69">
        <f t="shared" ca="1" si="145"/>
        <v>0</v>
      </c>
      <c r="AY109" s="69">
        <f t="shared" ca="1" si="146"/>
        <v>0</v>
      </c>
      <c r="AZ109" s="69">
        <f ca="1">$AO109*IF(Auswahllisten!$G$150,AZ$25+AZ$25*AZ$13*$AN109,AZ$25*(1+AZ$13)^$AN109)</f>
        <v>0</v>
      </c>
      <c r="BA109" s="69">
        <f ca="1">$AO109*IF(Auswahllisten!$G$150,BA$25+BA$25*BA$13*$AN109,BA$25*(1+BA$13)^$AN109)</f>
        <v>0</v>
      </c>
      <c r="BB109" s="69">
        <f ca="1">$AO109*IF(Auswahllisten!$G$150,BB$25+BB$25*BB$13*$AN109,BB$25*(1+BB$13)^$AN109)</f>
        <v>0</v>
      </c>
      <c r="BC109" s="69">
        <f ca="1">$AO109*IF(Auswahllisten!$G$150,BC$25+BC$25*BC$13*$AN109,BC$25*(1+BC$13)^$AN109)</f>
        <v>0</v>
      </c>
      <c r="BD109" s="69">
        <f t="shared" ca="1" si="122"/>
        <v>0</v>
      </c>
      <c r="BE109" s="69">
        <f t="shared" ca="1" si="147"/>
        <v>0</v>
      </c>
      <c r="BF109" s="69">
        <f t="shared" ca="1" si="148"/>
        <v>0</v>
      </c>
      <c r="BG109" s="69">
        <f t="shared" ca="1" si="125"/>
        <v>0</v>
      </c>
      <c r="BI109" s="69">
        <f t="shared" ca="1" si="149"/>
        <v>0</v>
      </c>
      <c r="BJ109" s="69">
        <f t="shared" ca="1" si="149"/>
        <v>0</v>
      </c>
      <c r="BK109" s="69">
        <f t="shared" si="149"/>
        <v>0</v>
      </c>
      <c r="BL109" s="69">
        <f t="shared" ca="1" si="149"/>
        <v>0</v>
      </c>
      <c r="BM109" s="69">
        <f t="shared" ca="1" si="149"/>
        <v>0</v>
      </c>
      <c r="BN109" s="69">
        <f t="shared" ca="1" si="149"/>
        <v>0</v>
      </c>
      <c r="BO109" s="69">
        <f t="shared" si="149"/>
        <v>0</v>
      </c>
      <c r="BP109" s="69">
        <f t="shared" ca="1" si="150"/>
        <v>0</v>
      </c>
      <c r="BQ109" s="69">
        <f t="shared" ca="1" si="151"/>
        <v>0</v>
      </c>
      <c r="BR109" s="69">
        <f t="shared" ca="1" si="152"/>
        <v>0</v>
      </c>
      <c r="BS109" s="69">
        <f ca="1">$AO109*IF(Auswahllisten!$G$150,BS$25+BS$25*BS$13*$AN109,BS$25*(1+BS$13)^$AN109)</f>
        <v>0</v>
      </c>
      <c r="BT109" s="69">
        <f ca="1">$AO109*IF(Auswahllisten!$G$150,BT$25+BT$25*BT$13*$AN109,BT$25*(1+BT$13)^$AN109)</f>
        <v>0</v>
      </c>
      <c r="BU109" s="69">
        <f ca="1">$AO109*IF(Auswahllisten!$G$150,BU$25+BU$25*BU$13*$AN109,BU$25*(1+BU$13)^$AN109)</f>
        <v>0</v>
      </c>
      <c r="BV109" s="69">
        <f ca="1">$AO109*IF(Auswahllisten!$G$150,BV$25+BV$25*BV$13*$AN109,BV$25*(1+BV$13)^$AN109)</f>
        <v>0</v>
      </c>
      <c r="BW109" s="69">
        <f t="shared" ca="1" si="127"/>
        <v>0</v>
      </c>
      <c r="BX109" s="69">
        <f t="shared" ca="1" si="153"/>
        <v>0</v>
      </c>
      <c r="BY109" s="69">
        <f t="shared" ca="1" si="154"/>
        <v>0</v>
      </c>
      <c r="BZ109" s="69">
        <f t="shared" ca="1" si="118"/>
        <v>0</v>
      </c>
    </row>
    <row r="110" spans="1:78">
      <c r="D110" s="69"/>
      <c r="M110" s="69"/>
      <c r="AB110" s="1">
        <v>-2</v>
      </c>
      <c r="AN110" s="1">
        <v>85</v>
      </c>
      <c r="AO110" s="1">
        <f t="shared" si="142"/>
        <v>0</v>
      </c>
      <c r="AP110" s="69">
        <f t="shared" ca="1" si="143"/>
        <v>0</v>
      </c>
      <c r="AQ110" s="69">
        <f t="shared" ca="1" si="143"/>
        <v>0</v>
      </c>
      <c r="AR110" s="69">
        <f t="shared" si="143"/>
        <v>0</v>
      </c>
      <c r="AS110" s="69">
        <f t="shared" ca="1" si="143"/>
        <v>0</v>
      </c>
      <c r="AT110" s="69">
        <f t="shared" ca="1" si="143"/>
        <v>0</v>
      </c>
      <c r="AU110" s="69">
        <f t="shared" ca="1" si="143"/>
        <v>0</v>
      </c>
      <c r="AV110" s="69">
        <f t="shared" si="143"/>
        <v>0</v>
      </c>
      <c r="AW110" s="69">
        <f t="shared" ca="1" si="144"/>
        <v>0</v>
      </c>
      <c r="AX110" s="69">
        <f t="shared" ca="1" si="145"/>
        <v>0</v>
      </c>
      <c r="AY110" s="69">
        <f t="shared" ca="1" si="146"/>
        <v>0</v>
      </c>
      <c r="AZ110" s="69">
        <f ca="1">$AO110*IF(Auswahllisten!$G$150,AZ$25+AZ$25*AZ$13*$AN110,AZ$25*(1+AZ$13)^$AN110)</f>
        <v>0</v>
      </c>
      <c r="BA110" s="69">
        <f ca="1">$AO110*IF(Auswahllisten!$G$150,BA$25+BA$25*BA$13*$AN110,BA$25*(1+BA$13)^$AN110)</f>
        <v>0</v>
      </c>
      <c r="BB110" s="69">
        <f ca="1">$AO110*IF(Auswahllisten!$G$150,BB$25+BB$25*BB$13*$AN110,BB$25*(1+BB$13)^$AN110)</f>
        <v>0</v>
      </c>
      <c r="BC110" s="69">
        <f ca="1">$AO110*IF(Auswahllisten!$G$150,BC$25+BC$25*BC$13*$AN110,BC$25*(1+BC$13)^$AN110)</f>
        <v>0</v>
      </c>
      <c r="BD110" s="69">
        <f t="shared" ca="1" si="122"/>
        <v>0</v>
      </c>
      <c r="BE110" s="69">
        <f t="shared" ca="1" si="147"/>
        <v>0</v>
      </c>
      <c r="BF110" s="69">
        <f t="shared" ca="1" si="148"/>
        <v>0</v>
      </c>
      <c r="BG110" s="69">
        <f t="shared" ca="1" si="125"/>
        <v>0</v>
      </c>
      <c r="BI110" s="69">
        <f t="shared" ca="1" si="149"/>
        <v>0</v>
      </c>
      <c r="BJ110" s="69">
        <f t="shared" ca="1" si="149"/>
        <v>0</v>
      </c>
      <c r="BK110" s="69">
        <f t="shared" si="149"/>
        <v>0</v>
      </c>
      <c r="BL110" s="69">
        <f t="shared" ca="1" si="149"/>
        <v>0</v>
      </c>
      <c r="BM110" s="69">
        <f t="shared" ca="1" si="149"/>
        <v>0</v>
      </c>
      <c r="BN110" s="69">
        <f t="shared" ca="1" si="149"/>
        <v>0</v>
      </c>
      <c r="BO110" s="69">
        <f t="shared" si="149"/>
        <v>0</v>
      </c>
      <c r="BP110" s="69">
        <f t="shared" ca="1" si="150"/>
        <v>0</v>
      </c>
      <c r="BQ110" s="69">
        <f t="shared" ca="1" si="151"/>
        <v>0</v>
      </c>
      <c r="BR110" s="69">
        <f t="shared" ca="1" si="152"/>
        <v>0</v>
      </c>
      <c r="BS110" s="69">
        <f ca="1">$AO110*IF(Auswahllisten!$G$150,BS$25+BS$25*BS$13*$AN110,BS$25*(1+BS$13)^$AN110)</f>
        <v>0</v>
      </c>
      <c r="BT110" s="69">
        <f ca="1">$AO110*IF(Auswahllisten!$G$150,BT$25+BT$25*BT$13*$AN110,BT$25*(1+BT$13)^$AN110)</f>
        <v>0</v>
      </c>
      <c r="BU110" s="69">
        <f ca="1">$AO110*IF(Auswahllisten!$G$150,BU$25+BU$25*BU$13*$AN110,BU$25*(1+BU$13)^$AN110)</f>
        <v>0</v>
      </c>
      <c r="BV110" s="69">
        <f ca="1">$AO110*IF(Auswahllisten!$G$150,BV$25+BV$25*BV$13*$AN110,BV$25*(1+BV$13)^$AN110)</f>
        <v>0</v>
      </c>
      <c r="BW110" s="69">
        <f t="shared" ca="1" si="127"/>
        <v>0</v>
      </c>
      <c r="BX110" s="69">
        <f t="shared" ca="1" si="153"/>
        <v>0</v>
      </c>
      <c r="BY110" s="69">
        <f t="shared" ca="1" si="154"/>
        <v>0</v>
      </c>
      <c r="BZ110" s="69">
        <f t="shared" ca="1" si="118"/>
        <v>0</v>
      </c>
    </row>
    <row r="111" spans="1:78">
      <c r="A111" s="125"/>
      <c r="B111" s="125" t="s">
        <v>1004</v>
      </c>
      <c r="C111" s="64"/>
      <c r="D111" s="393"/>
      <c r="E111" s="394"/>
      <c r="F111" s="394"/>
      <c r="G111" s="394"/>
      <c r="H111" s="394"/>
      <c r="I111" s="394"/>
      <c r="J111" s="394"/>
      <c r="K111" s="394"/>
      <c r="L111" s="394"/>
      <c r="M111" s="393"/>
      <c r="AB111" s="1">
        <v>-2</v>
      </c>
      <c r="AN111" s="1">
        <v>86</v>
      </c>
      <c r="AO111" s="1">
        <f t="shared" si="142"/>
        <v>0</v>
      </c>
      <c r="AP111" s="69">
        <f t="shared" ca="1" si="143"/>
        <v>0</v>
      </c>
      <c r="AQ111" s="69">
        <f t="shared" ca="1" si="143"/>
        <v>0</v>
      </c>
      <c r="AR111" s="69">
        <f t="shared" si="143"/>
        <v>0</v>
      </c>
      <c r="AS111" s="69">
        <f t="shared" ca="1" si="143"/>
        <v>0</v>
      </c>
      <c r="AT111" s="69">
        <f t="shared" ca="1" si="143"/>
        <v>0</v>
      </c>
      <c r="AU111" s="69">
        <f t="shared" ca="1" si="143"/>
        <v>0</v>
      </c>
      <c r="AV111" s="69">
        <f t="shared" si="143"/>
        <v>0</v>
      </c>
      <c r="AW111" s="69">
        <f t="shared" ca="1" si="144"/>
        <v>0</v>
      </c>
      <c r="AX111" s="69">
        <f t="shared" ca="1" si="145"/>
        <v>0</v>
      </c>
      <c r="AY111" s="69">
        <f t="shared" ca="1" si="146"/>
        <v>0</v>
      </c>
      <c r="AZ111" s="69">
        <f ca="1">$AO111*IF(Auswahllisten!$G$150,AZ$25+AZ$25*AZ$13*$AN111,AZ$25*(1+AZ$13)^$AN111)</f>
        <v>0</v>
      </c>
      <c r="BA111" s="69">
        <f ca="1">$AO111*IF(Auswahllisten!$G$150,BA$25+BA$25*BA$13*$AN111,BA$25*(1+BA$13)^$AN111)</f>
        <v>0</v>
      </c>
      <c r="BB111" s="69">
        <f ca="1">$AO111*IF(Auswahllisten!$G$150,BB$25+BB$25*BB$13*$AN111,BB$25*(1+BB$13)^$AN111)</f>
        <v>0</v>
      </c>
      <c r="BC111" s="69">
        <f ca="1">$AO111*IF(Auswahllisten!$G$150,BC$25+BC$25*BC$13*$AN111,BC$25*(1+BC$13)^$AN111)</f>
        <v>0</v>
      </c>
      <c r="BD111" s="69">
        <f t="shared" ca="1" si="122"/>
        <v>0</v>
      </c>
      <c r="BE111" s="69">
        <f t="shared" ca="1" si="147"/>
        <v>0</v>
      </c>
      <c r="BF111" s="69">
        <f t="shared" ca="1" si="148"/>
        <v>0</v>
      </c>
      <c r="BG111" s="69">
        <f t="shared" ca="1" si="125"/>
        <v>0</v>
      </c>
      <c r="BI111" s="69">
        <f t="shared" ca="1" si="149"/>
        <v>0</v>
      </c>
      <c r="BJ111" s="69">
        <f t="shared" ca="1" si="149"/>
        <v>0</v>
      </c>
      <c r="BK111" s="69">
        <f t="shared" si="149"/>
        <v>0</v>
      </c>
      <c r="BL111" s="69">
        <f t="shared" ca="1" si="149"/>
        <v>0</v>
      </c>
      <c r="BM111" s="69">
        <f t="shared" ca="1" si="149"/>
        <v>0</v>
      </c>
      <c r="BN111" s="69">
        <f t="shared" ca="1" si="149"/>
        <v>0</v>
      </c>
      <c r="BO111" s="69">
        <f t="shared" si="149"/>
        <v>0</v>
      </c>
      <c r="BP111" s="69">
        <f t="shared" ca="1" si="150"/>
        <v>0</v>
      </c>
      <c r="BQ111" s="69">
        <f t="shared" ca="1" si="151"/>
        <v>0</v>
      </c>
      <c r="BR111" s="69">
        <f t="shared" ca="1" si="152"/>
        <v>0</v>
      </c>
      <c r="BS111" s="69">
        <f ca="1">$AO111*IF(Auswahllisten!$G$150,BS$25+BS$25*BS$13*$AN111,BS$25*(1+BS$13)^$AN111)</f>
        <v>0</v>
      </c>
      <c r="BT111" s="69">
        <f ca="1">$AO111*IF(Auswahllisten!$G$150,BT$25+BT$25*BT$13*$AN111,BT$25*(1+BT$13)^$AN111)</f>
        <v>0</v>
      </c>
      <c r="BU111" s="69">
        <f ca="1">$AO111*IF(Auswahllisten!$G$150,BU$25+BU$25*BU$13*$AN111,BU$25*(1+BU$13)^$AN111)</f>
        <v>0</v>
      </c>
      <c r="BV111" s="69">
        <f ca="1">$AO111*IF(Auswahllisten!$G$150,BV$25+BV$25*BV$13*$AN111,BV$25*(1+BV$13)^$AN111)</f>
        <v>0</v>
      </c>
      <c r="BW111" s="69">
        <f t="shared" ca="1" si="127"/>
        <v>0</v>
      </c>
      <c r="BX111" s="69">
        <f t="shared" ca="1" si="153"/>
        <v>0</v>
      </c>
      <c r="BY111" s="69">
        <f t="shared" ca="1" si="154"/>
        <v>0</v>
      </c>
      <c r="BZ111" s="69">
        <f t="shared" ca="1" si="118"/>
        <v>0</v>
      </c>
    </row>
    <row r="112" spans="1:78">
      <c r="A112" s="304" t="s">
        <v>1248</v>
      </c>
      <c r="B112" s="131" t="s">
        <v>1249</v>
      </c>
      <c r="C112" s="131" t="s">
        <v>942</v>
      </c>
      <c r="D112" s="162" t="str" cm="1">
        <f t="array" aca="1" ref="D112" ca="1">INDIRECT("Vergleich!"&amp;$G$2&amp;Z112)</f>
        <v>mittel</v>
      </c>
      <c r="E112" s="162" cm="1">
        <f t="array" aca="1" ref="E112" ca="1">INDIRECT("Investition_gewählt!"&amp;$I$5&amp;AA112)</f>
        <v>1050</v>
      </c>
      <c r="F112" s="25" cm="1">
        <f t="array" aca="1" ref="F112" ca="1">IF($C$5=0,0,INDEX(Faktoren!E95:GQ95,1,VLOOKUP($F$5,$L$2:$O$14,4,FALSE)+$C$9*5+VLOOKUP(D112,Auswahllisten!$E$25:$F$29,2,FALSE)))</f>
        <v>0</v>
      </c>
      <c r="G112" s="25">
        <f ca="1">E112*F112</f>
        <v>0</v>
      </c>
      <c r="H112" s="25" cm="1">
        <f t="array" aca="1" ref="H112" ca="1">INDIRECT("Investition_gewählt!"&amp;$I$6&amp;AA112)</f>
        <v>1050</v>
      </c>
      <c r="I112" s="25" cm="1">
        <f t="array" aca="1" ref="I112" ca="1">IF($C$5=0,0,INDEX(Faktoren!E95:GQ95,1,VLOOKUP($F$6,$L$2:$O$14,4,FALSE)+$C$9*5+VLOOKUP(D112,Auswahllisten!$E$25:$F$29,2,FALSE)))</f>
        <v>0</v>
      </c>
      <c r="J112" s="25">
        <f ca="1">H112*I112</f>
        <v>0</v>
      </c>
      <c r="K112" s="25">
        <f t="shared" ref="K112:K113" ca="1" si="158">IF($C$5=0,0,G112+(J112-G112)*($C$6-$F$5)/($F$6-$F$5))</f>
        <v>0</v>
      </c>
      <c r="L112" s="25">
        <v>1</v>
      </c>
      <c r="M112" s="162">
        <f ca="1">IFERROR(ROUND(K112*L112,AB112),0)</f>
        <v>0</v>
      </c>
      <c r="Z112" s="1">
        <v>71</v>
      </c>
      <c r="AA112" s="1">
        <v>95</v>
      </c>
      <c r="AB112" s="1">
        <v>-2</v>
      </c>
      <c r="AN112" s="1">
        <v>87</v>
      </c>
      <c r="AO112" s="1">
        <f t="shared" si="142"/>
        <v>0</v>
      </c>
      <c r="AP112" s="69">
        <f t="shared" ca="1" si="143"/>
        <v>0</v>
      </c>
      <c r="AQ112" s="69">
        <f t="shared" ca="1" si="143"/>
        <v>0</v>
      </c>
      <c r="AR112" s="69">
        <f t="shared" si="143"/>
        <v>0</v>
      </c>
      <c r="AS112" s="69">
        <f t="shared" ca="1" si="143"/>
        <v>0</v>
      </c>
      <c r="AT112" s="69">
        <f t="shared" ca="1" si="143"/>
        <v>0</v>
      </c>
      <c r="AU112" s="69">
        <f t="shared" ca="1" si="143"/>
        <v>0</v>
      </c>
      <c r="AV112" s="69">
        <f t="shared" si="143"/>
        <v>0</v>
      </c>
      <c r="AW112" s="69">
        <f t="shared" ca="1" si="144"/>
        <v>0</v>
      </c>
      <c r="AX112" s="69">
        <f t="shared" ca="1" si="145"/>
        <v>0</v>
      </c>
      <c r="AY112" s="69">
        <f t="shared" ca="1" si="146"/>
        <v>0</v>
      </c>
      <c r="AZ112" s="69">
        <f ca="1">$AO112*IF(Auswahllisten!$G$150,AZ$25+AZ$25*AZ$13*$AN112,AZ$25*(1+AZ$13)^$AN112)</f>
        <v>0</v>
      </c>
      <c r="BA112" s="69">
        <f ca="1">$AO112*IF(Auswahllisten!$G$150,BA$25+BA$25*BA$13*$AN112,BA$25*(1+BA$13)^$AN112)</f>
        <v>0</v>
      </c>
      <c r="BB112" s="69">
        <f ca="1">$AO112*IF(Auswahllisten!$G$150,BB$25+BB$25*BB$13*$AN112,BB$25*(1+BB$13)^$AN112)</f>
        <v>0</v>
      </c>
      <c r="BC112" s="69">
        <f ca="1">$AO112*IF(Auswahllisten!$G$150,BC$25+BC$25*BC$13*$AN112,BC$25*(1+BC$13)^$AN112)</f>
        <v>0</v>
      </c>
      <c r="BD112" s="69">
        <f t="shared" ca="1" si="122"/>
        <v>0</v>
      </c>
      <c r="BE112" s="69">
        <f t="shared" ca="1" si="147"/>
        <v>0</v>
      </c>
      <c r="BF112" s="69">
        <f t="shared" ca="1" si="148"/>
        <v>0</v>
      </c>
      <c r="BG112" s="69">
        <f t="shared" ca="1" si="125"/>
        <v>0</v>
      </c>
      <c r="BI112" s="69">
        <f t="shared" ca="1" si="149"/>
        <v>0</v>
      </c>
      <c r="BJ112" s="69">
        <f t="shared" ca="1" si="149"/>
        <v>0</v>
      </c>
      <c r="BK112" s="69">
        <f t="shared" si="149"/>
        <v>0</v>
      </c>
      <c r="BL112" s="69">
        <f t="shared" ca="1" si="149"/>
        <v>0</v>
      </c>
      <c r="BM112" s="69">
        <f t="shared" ca="1" si="149"/>
        <v>0</v>
      </c>
      <c r="BN112" s="69">
        <f t="shared" ca="1" si="149"/>
        <v>0</v>
      </c>
      <c r="BO112" s="69">
        <f t="shared" si="149"/>
        <v>0</v>
      </c>
      <c r="BP112" s="69">
        <f t="shared" ca="1" si="150"/>
        <v>0</v>
      </c>
      <c r="BQ112" s="69">
        <f t="shared" ca="1" si="151"/>
        <v>0</v>
      </c>
      <c r="BR112" s="69">
        <f t="shared" ca="1" si="152"/>
        <v>0</v>
      </c>
      <c r="BS112" s="69">
        <f ca="1">$AO112*IF(Auswahllisten!$G$150,BS$25+BS$25*BS$13*$AN112,BS$25*(1+BS$13)^$AN112)</f>
        <v>0</v>
      </c>
      <c r="BT112" s="69">
        <f ca="1">$AO112*IF(Auswahllisten!$G$150,BT$25+BT$25*BT$13*$AN112,BT$25*(1+BT$13)^$AN112)</f>
        <v>0</v>
      </c>
      <c r="BU112" s="69">
        <f ca="1">$AO112*IF(Auswahllisten!$G$150,BU$25+BU$25*BU$13*$AN112,BU$25*(1+BU$13)^$AN112)</f>
        <v>0</v>
      </c>
      <c r="BV112" s="69">
        <f ca="1">$AO112*IF(Auswahllisten!$G$150,BV$25+BV$25*BV$13*$AN112,BV$25*(1+BV$13)^$AN112)</f>
        <v>0</v>
      </c>
      <c r="BW112" s="69">
        <f t="shared" ca="1" si="127"/>
        <v>0</v>
      </c>
      <c r="BX112" s="69">
        <f t="shared" ca="1" si="153"/>
        <v>0</v>
      </c>
      <c r="BY112" s="69">
        <f t="shared" ca="1" si="154"/>
        <v>0</v>
      </c>
      <c r="BZ112" s="69">
        <f t="shared" ca="1" si="118"/>
        <v>0</v>
      </c>
    </row>
    <row r="113" spans="1:78">
      <c r="A113" s="82" t="s">
        <v>1248</v>
      </c>
      <c r="B113" s="64" t="s">
        <v>1249</v>
      </c>
      <c r="C113" s="134" t="s">
        <v>943</v>
      </c>
      <c r="D113" s="163" t="str" cm="1">
        <f t="array" aca="1" ref="D113" ca="1">INDIRECT("Vergleich!"&amp;$G$2&amp;Z113)</f>
        <v>mittel</v>
      </c>
      <c r="E113" s="163" cm="1">
        <f t="array" aca="1" ref="E113" ca="1">INDIRECT("Investition_gewählt!"&amp;$I$5&amp;AA113)</f>
        <v>1400</v>
      </c>
      <c r="F113" s="61" cm="1">
        <f t="array" aca="1" ref="F113" ca="1">IF($C$5=0,0,INDEX(Faktoren!E96:GQ96,1,VLOOKUP($F$5,$L$2:$O$14,4,FALSE)+$C$9*5+VLOOKUP(D113,Auswahllisten!$E$25:$F$29,2,FALSE)))</f>
        <v>0</v>
      </c>
      <c r="G113" s="61">
        <f ca="1">E113*F113</f>
        <v>0</v>
      </c>
      <c r="H113" s="60" cm="1">
        <f t="array" aca="1" ref="H113" ca="1">INDIRECT("Investition_gewählt!"&amp;$I$6&amp;AA113)</f>
        <v>1400</v>
      </c>
      <c r="I113" s="61" cm="1">
        <f t="array" aca="1" ref="I113" ca="1">IF($C$5=0,0,INDEX(Faktoren!E96:GQ96,1,VLOOKUP($F$6,$L$2:$O$14,4,FALSE)+$C$9*5+VLOOKUP(D113,Auswahllisten!$E$25:$F$29,2,FALSE)))</f>
        <v>0</v>
      </c>
      <c r="J113" s="61">
        <f ca="1">H113*I113</f>
        <v>0</v>
      </c>
      <c r="K113" s="93">
        <f t="shared" ca="1" si="158"/>
        <v>0</v>
      </c>
      <c r="L113" s="93">
        <f ca="1">($C$5=1)+(C5=3)+(C5=4)</f>
        <v>0</v>
      </c>
      <c r="M113" s="163">
        <f t="shared" ref="M113" ca="1" si="159">IFERROR(ROUND(K113*L113,AB113),0)</f>
        <v>0</v>
      </c>
      <c r="Z113" s="1">
        <v>72</v>
      </c>
      <c r="AA113" s="1">
        <v>96</v>
      </c>
      <c r="AB113" s="1">
        <v>-2</v>
      </c>
      <c r="AN113" s="1">
        <v>88</v>
      </c>
      <c r="AO113" s="1">
        <f t="shared" si="142"/>
        <v>0</v>
      </c>
      <c r="AP113" s="69">
        <f t="shared" ca="1" si="143"/>
        <v>0</v>
      </c>
      <c r="AQ113" s="69">
        <f t="shared" ca="1" si="143"/>
        <v>0</v>
      </c>
      <c r="AR113" s="69">
        <f t="shared" si="143"/>
        <v>0</v>
      </c>
      <c r="AS113" s="69">
        <f t="shared" ca="1" si="143"/>
        <v>0</v>
      </c>
      <c r="AT113" s="69">
        <f t="shared" ca="1" si="143"/>
        <v>0</v>
      </c>
      <c r="AU113" s="69">
        <f t="shared" ca="1" si="143"/>
        <v>0</v>
      </c>
      <c r="AV113" s="69">
        <f t="shared" si="143"/>
        <v>0</v>
      </c>
      <c r="AW113" s="69">
        <f t="shared" ca="1" si="144"/>
        <v>0</v>
      </c>
      <c r="AX113" s="69">
        <f t="shared" ca="1" si="145"/>
        <v>0</v>
      </c>
      <c r="AY113" s="69">
        <f t="shared" ca="1" si="146"/>
        <v>0</v>
      </c>
      <c r="AZ113" s="69">
        <f ca="1">$AO113*IF(Auswahllisten!$G$150,AZ$25+AZ$25*AZ$13*$AN113,AZ$25*(1+AZ$13)^$AN113)</f>
        <v>0</v>
      </c>
      <c r="BA113" s="69">
        <f ca="1">$AO113*IF(Auswahllisten!$G$150,BA$25+BA$25*BA$13*$AN113,BA$25*(1+BA$13)^$AN113)</f>
        <v>0</v>
      </c>
      <c r="BB113" s="69">
        <f ca="1">$AO113*IF(Auswahllisten!$G$150,BB$25+BB$25*BB$13*$AN113,BB$25*(1+BB$13)^$AN113)</f>
        <v>0</v>
      </c>
      <c r="BC113" s="69">
        <f ca="1">$AO113*IF(Auswahllisten!$G$150,BC$25+BC$25*BC$13*$AN113,BC$25*(1+BC$13)^$AN113)</f>
        <v>0</v>
      </c>
      <c r="BD113" s="69">
        <f t="shared" ca="1" si="122"/>
        <v>0</v>
      </c>
      <c r="BE113" s="69">
        <f t="shared" ca="1" si="147"/>
        <v>0</v>
      </c>
      <c r="BF113" s="69">
        <f t="shared" ca="1" si="148"/>
        <v>0</v>
      </c>
      <c r="BG113" s="69">
        <f t="shared" ca="1" si="125"/>
        <v>0</v>
      </c>
      <c r="BI113" s="69">
        <f t="shared" ca="1" si="149"/>
        <v>0</v>
      </c>
      <c r="BJ113" s="69">
        <f t="shared" ca="1" si="149"/>
        <v>0</v>
      </c>
      <c r="BK113" s="69">
        <f t="shared" si="149"/>
        <v>0</v>
      </c>
      <c r="BL113" s="69">
        <f t="shared" ca="1" si="149"/>
        <v>0</v>
      </c>
      <c r="BM113" s="69">
        <f t="shared" ca="1" si="149"/>
        <v>0</v>
      </c>
      <c r="BN113" s="69">
        <f t="shared" ca="1" si="149"/>
        <v>0</v>
      </c>
      <c r="BO113" s="69">
        <f t="shared" si="149"/>
        <v>0</v>
      </c>
      <c r="BP113" s="69">
        <f t="shared" ca="1" si="150"/>
        <v>0</v>
      </c>
      <c r="BQ113" s="69">
        <f t="shared" ca="1" si="151"/>
        <v>0</v>
      </c>
      <c r="BR113" s="69">
        <f t="shared" ca="1" si="152"/>
        <v>0</v>
      </c>
      <c r="BS113" s="69">
        <f ca="1">$AO113*IF(Auswahllisten!$G$150,BS$25+BS$25*BS$13*$AN113,BS$25*(1+BS$13)^$AN113)</f>
        <v>0</v>
      </c>
      <c r="BT113" s="69">
        <f ca="1">$AO113*IF(Auswahllisten!$G$150,BT$25+BT$25*BT$13*$AN113,BT$25*(1+BT$13)^$AN113)</f>
        <v>0</v>
      </c>
      <c r="BU113" s="69">
        <f ca="1">$AO113*IF(Auswahllisten!$G$150,BU$25+BU$25*BU$13*$AN113,BU$25*(1+BU$13)^$AN113)</f>
        <v>0</v>
      </c>
      <c r="BV113" s="69">
        <f ca="1">$AO113*IF(Auswahllisten!$G$150,BV$25+BV$25*BV$13*$AN113,BV$25*(1+BV$13)^$AN113)</f>
        <v>0</v>
      </c>
      <c r="BW113" s="69">
        <f t="shared" ca="1" si="127"/>
        <v>0</v>
      </c>
      <c r="BX113" s="69">
        <f t="shared" ca="1" si="153"/>
        <v>0</v>
      </c>
      <c r="BY113" s="69">
        <f t="shared" ca="1" si="154"/>
        <v>0</v>
      </c>
      <c r="BZ113" s="69">
        <f t="shared" ca="1" si="118"/>
        <v>0</v>
      </c>
    </row>
    <row r="114" spans="1:78">
      <c r="A114" s="125"/>
      <c r="B114" s="64"/>
      <c r="C114" s="64"/>
      <c r="D114" s="69"/>
      <c r="M114" s="69"/>
      <c r="AA114" s="1">
        <v>97</v>
      </c>
      <c r="AB114" s="1">
        <v>-2</v>
      </c>
      <c r="AN114" s="1">
        <v>89</v>
      </c>
      <c r="AO114" s="1">
        <f t="shared" si="142"/>
        <v>0</v>
      </c>
      <c r="AP114" s="69">
        <f t="shared" ref="AP114:AV125" ca="1" si="160">IFERROR($AO114*IF(MOD($AN114,AP$20)=0,AP$25,0)*(1+$AS$10)^$AN114*IF($AS$3=$AN114,0,1),0)</f>
        <v>0</v>
      </c>
      <c r="AQ114" s="69">
        <f t="shared" ca="1" si="160"/>
        <v>0</v>
      </c>
      <c r="AR114" s="69">
        <f t="shared" si="160"/>
        <v>0</v>
      </c>
      <c r="AS114" s="69">
        <f t="shared" ca="1" si="160"/>
        <v>0</v>
      </c>
      <c r="AT114" s="69">
        <f t="shared" ca="1" si="160"/>
        <v>0</v>
      </c>
      <c r="AU114" s="69">
        <f t="shared" ca="1" si="160"/>
        <v>0</v>
      </c>
      <c r="AV114" s="69">
        <f t="shared" si="160"/>
        <v>0</v>
      </c>
      <c r="AW114" s="69">
        <f t="shared" ca="1" si="144"/>
        <v>0</v>
      </c>
      <c r="AX114" s="69">
        <f t="shared" ca="1" si="145"/>
        <v>0</v>
      </c>
      <c r="AY114" s="69">
        <f t="shared" ca="1" si="146"/>
        <v>0</v>
      </c>
      <c r="AZ114" s="69">
        <f ca="1">$AO114*IF(Auswahllisten!$G$150,AZ$25+AZ$25*AZ$13*$AN114,AZ$25*(1+AZ$13)^$AN114)</f>
        <v>0</v>
      </c>
      <c r="BA114" s="69">
        <f ca="1">$AO114*IF(Auswahllisten!$G$150,BA$25+BA$25*BA$13*$AN114,BA$25*(1+BA$13)^$AN114)</f>
        <v>0</v>
      </c>
      <c r="BB114" s="69">
        <f ca="1">$AO114*IF(Auswahllisten!$G$150,BB$25+BB$25*BB$13*$AN114,BB$25*(1+BB$13)^$AN114)</f>
        <v>0</v>
      </c>
      <c r="BC114" s="69">
        <f ca="1">$AO114*IF(Auswahllisten!$G$150,BC$25+BC$25*BC$13*$AN114,BC$25*(1+BC$13)^$AN114)</f>
        <v>0</v>
      </c>
      <c r="BD114" s="69">
        <f t="shared" ca="1" si="122"/>
        <v>0</v>
      </c>
      <c r="BE114" s="69">
        <f t="shared" ca="1" si="147"/>
        <v>0</v>
      </c>
      <c r="BF114" s="69">
        <f t="shared" ca="1" si="148"/>
        <v>0</v>
      </c>
      <c r="BG114" s="69">
        <f t="shared" ca="1" si="125"/>
        <v>0</v>
      </c>
      <c r="BI114" s="69">
        <f t="shared" ca="1" si="149"/>
        <v>0</v>
      </c>
      <c r="BJ114" s="69">
        <f t="shared" ca="1" si="149"/>
        <v>0</v>
      </c>
      <c r="BK114" s="69">
        <f t="shared" si="149"/>
        <v>0</v>
      </c>
      <c r="BL114" s="69">
        <f t="shared" ca="1" si="149"/>
        <v>0</v>
      </c>
      <c r="BM114" s="69">
        <f t="shared" ca="1" si="149"/>
        <v>0</v>
      </c>
      <c r="BN114" s="69">
        <f t="shared" ca="1" si="149"/>
        <v>0</v>
      </c>
      <c r="BO114" s="69">
        <f t="shared" si="149"/>
        <v>0</v>
      </c>
      <c r="BP114" s="69">
        <f t="shared" ca="1" si="150"/>
        <v>0</v>
      </c>
      <c r="BQ114" s="69">
        <f t="shared" ca="1" si="151"/>
        <v>0</v>
      </c>
      <c r="BR114" s="69">
        <f t="shared" ca="1" si="152"/>
        <v>0</v>
      </c>
      <c r="BS114" s="69">
        <f ca="1">$AO114*IF(Auswahllisten!$G$150,BS$25+BS$25*BS$13*$AN114,BS$25*(1+BS$13)^$AN114)</f>
        <v>0</v>
      </c>
      <c r="BT114" s="69">
        <f ca="1">$AO114*IF(Auswahllisten!$G$150,BT$25+BT$25*BT$13*$AN114,BT$25*(1+BT$13)^$AN114)</f>
        <v>0</v>
      </c>
      <c r="BU114" s="69">
        <f ca="1">$AO114*IF(Auswahllisten!$G$150,BU$25+BU$25*BU$13*$AN114,BU$25*(1+BU$13)^$AN114)</f>
        <v>0</v>
      </c>
      <c r="BV114" s="69">
        <f ca="1">$AO114*IF(Auswahllisten!$G$150,BV$25+BV$25*BV$13*$AN114,BV$25*(1+BV$13)^$AN114)</f>
        <v>0</v>
      </c>
      <c r="BW114" s="69">
        <f t="shared" ca="1" si="127"/>
        <v>0</v>
      </c>
      <c r="BX114" s="69">
        <f t="shared" ca="1" si="153"/>
        <v>0</v>
      </c>
      <c r="BY114" s="69">
        <f t="shared" ca="1" si="154"/>
        <v>0</v>
      </c>
      <c r="BZ114" s="69">
        <f t="shared" ca="1" si="118"/>
        <v>0</v>
      </c>
    </row>
    <row r="115" spans="1:78">
      <c r="A115" s="125"/>
      <c r="B115" s="125" t="s">
        <v>1009</v>
      </c>
      <c r="C115" s="64"/>
      <c r="D115" s="69"/>
      <c r="M115" s="69"/>
      <c r="AA115" s="1">
        <v>98</v>
      </c>
      <c r="AB115" s="1">
        <v>-2</v>
      </c>
      <c r="AN115" s="1">
        <v>90</v>
      </c>
      <c r="AO115" s="1">
        <f t="shared" si="142"/>
        <v>0</v>
      </c>
      <c r="AP115" s="69">
        <f t="shared" ca="1" si="160"/>
        <v>0</v>
      </c>
      <c r="AQ115" s="69">
        <f t="shared" ca="1" si="160"/>
        <v>0</v>
      </c>
      <c r="AR115" s="69">
        <f t="shared" si="160"/>
        <v>0</v>
      </c>
      <c r="AS115" s="69">
        <f t="shared" ca="1" si="160"/>
        <v>0</v>
      </c>
      <c r="AT115" s="69">
        <f t="shared" ca="1" si="160"/>
        <v>0</v>
      </c>
      <c r="AU115" s="69">
        <f t="shared" ca="1" si="160"/>
        <v>0</v>
      </c>
      <c r="AV115" s="69">
        <f t="shared" si="160"/>
        <v>0</v>
      </c>
      <c r="AW115" s="69">
        <f t="shared" ca="1" si="144"/>
        <v>0</v>
      </c>
      <c r="AX115" s="69">
        <f t="shared" ca="1" si="145"/>
        <v>0</v>
      </c>
      <c r="AY115" s="69">
        <f t="shared" ca="1" si="146"/>
        <v>0</v>
      </c>
      <c r="AZ115" s="69">
        <f ca="1">$AO115*IF(Auswahllisten!$G$150,AZ$25+AZ$25*AZ$13*$AN115,AZ$25*(1+AZ$13)^$AN115)</f>
        <v>0</v>
      </c>
      <c r="BA115" s="69">
        <f ca="1">$AO115*IF(Auswahllisten!$G$150,BA$25+BA$25*BA$13*$AN115,BA$25*(1+BA$13)^$AN115)</f>
        <v>0</v>
      </c>
      <c r="BB115" s="69">
        <f ca="1">$AO115*IF(Auswahllisten!$G$150,BB$25+BB$25*BB$13*$AN115,BB$25*(1+BB$13)^$AN115)</f>
        <v>0</v>
      </c>
      <c r="BC115" s="69">
        <f ca="1">$AO115*IF(Auswahllisten!$G$150,BC$25+BC$25*BC$13*$AN115,BC$25*(1+BC$13)^$AN115)</f>
        <v>0</v>
      </c>
      <c r="BD115" s="69">
        <f t="shared" ca="1" si="122"/>
        <v>0</v>
      </c>
      <c r="BE115" s="69">
        <f t="shared" ca="1" si="147"/>
        <v>0</v>
      </c>
      <c r="BF115" s="69">
        <f t="shared" ca="1" si="148"/>
        <v>0</v>
      </c>
      <c r="BG115" s="69">
        <f t="shared" ca="1" si="125"/>
        <v>0</v>
      </c>
      <c r="BI115" s="69">
        <f t="shared" ca="1" si="149"/>
        <v>0</v>
      </c>
      <c r="BJ115" s="69">
        <f t="shared" ca="1" si="149"/>
        <v>0</v>
      </c>
      <c r="BK115" s="69">
        <f t="shared" si="149"/>
        <v>0</v>
      </c>
      <c r="BL115" s="69">
        <f t="shared" ca="1" si="149"/>
        <v>0</v>
      </c>
      <c r="BM115" s="69">
        <f t="shared" ca="1" si="149"/>
        <v>0</v>
      </c>
      <c r="BN115" s="69">
        <f t="shared" ca="1" si="149"/>
        <v>0</v>
      </c>
      <c r="BO115" s="69">
        <f t="shared" si="149"/>
        <v>0</v>
      </c>
      <c r="BP115" s="69">
        <f t="shared" ca="1" si="150"/>
        <v>0</v>
      </c>
      <c r="BQ115" s="69">
        <f t="shared" ca="1" si="151"/>
        <v>0</v>
      </c>
      <c r="BR115" s="69">
        <f t="shared" ca="1" si="152"/>
        <v>0</v>
      </c>
      <c r="BS115" s="69">
        <f ca="1">$AO115*IF(Auswahllisten!$G$150,BS$25+BS$25*BS$13*$AN115,BS$25*(1+BS$13)^$AN115)</f>
        <v>0</v>
      </c>
      <c r="BT115" s="69">
        <f ca="1">$AO115*IF(Auswahllisten!$G$150,BT$25+BT$25*BT$13*$AN115,BT$25*(1+BT$13)^$AN115)</f>
        <v>0</v>
      </c>
      <c r="BU115" s="69">
        <f ca="1">$AO115*IF(Auswahllisten!$G$150,BU$25+BU$25*BU$13*$AN115,BU$25*(1+BU$13)^$AN115)</f>
        <v>0</v>
      </c>
      <c r="BV115" s="69">
        <f ca="1">$AO115*IF(Auswahllisten!$G$150,BV$25+BV$25*BV$13*$AN115,BV$25*(1+BV$13)^$AN115)</f>
        <v>0</v>
      </c>
      <c r="BW115" s="69">
        <f t="shared" ca="1" si="127"/>
        <v>0</v>
      </c>
      <c r="BX115" s="69">
        <f t="shared" ca="1" si="153"/>
        <v>0</v>
      </c>
      <c r="BY115" s="69">
        <f t="shared" ca="1" si="154"/>
        <v>0</v>
      </c>
      <c r="BZ115" s="69">
        <f t="shared" ca="1" si="118"/>
        <v>0</v>
      </c>
    </row>
    <row r="116" spans="1:78">
      <c r="A116" s="304" t="s">
        <v>1225</v>
      </c>
      <c r="B116" s="131" t="s">
        <v>1250</v>
      </c>
      <c r="C116" s="131" t="s">
        <v>944</v>
      </c>
      <c r="D116" s="162" t="str" cm="1">
        <f t="array" aca="1" ref="D116" ca="1">INDIRECT("Vergleich!"&amp;$G$2&amp;Z116)</f>
        <v>mittel</v>
      </c>
      <c r="E116" s="162" cm="1">
        <f t="array" aca="1" ref="E116" ca="1">INDIRECT("Investition_gewählt!"&amp;$I$5&amp;AA116)</f>
        <v>3500</v>
      </c>
      <c r="F116" s="25" cm="1">
        <f t="array" aca="1" ref="F116" ca="1">IF($C$5=0,0,INDEX(Faktoren!E99:GQ99,1,VLOOKUP($F$5,$L$2:$O$14,4,FALSE)+$C$9*5+VLOOKUP(D116,Auswahllisten!$E$25:$F$29,2,FALSE)))</f>
        <v>0</v>
      </c>
      <c r="G116" s="162">
        <f t="shared" ref="G116:G125" ca="1" si="161">E116*F116</f>
        <v>0</v>
      </c>
      <c r="H116" s="162" cm="1">
        <f t="array" aca="1" ref="H116" ca="1">INDIRECT("Investition_gewählt!"&amp;$I$6&amp;AA116)</f>
        <v>3500</v>
      </c>
      <c r="I116" s="25" cm="1">
        <f t="array" aca="1" ref="I116" ca="1">IF($C$5=0,0,INDEX(Faktoren!E99:GQ99,1,VLOOKUP($F$6,$L$2:$O$14,4,FALSE)+$C$9*5+VLOOKUP(D116,Auswahllisten!$E$25:$F$29,2,FALSE)))</f>
        <v>0</v>
      </c>
      <c r="J116" s="162">
        <f t="shared" ref="J116:J125" ca="1" si="162">H116*I116</f>
        <v>0</v>
      </c>
      <c r="K116" s="162">
        <f t="shared" ref="K116:K125" ca="1" si="163">IF($C$5=0,0,G116+(J116-G116)*($C$6-$F$5)/($F$6-$F$5))</f>
        <v>0</v>
      </c>
      <c r="L116" s="162">
        <v>1</v>
      </c>
      <c r="M116" s="162">
        <f t="shared" ref="M116:M125" ca="1" si="164">IFERROR(ROUND(K116*L116,AB116),0)</f>
        <v>0</v>
      </c>
      <c r="Z116" s="1">
        <v>73</v>
      </c>
      <c r="AA116" s="1">
        <v>99</v>
      </c>
      <c r="AB116" s="1">
        <v>-2</v>
      </c>
      <c r="AN116" s="1">
        <v>91</v>
      </c>
      <c r="AO116" s="1">
        <f t="shared" si="142"/>
        <v>0</v>
      </c>
      <c r="AP116" s="69">
        <f t="shared" ca="1" si="160"/>
        <v>0</v>
      </c>
      <c r="AQ116" s="69">
        <f t="shared" ca="1" si="160"/>
        <v>0</v>
      </c>
      <c r="AR116" s="69">
        <f t="shared" si="160"/>
        <v>0</v>
      </c>
      <c r="AS116" s="69">
        <f t="shared" ca="1" si="160"/>
        <v>0</v>
      </c>
      <c r="AT116" s="69">
        <f t="shared" ca="1" si="160"/>
        <v>0</v>
      </c>
      <c r="AU116" s="69">
        <f t="shared" ca="1" si="160"/>
        <v>0</v>
      </c>
      <c r="AV116" s="69">
        <f t="shared" si="160"/>
        <v>0</v>
      </c>
      <c r="AW116" s="69">
        <f t="shared" ca="1" si="144"/>
        <v>0</v>
      </c>
      <c r="AX116" s="69">
        <f t="shared" ca="1" si="145"/>
        <v>0</v>
      </c>
      <c r="AY116" s="69">
        <f t="shared" ca="1" si="146"/>
        <v>0</v>
      </c>
      <c r="AZ116" s="69">
        <f ca="1">$AO116*IF(Auswahllisten!$G$150,AZ$25+AZ$25*AZ$13*$AN116,AZ$25*(1+AZ$13)^$AN116)</f>
        <v>0</v>
      </c>
      <c r="BA116" s="69">
        <f ca="1">$AO116*IF(Auswahllisten!$G$150,BA$25+BA$25*BA$13*$AN116,BA$25*(1+BA$13)^$AN116)</f>
        <v>0</v>
      </c>
      <c r="BB116" s="69">
        <f ca="1">$AO116*IF(Auswahllisten!$G$150,BB$25+BB$25*BB$13*$AN116,BB$25*(1+BB$13)^$AN116)</f>
        <v>0</v>
      </c>
      <c r="BC116" s="69">
        <f ca="1">$AO116*IF(Auswahllisten!$G$150,BC$25+BC$25*BC$13*$AN116,BC$25*(1+BC$13)^$AN116)</f>
        <v>0</v>
      </c>
      <c r="BD116" s="69">
        <f t="shared" ca="1" si="122"/>
        <v>0</v>
      </c>
      <c r="BE116" s="69">
        <f t="shared" ca="1" si="147"/>
        <v>0</v>
      </c>
      <c r="BF116" s="69">
        <f t="shared" ca="1" si="148"/>
        <v>0</v>
      </c>
      <c r="BG116" s="69">
        <f t="shared" ca="1" si="125"/>
        <v>0</v>
      </c>
      <c r="BI116" s="69">
        <f t="shared" ca="1" si="149"/>
        <v>0</v>
      </c>
      <c r="BJ116" s="69">
        <f t="shared" ca="1" si="149"/>
        <v>0</v>
      </c>
      <c r="BK116" s="69">
        <f t="shared" si="149"/>
        <v>0</v>
      </c>
      <c r="BL116" s="69">
        <f t="shared" ca="1" si="149"/>
        <v>0</v>
      </c>
      <c r="BM116" s="69">
        <f t="shared" ca="1" si="149"/>
        <v>0</v>
      </c>
      <c r="BN116" s="69">
        <f t="shared" ca="1" si="149"/>
        <v>0</v>
      </c>
      <c r="BO116" s="69">
        <f t="shared" si="149"/>
        <v>0</v>
      </c>
      <c r="BP116" s="69">
        <f t="shared" ca="1" si="150"/>
        <v>0</v>
      </c>
      <c r="BQ116" s="69">
        <f t="shared" ca="1" si="151"/>
        <v>0</v>
      </c>
      <c r="BR116" s="69">
        <f t="shared" ca="1" si="152"/>
        <v>0</v>
      </c>
      <c r="BS116" s="69">
        <f ca="1">$AO116*IF(Auswahllisten!$G$150,BS$25+BS$25*BS$13*$AN116,BS$25*(1+BS$13)^$AN116)</f>
        <v>0</v>
      </c>
      <c r="BT116" s="69">
        <f ca="1">$AO116*IF(Auswahllisten!$G$150,BT$25+BT$25*BT$13*$AN116,BT$25*(1+BT$13)^$AN116)</f>
        <v>0</v>
      </c>
      <c r="BU116" s="69">
        <f ca="1">$AO116*IF(Auswahllisten!$G$150,BU$25+BU$25*BU$13*$AN116,BU$25*(1+BU$13)^$AN116)</f>
        <v>0</v>
      </c>
      <c r="BV116" s="69">
        <f ca="1">$AO116*IF(Auswahllisten!$G$150,BV$25+BV$25*BV$13*$AN116,BV$25*(1+BV$13)^$AN116)</f>
        <v>0</v>
      </c>
      <c r="BW116" s="69">
        <f t="shared" ca="1" si="127"/>
        <v>0</v>
      </c>
      <c r="BX116" s="69">
        <f t="shared" ca="1" si="153"/>
        <v>0</v>
      </c>
      <c r="BY116" s="69">
        <f t="shared" ca="1" si="154"/>
        <v>0</v>
      </c>
      <c r="BZ116" s="69">
        <f t="shared" ca="1" si="118"/>
        <v>0</v>
      </c>
    </row>
    <row r="117" spans="1:78">
      <c r="A117" s="304" t="s">
        <v>1225</v>
      </c>
      <c r="B117" s="131" t="s">
        <v>1250</v>
      </c>
      <c r="C117" s="126" t="s">
        <v>1011</v>
      </c>
      <c r="D117" s="26" t="str" cm="1">
        <f t="array" aca="1" ref="D117" ca="1">INDIRECT("Vergleich!"&amp;$G$2&amp;Z117)</f>
        <v>keine</v>
      </c>
      <c r="E117" s="26" cm="1">
        <f t="array" aca="1" ref="E117" ca="1">INDIRECT("Investition_gewählt!"&amp;$I$5&amp;AA117)</f>
        <v>6000</v>
      </c>
      <c r="F117" s="25" cm="1">
        <f t="array" aca="1" ref="F117" ca="1">IF($C$5=0,0,INDEX(Faktoren!E100:GQ100,1,VLOOKUP($F$5,$L$2:$O$14,4,FALSE)+$C$9*5+VLOOKUP(D117,Auswahllisten!$E$25:$F$29,2,FALSE)))</f>
        <v>0</v>
      </c>
      <c r="G117" s="162">
        <f t="shared" ca="1" si="161"/>
        <v>0</v>
      </c>
      <c r="H117" s="26" cm="1">
        <f t="array" aca="1" ref="H117" ca="1">INDIRECT("Investition_gewählt!"&amp;$I$6&amp;AA117)</f>
        <v>6000</v>
      </c>
      <c r="I117" s="25" cm="1">
        <f t="array" aca="1" ref="I117" ca="1">IF($C$5=0,0,INDEX(Faktoren!E100:GQ100,1,VLOOKUP($F$6,$L$2:$O$14,4,FALSE)+$C$9*5+VLOOKUP(D117,Auswahllisten!$E$25:$F$29,2,FALSE)))</f>
        <v>0</v>
      </c>
      <c r="J117" s="162">
        <f t="shared" ca="1" si="162"/>
        <v>0</v>
      </c>
      <c r="K117" s="26">
        <f t="shared" ca="1" si="163"/>
        <v>0</v>
      </c>
      <c r="L117" s="26">
        <v>1</v>
      </c>
      <c r="M117" s="26">
        <f t="shared" ca="1" si="164"/>
        <v>0</v>
      </c>
      <c r="Z117" s="1">
        <v>74</v>
      </c>
      <c r="AA117" s="1">
        <v>100</v>
      </c>
      <c r="AB117" s="1">
        <v>-2</v>
      </c>
      <c r="AN117" s="1">
        <v>92</v>
      </c>
      <c r="AO117" s="1">
        <f t="shared" si="142"/>
        <v>0</v>
      </c>
      <c r="AP117" s="69">
        <f t="shared" ca="1" si="160"/>
        <v>0</v>
      </c>
      <c r="AQ117" s="69">
        <f t="shared" ca="1" si="160"/>
        <v>0</v>
      </c>
      <c r="AR117" s="69">
        <f t="shared" si="160"/>
        <v>0</v>
      </c>
      <c r="AS117" s="69">
        <f t="shared" ca="1" si="160"/>
        <v>0</v>
      </c>
      <c r="AT117" s="69">
        <f t="shared" ca="1" si="160"/>
        <v>0</v>
      </c>
      <c r="AU117" s="69">
        <f t="shared" ca="1" si="160"/>
        <v>0</v>
      </c>
      <c r="AV117" s="69">
        <f t="shared" si="160"/>
        <v>0</v>
      </c>
      <c r="AW117" s="69">
        <f t="shared" ca="1" si="144"/>
        <v>0</v>
      </c>
      <c r="AX117" s="69">
        <f t="shared" ca="1" si="145"/>
        <v>0</v>
      </c>
      <c r="AY117" s="69">
        <f t="shared" ca="1" si="146"/>
        <v>0</v>
      </c>
      <c r="AZ117" s="69">
        <f ca="1">$AO117*IF(Auswahllisten!$G$150,AZ$25+AZ$25*AZ$13*$AN117,AZ$25*(1+AZ$13)^$AN117)</f>
        <v>0</v>
      </c>
      <c r="BA117" s="69">
        <f ca="1">$AO117*IF(Auswahllisten!$G$150,BA$25+BA$25*BA$13*$AN117,BA$25*(1+BA$13)^$AN117)</f>
        <v>0</v>
      </c>
      <c r="BB117" s="69">
        <f ca="1">$AO117*IF(Auswahllisten!$G$150,BB$25+BB$25*BB$13*$AN117,BB$25*(1+BB$13)^$AN117)</f>
        <v>0</v>
      </c>
      <c r="BC117" s="69">
        <f ca="1">$AO117*IF(Auswahllisten!$G$150,BC$25+BC$25*BC$13*$AN117,BC$25*(1+BC$13)^$AN117)</f>
        <v>0</v>
      </c>
      <c r="BD117" s="69">
        <f t="shared" ca="1" si="122"/>
        <v>0</v>
      </c>
      <c r="BE117" s="69">
        <f t="shared" ca="1" si="147"/>
        <v>0</v>
      </c>
      <c r="BF117" s="69">
        <f t="shared" ca="1" si="148"/>
        <v>0</v>
      </c>
      <c r="BG117" s="69">
        <f t="shared" ca="1" si="125"/>
        <v>0</v>
      </c>
      <c r="BI117" s="69">
        <f t="shared" ca="1" si="149"/>
        <v>0</v>
      </c>
      <c r="BJ117" s="69">
        <f t="shared" ca="1" si="149"/>
        <v>0</v>
      </c>
      <c r="BK117" s="69">
        <f t="shared" si="149"/>
        <v>0</v>
      </c>
      <c r="BL117" s="69">
        <f t="shared" ca="1" si="149"/>
        <v>0</v>
      </c>
      <c r="BM117" s="69">
        <f t="shared" ca="1" si="149"/>
        <v>0</v>
      </c>
      <c r="BN117" s="69">
        <f t="shared" ca="1" si="149"/>
        <v>0</v>
      </c>
      <c r="BO117" s="69">
        <f t="shared" si="149"/>
        <v>0</v>
      </c>
      <c r="BP117" s="69">
        <f t="shared" ca="1" si="150"/>
        <v>0</v>
      </c>
      <c r="BQ117" s="69">
        <f t="shared" ca="1" si="151"/>
        <v>0</v>
      </c>
      <c r="BR117" s="69">
        <f t="shared" ca="1" si="152"/>
        <v>0</v>
      </c>
      <c r="BS117" s="69">
        <f ca="1">$AO117*IF(Auswahllisten!$G$150,BS$25+BS$25*BS$13*$AN117,BS$25*(1+BS$13)^$AN117)</f>
        <v>0</v>
      </c>
      <c r="BT117" s="69">
        <f ca="1">$AO117*IF(Auswahllisten!$G$150,BT$25+BT$25*BT$13*$AN117,BT$25*(1+BT$13)^$AN117)</f>
        <v>0</v>
      </c>
      <c r="BU117" s="69">
        <f ca="1">$AO117*IF(Auswahllisten!$G$150,BU$25+BU$25*BU$13*$AN117,BU$25*(1+BU$13)^$AN117)</f>
        <v>0</v>
      </c>
      <c r="BV117" s="69">
        <f ca="1">$AO117*IF(Auswahllisten!$G$150,BV$25+BV$25*BV$13*$AN117,BV$25*(1+BV$13)^$AN117)</f>
        <v>0</v>
      </c>
      <c r="BW117" s="69">
        <f t="shared" ca="1" si="127"/>
        <v>0</v>
      </c>
      <c r="BX117" s="69">
        <f t="shared" ca="1" si="153"/>
        <v>0</v>
      </c>
      <c r="BY117" s="69">
        <f t="shared" ca="1" si="154"/>
        <v>0</v>
      </c>
      <c r="BZ117" s="69">
        <f t="shared" ca="1" si="118"/>
        <v>0</v>
      </c>
    </row>
    <row r="118" spans="1:78">
      <c r="A118" s="305" t="s">
        <v>1219</v>
      </c>
      <c r="B118" s="126" t="s">
        <v>1012</v>
      </c>
      <c r="C118" s="126" t="s">
        <v>946</v>
      </c>
      <c r="D118" s="26" t="str" cm="1">
        <f t="array" aca="1" ref="D118" ca="1">INDIRECT("Vergleich!"&amp;$G$2&amp;Z118)</f>
        <v>keine</v>
      </c>
      <c r="E118" s="26" cm="1">
        <f t="array" aca="1" ref="E118" ca="1">INDIRECT("Investition_gewählt!"&amp;$I$5&amp;AA118)</f>
        <v>0</v>
      </c>
      <c r="F118" s="25" cm="1">
        <f t="array" aca="1" ref="F118" ca="1">IF($C$5=0,0,INDEX(Faktoren!E101:GQ101,1,VLOOKUP($F$5,$L$2:$O$14,4,FALSE)+$C$9*5+VLOOKUP(D118,Auswahllisten!$E$25:$F$29,2,FALSE)))</f>
        <v>0</v>
      </c>
      <c r="G118" s="162">
        <f t="shared" ca="1" si="161"/>
        <v>0</v>
      </c>
      <c r="H118" s="26" cm="1">
        <f t="array" aca="1" ref="H118" ca="1">INDIRECT("Investition_gewählt!"&amp;$I$6&amp;AA118)</f>
        <v>0</v>
      </c>
      <c r="I118" s="25" cm="1">
        <f t="array" aca="1" ref="I118" ca="1">IF($C$5=0,0,INDEX(Faktoren!E101:GQ101,1,VLOOKUP($F$6,$L$2:$O$14,4,FALSE)+$C$9*5+VLOOKUP(D118,Auswahllisten!$E$25:$F$29,2,FALSE)))</f>
        <v>0</v>
      </c>
      <c r="J118" s="162">
        <f t="shared" ca="1" si="162"/>
        <v>0</v>
      </c>
      <c r="K118" s="26">
        <f t="shared" ca="1" si="163"/>
        <v>0</v>
      </c>
      <c r="L118" s="26">
        <v>1</v>
      </c>
      <c r="M118" s="26">
        <f t="shared" ca="1" si="164"/>
        <v>0</v>
      </c>
      <c r="Z118" s="1">
        <v>75</v>
      </c>
      <c r="AA118" s="1">
        <v>101</v>
      </c>
      <c r="AB118" s="1">
        <v>-2</v>
      </c>
      <c r="AN118" s="1">
        <v>93</v>
      </c>
      <c r="AO118" s="1">
        <f t="shared" si="142"/>
        <v>0</v>
      </c>
      <c r="AP118" s="69">
        <f t="shared" ca="1" si="160"/>
        <v>0</v>
      </c>
      <c r="AQ118" s="69">
        <f t="shared" ca="1" si="160"/>
        <v>0</v>
      </c>
      <c r="AR118" s="69">
        <f t="shared" si="160"/>
        <v>0</v>
      </c>
      <c r="AS118" s="69">
        <f t="shared" ca="1" si="160"/>
        <v>0</v>
      </c>
      <c r="AT118" s="69">
        <f t="shared" ca="1" si="160"/>
        <v>0</v>
      </c>
      <c r="AU118" s="69">
        <f t="shared" ca="1" si="160"/>
        <v>0</v>
      </c>
      <c r="AV118" s="69">
        <f t="shared" si="160"/>
        <v>0</v>
      </c>
      <c r="AW118" s="69">
        <f t="shared" ca="1" si="144"/>
        <v>0</v>
      </c>
      <c r="AX118" s="69">
        <f t="shared" ca="1" si="145"/>
        <v>0</v>
      </c>
      <c r="AY118" s="69">
        <f t="shared" ca="1" si="146"/>
        <v>0</v>
      </c>
      <c r="AZ118" s="69">
        <f ca="1">$AO118*IF(Auswahllisten!$G$150,AZ$25+AZ$25*AZ$13*$AN118,AZ$25*(1+AZ$13)^$AN118)</f>
        <v>0</v>
      </c>
      <c r="BA118" s="69">
        <f ca="1">$AO118*IF(Auswahllisten!$G$150,BA$25+BA$25*BA$13*$AN118,BA$25*(1+BA$13)^$AN118)</f>
        <v>0</v>
      </c>
      <c r="BB118" s="69">
        <f ca="1">$AO118*IF(Auswahllisten!$G$150,BB$25+BB$25*BB$13*$AN118,BB$25*(1+BB$13)^$AN118)</f>
        <v>0</v>
      </c>
      <c r="BC118" s="69">
        <f ca="1">$AO118*IF(Auswahllisten!$G$150,BC$25+BC$25*BC$13*$AN118,BC$25*(1+BC$13)^$AN118)</f>
        <v>0</v>
      </c>
      <c r="BD118" s="69">
        <f t="shared" ca="1" si="122"/>
        <v>0</v>
      </c>
      <c r="BE118" s="69">
        <f t="shared" ca="1" si="147"/>
        <v>0</v>
      </c>
      <c r="BF118" s="69">
        <f t="shared" ca="1" si="148"/>
        <v>0</v>
      </c>
      <c r="BG118" s="69">
        <f t="shared" ca="1" si="125"/>
        <v>0</v>
      </c>
      <c r="BI118" s="69">
        <f t="shared" ca="1" si="149"/>
        <v>0</v>
      </c>
      <c r="BJ118" s="69">
        <f t="shared" ca="1" si="149"/>
        <v>0</v>
      </c>
      <c r="BK118" s="69">
        <f t="shared" si="149"/>
        <v>0</v>
      </c>
      <c r="BL118" s="69">
        <f t="shared" ca="1" si="149"/>
        <v>0</v>
      </c>
      <c r="BM118" s="69">
        <f t="shared" ca="1" si="149"/>
        <v>0</v>
      </c>
      <c r="BN118" s="69">
        <f t="shared" ca="1" si="149"/>
        <v>0</v>
      </c>
      <c r="BO118" s="69">
        <f t="shared" si="149"/>
        <v>0</v>
      </c>
      <c r="BP118" s="69">
        <f t="shared" ca="1" si="150"/>
        <v>0</v>
      </c>
      <c r="BQ118" s="69">
        <f t="shared" ca="1" si="151"/>
        <v>0</v>
      </c>
      <c r="BR118" s="69">
        <f t="shared" ca="1" si="152"/>
        <v>0</v>
      </c>
      <c r="BS118" s="69">
        <f ca="1">$AO118*IF(Auswahllisten!$G$150,BS$25+BS$25*BS$13*$AN118,BS$25*(1+BS$13)^$AN118)</f>
        <v>0</v>
      </c>
      <c r="BT118" s="69">
        <f ca="1">$AO118*IF(Auswahllisten!$G$150,BT$25+BT$25*BT$13*$AN118,BT$25*(1+BT$13)^$AN118)</f>
        <v>0</v>
      </c>
      <c r="BU118" s="69">
        <f ca="1">$AO118*IF(Auswahllisten!$G$150,BU$25+BU$25*BU$13*$AN118,BU$25*(1+BU$13)^$AN118)</f>
        <v>0</v>
      </c>
      <c r="BV118" s="69">
        <f ca="1">$AO118*IF(Auswahllisten!$G$150,BV$25+BV$25*BV$13*$AN118,BV$25*(1+BV$13)^$AN118)</f>
        <v>0</v>
      </c>
      <c r="BW118" s="69">
        <f t="shared" ca="1" si="127"/>
        <v>0</v>
      </c>
      <c r="BX118" s="69">
        <f t="shared" ca="1" si="153"/>
        <v>0</v>
      </c>
      <c r="BY118" s="69">
        <f t="shared" ca="1" si="154"/>
        <v>0</v>
      </c>
      <c r="BZ118" s="69">
        <f t="shared" ca="1" si="118"/>
        <v>0</v>
      </c>
    </row>
    <row r="119" spans="1:78">
      <c r="A119" s="305" t="s">
        <v>1219</v>
      </c>
      <c r="B119" s="126" t="s">
        <v>1012</v>
      </c>
      <c r="C119" s="126" t="s">
        <v>947</v>
      </c>
      <c r="D119" s="26" t="str" cm="1">
        <f t="array" aca="1" ref="D119" ca="1">INDIRECT("Vergleich!"&amp;$G$2&amp;Z119)</f>
        <v>keine</v>
      </c>
      <c r="E119" s="26" cm="1">
        <f t="array" aca="1" ref="E119" ca="1">INDIRECT("Investition_gewählt!"&amp;$I$5&amp;AA119)</f>
        <v>5000</v>
      </c>
      <c r="F119" s="25" cm="1">
        <f t="array" aca="1" ref="F119" ca="1">IF($C$5=0,0,INDEX(Faktoren!E102:GQ102,1,VLOOKUP($F$5,$L$2:$O$14,4,FALSE)+$C$9*5+VLOOKUP(D119,Auswahllisten!$E$25:$F$29,2,FALSE)))</f>
        <v>0</v>
      </c>
      <c r="G119" s="162">
        <f t="shared" ca="1" si="161"/>
        <v>0</v>
      </c>
      <c r="H119" s="26" cm="1">
        <f t="array" aca="1" ref="H119" ca="1">INDIRECT("Investition_gewählt!"&amp;$I$6&amp;AA119)</f>
        <v>5000</v>
      </c>
      <c r="I119" s="25" cm="1">
        <f t="array" aca="1" ref="I119" ca="1">IF($C$5=0,0,INDEX(Faktoren!E102:GQ102,1,VLOOKUP($F$6,$L$2:$O$14,4,FALSE)+$C$9*5+VLOOKUP(D119,Auswahllisten!$E$25:$F$29,2,FALSE)))</f>
        <v>0</v>
      </c>
      <c r="J119" s="162">
        <f t="shared" ca="1" si="162"/>
        <v>0</v>
      </c>
      <c r="K119" s="26">
        <f t="shared" ca="1" si="163"/>
        <v>0</v>
      </c>
      <c r="L119" s="26">
        <v>1</v>
      </c>
      <c r="M119" s="26">
        <f t="shared" ca="1" si="164"/>
        <v>0</v>
      </c>
      <c r="Z119" s="1">
        <v>76</v>
      </c>
      <c r="AA119" s="1">
        <v>102</v>
      </c>
      <c r="AB119" s="1">
        <v>-2</v>
      </c>
      <c r="AN119" s="1">
        <v>94</v>
      </c>
      <c r="AO119" s="1">
        <f t="shared" si="142"/>
        <v>0</v>
      </c>
      <c r="AP119" s="69">
        <f t="shared" ca="1" si="160"/>
        <v>0</v>
      </c>
      <c r="AQ119" s="69">
        <f t="shared" ca="1" si="160"/>
        <v>0</v>
      </c>
      <c r="AR119" s="69">
        <f t="shared" si="160"/>
        <v>0</v>
      </c>
      <c r="AS119" s="69">
        <f t="shared" ca="1" si="160"/>
        <v>0</v>
      </c>
      <c r="AT119" s="69">
        <f t="shared" ca="1" si="160"/>
        <v>0</v>
      </c>
      <c r="AU119" s="69">
        <f t="shared" ca="1" si="160"/>
        <v>0</v>
      </c>
      <c r="AV119" s="69">
        <f t="shared" si="160"/>
        <v>0</v>
      </c>
      <c r="AW119" s="69">
        <f t="shared" ca="1" si="144"/>
        <v>0</v>
      </c>
      <c r="AX119" s="69">
        <f t="shared" ca="1" si="145"/>
        <v>0</v>
      </c>
      <c r="AY119" s="69">
        <f t="shared" ca="1" si="146"/>
        <v>0</v>
      </c>
      <c r="AZ119" s="69">
        <f ca="1">$AO119*IF(Auswahllisten!$G$150,AZ$25+AZ$25*AZ$13*$AN119,AZ$25*(1+AZ$13)^$AN119)</f>
        <v>0</v>
      </c>
      <c r="BA119" s="69">
        <f ca="1">$AO119*IF(Auswahllisten!$G$150,BA$25+BA$25*BA$13*$AN119,BA$25*(1+BA$13)^$AN119)</f>
        <v>0</v>
      </c>
      <c r="BB119" s="69">
        <f ca="1">$AO119*IF(Auswahllisten!$G$150,BB$25+BB$25*BB$13*$AN119,BB$25*(1+BB$13)^$AN119)</f>
        <v>0</v>
      </c>
      <c r="BC119" s="69">
        <f ca="1">$AO119*IF(Auswahllisten!$G$150,BC$25+BC$25*BC$13*$AN119,BC$25*(1+BC$13)^$AN119)</f>
        <v>0</v>
      </c>
      <c r="BD119" s="69">
        <f t="shared" ca="1" si="122"/>
        <v>0</v>
      </c>
      <c r="BE119" s="69">
        <f t="shared" ca="1" si="147"/>
        <v>0</v>
      </c>
      <c r="BF119" s="69">
        <f t="shared" ca="1" si="148"/>
        <v>0</v>
      </c>
      <c r="BG119" s="69">
        <f t="shared" ca="1" si="125"/>
        <v>0</v>
      </c>
      <c r="BI119" s="69">
        <f t="shared" ca="1" si="149"/>
        <v>0</v>
      </c>
      <c r="BJ119" s="69">
        <f t="shared" ca="1" si="149"/>
        <v>0</v>
      </c>
      <c r="BK119" s="69">
        <f t="shared" si="149"/>
        <v>0</v>
      </c>
      <c r="BL119" s="69">
        <f t="shared" ca="1" si="149"/>
        <v>0</v>
      </c>
      <c r="BM119" s="69">
        <f t="shared" ca="1" si="149"/>
        <v>0</v>
      </c>
      <c r="BN119" s="69">
        <f t="shared" ca="1" si="149"/>
        <v>0</v>
      </c>
      <c r="BO119" s="69">
        <f t="shared" si="149"/>
        <v>0</v>
      </c>
      <c r="BP119" s="69">
        <f t="shared" ca="1" si="150"/>
        <v>0</v>
      </c>
      <c r="BQ119" s="69">
        <f t="shared" ca="1" si="151"/>
        <v>0</v>
      </c>
      <c r="BR119" s="69">
        <f t="shared" ca="1" si="152"/>
        <v>0</v>
      </c>
      <c r="BS119" s="69">
        <f ca="1">$AO119*IF(Auswahllisten!$G$150,BS$25+BS$25*BS$13*$AN119,BS$25*(1+BS$13)^$AN119)</f>
        <v>0</v>
      </c>
      <c r="BT119" s="69">
        <f ca="1">$AO119*IF(Auswahllisten!$G$150,BT$25+BT$25*BT$13*$AN119,BT$25*(1+BT$13)^$AN119)</f>
        <v>0</v>
      </c>
      <c r="BU119" s="69">
        <f ca="1">$AO119*IF(Auswahllisten!$G$150,BU$25+BU$25*BU$13*$AN119,BU$25*(1+BU$13)^$AN119)</f>
        <v>0</v>
      </c>
      <c r="BV119" s="69">
        <f ca="1">$AO119*IF(Auswahllisten!$G$150,BV$25+BV$25*BV$13*$AN119,BV$25*(1+BV$13)^$AN119)</f>
        <v>0</v>
      </c>
      <c r="BW119" s="69">
        <f t="shared" ca="1" si="127"/>
        <v>0</v>
      </c>
      <c r="BX119" s="69">
        <f t="shared" ca="1" si="153"/>
        <v>0</v>
      </c>
      <c r="BY119" s="69">
        <f t="shared" ca="1" si="154"/>
        <v>0</v>
      </c>
      <c r="BZ119" s="69">
        <f t="shared" ca="1" si="118"/>
        <v>0</v>
      </c>
    </row>
    <row r="120" spans="1:78">
      <c r="A120" s="305" t="s">
        <v>1226</v>
      </c>
      <c r="B120" s="126" t="s">
        <v>948</v>
      </c>
      <c r="C120" s="126" t="s">
        <v>948</v>
      </c>
      <c r="D120" s="26" t="str" cm="1">
        <f t="array" aca="1" ref="D120" ca="1">INDIRECT("Vergleich!"&amp;$G$2&amp;Z120)</f>
        <v>keine</v>
      </c>
      <c r="E120" s="26" cm="1">
        <f t="array" aca="1" ref="E120" ca="1">INDIRECT("Investition_gewählt!"&amp;$I$5&amp;AA120)</f>
        <v>10000</v>
      </c>
      <c r="F120" s="25" cm="1">
        <f t="array" aca="1" ref="F120" ca="1">IF($C$5=0,0,INDEX(Faktoren!E103:GQ103,1,VLOOKUP($F$5,$L$2:$O$14,4,FALSE)+$C$9*5+VLOOKUP(D120,Auswahllisten!$E$25:$F$29,2,FALSE)))</f>
        <v>0</v>
      </c>
      <c r="G120" s="162">
        <f t="shared" ca="1" si="161"/>
        <v>0</v>
      </c>
      <c r="H120" s="26" cm="1">
        <f t="array" aca="1" ref="H120" ca="1">INDIRECT("Investition_gewählt!"&amp;$I$6&amp;AA120)</f>
        <v>10000</v>
      </c>
      <c r="I120" s="25" cm="1">
        <f t="array" aca="1" ref="I120" ca="1">IF($C$5=0,0,INDEX(Faktoren!E103:GQ103,1,VLOOKUP($F$6,$L$2:$O$14,4,FALSE)+$C$9*5+VLOOKUP(D120,Auswahllisten!$E$25:$F$29,2,FALSE)))</f>
        <v>0</v>
      </c>
      <c r="J120" s="162">
        <f t="shared" ca="1" si="162"/>
        <v>0</v>
      </c>
      <c r="K120" s="26">
        <f t="shared" ca="1" si="163"/>
        <v>0</v>
      </c>
      <c r="L120" s="26">
        <v>1</v>
      </c>
      <c r="M120" s="26">
        <f t="shared" ca="1" si="164"/>
        <v>0</v>
      </c>
      <c r="Z120" s="1">
        <v>77</v>
      </c>
      <c r="AA120" s="1">
        <v>103</v>
      </c>
      <c r="AB120" s="1">
        <v>-2</v>
      </c>
      <c r="AN120" s="1">
        <v>95</v>
      </c>
      <c r="AO120" s="1">
        <f t="shared" si="142"/>
        <v>0</v>
      </c>
      <c r="AP120" s="69">
        <f t="shared" ca="1" si="160"/>
        <v>0</v>
      </c>
      <c r="AQ120" s="69">
        <f t="shared" ca="1" si="160"/>
        <v>0</v>
      </c>
      <c r="AR120" s="69">
        <f t="shared" si="160"/>
        <v>0</v>
      </c>
      <c r="AS120" s="69">
        <f t="shared" ca="1" si="160"/>
        <v>0</v>
      </c>
      <c r="AT120" s="69">
        <f t="shared" ca="1" si="160"/>
        <v>0</v>
      </c>
      <c r="AU120" s="69">
        <f t="shared" ca="1" si="160"/>
        <v>0</v>
      </c>
      <c r="AV120" s="69">
        <f t="shared" si="160"/>
        <v>0</v>
      </c>
      <c r="AW120" s="69">
        <f t="shared" ca="1" si="144"/>
        <v>0</v>
      </c>
      <c r="AX120" s="69">
        <f t="shared" ca="1" si="145"/>
        <v>0</v>
      </c>
      <c r="AY120" s="69">
        <f t="shared" ca="1" si="146"/>
        <v>0</v>
      </c>
      <c r="AZ120" s="69">
        <f ca="1">$AO120*IF(Auswahllisten!$G$150,AZ$25+AZ$25*AZ$13*$AN120,AZ$25*(1+AZ$13)^$AN120)</f>
        <v>0</v>
      </c>
      <c r="BA120" s="69">
        <f ca="1">$AO120*IF(Auswahllisten!$G$150,BA$25+BA$25*BA$13*$AN120,BA$25*(1+BA$13)^$AN120)</f>
        <v>0</v>
      </c>
      <c r="BB120" s="69">
        <f ca="1">$AO120*IF(Auswahllisten!$G$150,BB$25+BB$25*BB$13*$AN120,BB$25*(1+BB$13)^$AN120)</f>
        <v>0</v>
      </c>
      <c r="BC120" s="69">
        <f ca="1">$AO120*IF(Auswahllisten!$G$150,BC$25+BC$25*BC$13*$AN120,BC$25*(1+BC$13)^$AN120)</f>
        <v>0</v>
      </c>
      <c r="BD120" s="69">
        <f t="shared" ca="1" si="122"/>
        <v>0</v>
      </c>
      <c r="BE120" s="69">
        <f t="shared" ca="1" si="147"/>
        <v>0</v>
      </c>
      <c r="BF120" s="69">
        <f t="shared" ca="1" si="148"/>
        <v>0</v>
      </c>
      <c r="BG120" s="69">
        <f t="shared" ca="1" si="125"/>
        <v>0</v>
      </c>
      <c r="BI120" s="69">
        <f t="shared" ca="1" si="149"/>
        <v>0</v>
      </c>
      <c r="BJ120" s="69">
        <f t="shared" ca="1" si="149"/>
        <v>0</v>
      </c>
      <c r="BK120" s="69">
        <f t="shared" si="149"/>
        <v>0</v>
      </c>
      <c r="BL120" s="69">
        <f t="shared" ca="1" si="149"/>
        <v>0</v>
      </c>
      <c r="BM120" s="69">
        <f t="shared" ca="1" si="149"/>
        <v>0</v>
      </c>
      <c r="BN120" s="69">
        <f t="shared" ca="1" si="149"/>
        <v>0</v>
      </c>
      <c r="BO120" s="69">
        <f t="shared" si="149"/>
        <v>0</v>
      </c>
      <c r="BP120" s="69">
        <f t="shared" ca="1" si="150"/>
        <v>0</v>
      </c>
      <c r="BQ120" s="69">
        <f t="shared" ca="1" si="151"/>
        <v>0</v>
      </c>
      <c r="BR120" s="69">
        <f t="shared" ca="1" si="152"/>
        <v>0</v>
      </c>
      <c r="BS120" s="69">
        <f ca="1">$AO120*IF(Auswahllisten!$G$150,BS$25+BS$25*BS$13*$AN120,BS$25*(1+BS$13)^$AN120)</f>
        <v>0</v>
      </c>
      <c r="BT120" s="69">
        <f ca="1">$AO120*IF(Auswahllisten!$G$150,BT$25+BT$25*BT$13*$AN120,BT$25*(1+BT$13)^$AN120)</f>
        <v>0</v>
      </c>
      <c r="BU120" s="69">
        <f ca="1">$AO120*IF(Auswahllisten!$G$150,BU$25+BU$25*BU$13*$AN120,BU$25*(1+BU$13)^$AN120)</f>
        <v>0</v>
      </c>
      <c r="BV120" s="69">
        <f ca="1">$AO120*IF(Auswahllisten!$G$150,BV$25+BV$25*BV$13*$AN120,BV$25*(1+BV$13)^$AN120)</f>
        <v>0</v>
      </c>
      <c r="BW120" s="69">
        <f t="shared" ca="1" si="127"/>
        <v>0</v>
      </c>
      <c r="BX120" s="69">
        <f t="shared" ca="1" si="153"/>
        <v>0</v>
      </c>
      <c r="BY120" s="69">
        <f t="shared" ca="1" si="154"/>
        <v>0</v>
      </c>
      <c r="BZ120" s="69">
        <f t="shared" ca="1" si="118"/>
        <v>0</v>
      </c>
    </row>
    <row r="121" spans="1:78">
      <c r="A121" s="305" t="s">
        <v>1228</v>
      </c>
      <c r="B121" s="126" t="s">
        <v>1013</v>
      </c>
      <c r="C121" s="126" t="s">
        <v>1014</v>
      </c>
      <c r="D121" s="26" t="str" cm="1">
        <f t="array" aca="1" ref="D121" ca="1">INDIRECT("Vergleich!"&amp;$G$2&amp;Z121)</f>
        <v>keine</v>
      </c>
      <c r="E121" s="26" cm="1">
        <f t="array" aca="1" ref="E121" ca="1">INDIRECT("Investition_gewählt!"&amp;$I$5&amp;AA121)</f>
        <v>0</v>
      </c>
      <c r="F121" s="25" cm="1">
        <f t="array" aca="1" ref="F121" ca="1">IF($C$5=0,0,INDEX(Faktoren!E104:GQ104,1,VLOOKUP($F$5,$L$2:$O$14,4,FALSE)+$C$9*5+VLOOKUP(D121,Auswahllisten!$E$25:$F$29,2,FALSE)))</f>
        <v>0</v>
      </c>
      <c r="G121" s="162">
        <f t="shared" ca="1" si="161"/>
        <v>0</v>
      </c>
      <c r="H121" s="26" cm="1">
        <f t="array" aca="1" ref="H121" ca="1">INDIRECT("Investition_gewählt!"&amp;$I$6&amp;AA121)</f>
        <v>0</v>
      </c>
      <c r="I121" s="25" cm="1">
        <f t="array" aca="1" ref="I121" ca="1">IF($C$5=0,0,INDEX(Faktoren!E104:GQ104,1,VLOOKUP($F$6,$L$2:$O$14,4,FALSE)+$C$9*5+VLOOKUP(D121,Auswahllisten!$E$25:$F$29,2,FALSE)))</f>
        <v>0</v>
      </c>
      <c r="J121" s="162">
        <f t="shared" ca="1" si="162"/>
        <v>0</v>
      </c>
      <c r="K121" s="26">
        <f t="shared" ca="1" si="163"/>
        <v>0</v>
      </c>
      <c r="L121" s="26">
        <v>1</v>
      </c>
      <c r="M121" s="26">
        <f t="shared" ca="1" si="164"/>
        <v>0</v>
      </c>
      <c r="Z121" s="1">
        <v>78</v>
      </c>
      <c r="AA121" s="1">
        <v>104</v>
      </c>
      <c r="AB121" s="1">
        <v>-2</v>
      </c>
      <c r="AN121" s="1">
        <v>96</v>
      </c>
      <c r="AO121" s="1">
        <f t="shared" si="142"/>
        <v>0</v>
      </c>
      <c r="AP121" s="69">
        <f t="shared" ca="1" si="160"/>
        <v>0</v>
      </c>
      <c r="AQ121" s="69">
        <f t="shared" ca="1" si="160"/>
        <v>0</v>
      </c>
      <c r="AR121" s="69">
        <f t="shared" si="160"/>
        <v>0</v>
      </c>
      <c r="AS121" s="69">
        <f t="shared" ca="1" si="160"/>
        <v>0</v>
      </c>
      <c r="AT121" s="69">
        <f t="shared" ca="1" si="160"/>
        <v>0</v>
      </c>
      <c r="AU121" s="69">
        <f t="shared" ca="1" si="160"/>
        <v>0</v>
      </c>
      <c r="AV121" s="69">
        <f t="shared" si="160"/>
        <v>0</v>
      </c>
      <c r="AW121" s="69">
        <f t="shared" ca="1" si="144"/>
        <v>0</v>
      </c>
      <c r="AX121" s="69">
        <f t="shared" ca="1" si="145"/>
        <v>0</v>
      </c>
      <c r="AY121" s="69">
        <f t="shared" ca="1" si="146"/>
        <v>0</v>
      </c>
      <c r="AZ121" s="69">
        <f ca="1">$AO121*IF(Auswahllisten!$G$150,AZ$25+AZ$25*AZ$13*$AN121,AZ$25*(1+AZ$13)^$AN121)</f>
        <v>0</v>
      </c>
      <c r="BA121" s="69">
        <f ca="1">$AO121*IF(Auswahllisten!$G$150,BA$25+BA$25*BA$13*$AN121,BA$25*(1+BA$13)^$AN121)</f>
        <v>0</v>
      </c>
      <c r="BB121" s="69">
        <f ca="1">$AO121*IF(Auswahllisten!$G$150,BB$25+BB$25*BB$13*$AN121,BB$25*(1+BB$13)^$AN121)</f>
        <v>0</v>
      </c>
      <c r="BC121" s="69">
        <f ca="1">$AO121*IF(Auswahllisten!$G$150,BC$25+BC$25*BC$13*$AN121,BC$25*(1+BC$13)^$AN121)</f>
        <v>0</v>
      </c>
      <c r="BD121" s="69">
        <f t="shared" ca="1" si="122"/>
        <v>0</v>
      </c>
      <c r="BE121" s="69">
        <f t="shared" ca="1" si="147"/>
        <v>0</v>
      </c>
      <c r="BF121" s="69">
        <f t="shared" ca="1" si="148"/>
        <v>0</v>
      </c>
      <c r="BG121" s="69">
        <f t="shared" ca="1" si="125"/>
        <v>0</v>
      </c>
      <c r="BI121" s="69">
        <f t="shared" ca="1" si="149"/>
        <v>0</v>
      </c>
      <c r="BJ121" s="69">
        <f t="shared" ca="1" si="149"/>
        <v>0</v>
      </c>
      <c r="BK121" s="69">
        <f t="shared" si="149"/>
        <v>0</v>
      </c>
      <c r="BL121" s="69">
        <f t="shared" ca="1" si="149"/>
        <v>0</v>
      </c>
      <c r="BM121" s="69">
        <f t="shared" ca="1" si="149"/>
        <v>0</v>
      </c>
      <c r="BN121" s="69">
        <f t="shared" ca="1" si="149"/>
        <v>0</v>
      </c>
      <c r="BO121" s="69">
        <f t="shared" si="149"/>
        <v>0</v>
      </c>
      <c r="BP121" s="69">
        <f t="shared" ca="1" si="150"/>
        <v>0</v>
      </c>
      <c r="BQ121" s="69">
        <f t="shared" ca="1" si="151"/>
        <v>0</v>
      </c>
      <c r="BR121" s="69">
        <f t="shared" ca="1" si="152"/>
        <v>0</v>
      </c>
      <c r="BS121" s="69">
        <f ca="1">$AO121*IF(Auswahllisten!$G$150,BS$25+BS$25*BS$13*$AN121,BS$25*(1+BS$13)^$AN121)</f>
        <v>0</v>
      </c>
      <c r="BT121" s="69">
        <f ca="1">$AO121*IF(Auswahllisten!$G$150,BT$25+BT$25*BT$13*$AN121,BT$25*(1+BT$13)^$AN121)</f>
        <v>0</v>
      </c>
      <c r="BU121" s="69">
        <f ca="1">$AO121*IF(Auswahllisten!$G$150,BU$25+BU$25*BU$13*$AN121,BU$25*(1+BU$13)^$AN121)</f>
        <v>0</v>
      </c>
      <c r="BV121" s="69">
        <f ca="1">$AO121*IF(Auswahllisten!$G$150,BV$25+BV$25*BV$13*$AN121,BV$25*(1+BV$13)^$AN121)</f>
        <v>0</v>
      </c>
      <c r="BW121" s="69">
        <f t="shared" ca="1" si="127"/>
        <v>0</v>
      </c>
      <c r="BX121" s="69">
        <f t="shared" ca="1" si="153"/>
        <v>0</v>
      </c>
      <c r="BY121" s="69">
        <f t="shared" ca="1" si="154"/>
        <v>0</v>
      </c>
      <c r="BZ121" s="69">
        <f t="shared" ca="1" si="118"/>
        <v>0</v>
      </c>
    </row>
    <row r="122" spans="1:78">
      <c r="A122" s="305" t="s">
        <v>1228</v>
      </c>
      <c r="B122" s="126" t="s">
        <v>1013</v>
      </c>
      <c r="C122" s="126" t="s">
        <v>1016</v>
      </c>
      <c r="D122" s="26" t="str" cm="1">
        <f t="array" aca="1" ref="D122" ca="1">INDIRECT("Vergleich!"&amp;$G$2&amp;Z122)</f>
        <v>keine</v>
      </c>
      <c r="E122" s="26" cm="1">
        <f t="array" aca="1" ref="E122" ca="1">INDIRECT("Investition_gewählt!"&amp;$I$5&amp;AA122)</f>
        <v>500</v>
      </c>
      <c r="F122" s="25" cm="1">
        <f t="array" aca="1" ref="F122" ca="1">IF($C$5=0,0,INDEX(Faktoren!E105:GQ105,1,VLOOKUP($F$5,$L$2:$O$14,4,FALSE)+$C$9*5+VLOOKUP(D122,Auswahllisten!$E$25:$F$29,2,FALSE)))</f>
        <v>0</v>
      </c>
      <c r="G122" s="162">
        <f t="shared" ca="1" si="161"/>
        <v>0</v>
      </c>
      <c r="H122" s="26" cm="1">
        <f t="array" aca="1" ref="H122" ca="1">INDIRECT("Investition_gewählt!"&amp;$I$6&amp;AA122)</f>
        <v>500</v>
      </c>
      <c r="I122" s="25" cm="1">
        <f t="array" aca="1" ref="I122" ca="1">IF($C$5=0,0,INDEX(Faktoren!E105:GQ105,1,VLOOKUP($F$6,$L$2:$O$14,4,FALSE)+$C$9*5+VLOOKUP(D122,Auswahllisten!$E$25:$F$29,2,FALSE)))</f>
        <v>0</v>
      </c>
      <c r="J122" s="162">
        <f t="shared" ca="1" si="162"/>
        <v>0</v>
      </c>
      <c r="K122" s="26">
        <f t="shared" ca="1" si="163"/>
        <v>0</v>
      </c>
      <c r="L122" s="26">
        <v>1</v>
      </c>
      <c r="M122" s="26">
        <f t="shared" ca="1" si="164"/>
        <v>0</v>
      </c>
      <c r="Z122" s="1">
        <v>79</v>
      </c>
      <c r="AA122" s="1">
        <v>105</v>
      </c>
      <c r="AB122" s="1">
        <v>-2</v>
      </c>
      <c r="AN122" s="1">
        <v>97</v>
      </c>
      <c r="AO122" s="1">
        <f t="shared" si="142"/>
        <v>0</v>
      </c>
      <c r="AP122" s="69">
        <f t="shared" ca="1" si="160"/>
        <v>0</v>
      </c>
      <c r="AQ122" s="69">
        <f t="shared" ca="1" si="160"/>
        <v>0</v>
      </c>
      <c r="AR122" s="69">
        <f t="shared" si="160"/>
        <v>0</v>
      </c>
      <c r="AS122" s="69">
        <f t="shared" ca="1" si="160"/>
        <v>0</v>
      </c>
      <c r="AT122" s="69">
        <f t="shared" ca="1" si="160"/>
        <v>0</v>
      </c>
      <c r="AU122" s="69">
        <f t="shared" ca="1" si="160"/>
        <v>0</v>
      </c>
      <c r="AV122" s="69">
        <f t="shared" si="160"/>
        <v>0</v>
      </c>
      <c r="AW122" s="69">
        <f t="shared" ca="1" si="144"/>
        <v>0</v>
      </c>
      <c r="AX122" s="69">
        <f t="shared" ca="1" si="145"/>
        <v>0</v>
      </c>
      <c r="AY122" s="69">
        <f t="shared" ca="1" si="146"/>
        <v>0</v>
      </c>
      <c r="AZ122" s="69">
        <f ca="1">$AO122*IF(Auswahllisten!$G$150,AZ$25+AZ$25*AZ$13*$AN122,AZ$25*(1+AZ$13)^$AN122)</f>
        <v>0</v>
      </c>
      <c r="BA122" s="69">
        <f ca="1">$AO122*IF(Auswahllisten!$G$150,BA$25+BA$25*BA$13*$AN122,BA$25*(1+BA$13)^$AN122)</f>
        <v>0</v>
      </c>
      <c r="BB122" s="69">
        <f ca="1">$AO122*IF(Auswahllisten!$G$150,BB$25+BB$25*BB$13*$AN122,BB$25*(1+BB$13)^$AN122)</f>
        <v>0</v>
      </c>
      <c r="BC122" s="69">
        <f ca="1">$AO122*IF(Auswahllisten!$G$150,BC$25+BC$25*BC$13*$AN122,BC$25*(1+BC$13)^$AN122)</f>
        <v>0</v>
      </c>
      <c r="BD122" s="69">
        <f t="shared" ca="1" si="122"/>
        <v>0</v>
      </c>
      <c r="BE122" s="69">
        <f t="shared" ca="1" si="147"/>
        <v>0</v>
      </c>
      <c r="BF122" s="69">
        <f t="shared" ca="1" si="148"/>
        <v>0</v>
      </c>
      <c r="BG122" s="69">
        <f t="shared" ca="1" si="125"/>
        <v>0</v>
      </c>
      <c r="BI122" s="69">
        <f t="shared" ca="1" si="149"/>
        <v>0</v>
      </c>
      <c r="BJ122" s="69">
        <f t="shared" ca="1" si="149"/>
        <v>0</v>
      </c>
      <c r="BK122" s="69">
        <f t="shared" si="149"/>
        <v>0</v>
      </c>
      <c r="BL122" s="69">
        <f t="shared" ca="1" si="149"/>
        <v>0</v>
      </c>
      <c r="BM122" s="69">
        <f t="shared" ca="1" si="149"/>
        <v>0</v>
      </c>
      <c r="BN122" s="69">
        <f t="shared" ca="1" si="149"/>
        <v>0</v>
      </c>
      <c r="BO122" s="69">
        <f t="shared" si="149"/>
        <v>0</v>
      </c>
      <c r="BP122" s="69">
        <f t="shared" ca="1" si="150"/>
        <v>0</v>
      </c>
      <c r="BQ122" s="69">
        <f t="shared" ca="1" si="151"/>
        <v>0</v>
      </c>
      <c r="BR122" s="69">
        <f t="shared" ca="1" si="152"/>
        <v>0</v>
      </c>
      <c r="BS122" s="69">
        <f ca="1">$AO122*IF(Auswahllisten!$G$150,BS$25+BS$25*BS$13*$AN122,BS$25*(1+BS$13)^$AN122)</f>
        <v>0</v>
      </c>
      <c r="BT122" s="69">
        <f ca="1">$AO122*IF(Auswahllisten!$G$150,BT$25+BT$25*BT$13*$AN122,BT$25*(1+BT$13)^$AN122)</f>
        <v>0</v>
      </c>
      <c r="BU122" s="69">
        <f ca="1">$AO122*IF(Auswahllisten!$G$150,BU$25+BU$25*BU$13*$AN122,BU$25*(1+BU$13)^$AN122)</f>
        <v>0</v>
      </c>
      <c r="BV122" s="69">
        <f ca="1">$AO122*IF(Auswahllisten!$G$150,BV$25+BV$25*BV$13*$AN122,BV$25*(1+BV$13)^$AN122)</f>
        <v>0</v>
      </c>
      <c r="BW122" s="69">
        <f t="shared" ca="1" si="127"/>
        <v>0</v>
      </c>
      <c r="BX122" s="69">
        <f t="shared" ca="1" si="153"/>
        <v>0</v>
      </c>
      <c r="BY122" s="69">
        <f t="shared" ca="1" si="154"/>
        <v>0</v>
      </c>
      <c r="BZ122" s="69">
        <f t="shared" ca="1" si="118"/>
        <v>0</v>
      </c>
    </row>
    <row r="123" spans="1:78">
      <c r="A123" s="305" t="s">
        <v>1228</v>
      </c>
      <c r="B123" s="126" t="s">
        <v>1013</v>
      </c>
      <c r="C123" s="126" t="s">
        <v>1018</v>
      </c>
      <c r="D123" s="26" t="str" cm="1">
        <f t="array" aca="1" ref="D123" ca="1">INDIRECT("Vergleich!"&amp;$G$2&amp;Z123)</f>
        <v>keine</v>
      </c>
      <c r="E123" s="26" cm="1">
        <f t="array" aca="1" ref="E123" ca="1">INDIRECT("Investition_gewählt!"&amp;$I$5&amp;AA123)</f>
        <v>750</v>
      </c>
      <c r="F123" s="25" cm="1">
        <f t="array" aca="1" ref="F123" ca="1">IF($C$5=0,0,INDEX(Faktoren!E106:GQ106,1,VLOOKUP($F$5,$L$2:$O$14,4,FALSE)+$C$9*5+VLOOKUP(D123,Auswahllisten!$E$25:$F$29,2,FALSE)))</f>
        <v>0</v>
      </c>
      <c r="G123" s="162">
        <f t="shared" ca="1" si="161"/>
        <v>0</v>
      </c>
      <c r="H123" s="26" cm="1">
        <f t="array" aca="1" ref="H123" ca="1">INDIRECT("Investition_gewählt!"&amp;$I$6&amp;AA123)</f>
        <v>750</v>
      </c>
      <c r="I123" s="25" cm="1">
        <f t="array" aca="1" ref="I123" ca="1">IF($C$5=0,0,INDEX(Faktoren!E106:GQ106,1,VLOOKUP($F$6,$L$2:$O$14,4,FALSE)+$C$9*5+VLOOKUP(D123,Auswahllisten!$E$25:$F$29,2,FALSE)))</f>
        <v>0</v>
      </c>
      <c r="J123" s="162">
        <f t="shared" ca="1" si="162"/>
        <v>0</v>
      </c>
      <c r="K123" s="26">
        <f t="shared" ca="1" si="163"/>
        <v>0</v>
      </c>
      <c r="L123" s="26">
        <v>1</v>
      </c>
      <c r="M123" s="26">
        <f t="shared" ca="1" si="164"/>
        <v>0</v>
      </c>
      <c r="Z123" s="1">
        <v>80</v>
      </c>
      <c r="AA123" s="1">
        <v>106</v>
      </c>
      <c r="AB123" s="1">
        <v>-2</v>
      </c>
      <c r="AN123" s="1">
        <v>98</v>
      </c>
      <c r="AO123" s="1">
        <f t="shared" si="142"/>
        <v>0</v>
      </c>
      <c r="AP123" s="69">
        <f t="shared" ca="1" si="160"/>
        <v>0</v>
      </c>
      <c r="AQ123" s="69">
        <f t="shared" ca="1" si="160"/>
        <v>0</v>
      </c>
      <c r="AR123" s="69">
        <f t="shared" si="160"/>
        <v>0</v>
      </c>
      <c r="AS123" s="69">
        <f t="shared" ca="1" si="160"/>
        <v>0</v>
      </c>
      <c r="AT123" s="69">
        <f t="shared" ca="1" si="160"/>
        <v>0</v>
      </c>
      <c r="AU123" s="69">
        <f t="shared" ca="1" si="160"/>
        <v>0</v>
      </c>
      <c r="AV123" s="69">
        <f t="shared" si="160"/>
        <v>0</v>
      </c>
      <c r="AW123" s="69">
        <f t="shared" ca="1" si="144"/>
        <v>0</v>
      </c>
      <c r="AX123" s="69">
        <f t="shared" ca="1" si="145"/>
        <v>0</v>
      </c>
      <c r="AY123" s="69">
        <f t="shared" ca="1" si="146"/>
        <v>0</v>
      </c>
      <c r="AZ123" s="69">
        <f ca="1">$AO123*IF(Auswahllisten!$G$150,AZ$25+AZ$25*AZ$13*$AN123,AZ$25*(1+AZ$13)^$AN123)</f>
        <v>0</v>
      </c>
      <c r="BA123" s="69">
        <f ca="1">$AO123*IF(Auswahllisten!$G$150,BA$25+BA$25*BA$13*$AN123,BA$25*(1+BA$13)^$AN123)</f>
        <v>0</v>
      </c>
      <c r="BB123" s="69">
        <f ca="1">$AO123*IF(Auswahllisten!$G$150,BB$25+BB$25*BB$13*$AN123,BB$25*(1+BB$13)^$AN123)</f>
        <v>0</v>
      </c>
      <c r="BC123" s="69">
        <f ca="1">$AO123*IF(Auswahllisten!$G$150,BC$25+BC$25*BC$13*$AN123,BC$25*(1+BC$13)^$AN123)</f>
        <v>0</v>
      </c>
      <c r="BD123" s="69">
        <f t="shared" ca="1" si="122"/>
        <v>0</v>
      </c>
      <c r="BE123" s="69">
        <f t="shared" ca="1" si="147"/>
        <v>0</v>
      </c>
      <c r="BF123" s="69">
        <f t="shared" ca="1" si="148"/>
        <v>0</v>
      </c>
      <c r="BG123" s="69">
        <f t="shared" ca="1" si="125"/>
        <v>0</v>
      </c>
      <c r="BI123" s="69">
        <f t="shared" ca="1" si="149"/>
        <v>0</v>
      </c>
      <c r="BJ123" s="69">
        <f t="shared" ca="1" si="149"/>
        <v>0</v>
      </c>
      <c r="BK123" s="69">
        <f t="shared" si="149"/>
        <v>0</v>
      </c>
      <c r="BL123" s="69">
        <f t="shared" ca="1" si="149"/>
        <v>0</v>
      </c>
      <c r="BM123" s="69">
        <f t="shared" ca="1" si="149"/>
        <v>0</v>
      </c>
      <c r="BN123" s="69">
        <f t="shared" ca="1" si="149"/>
        <v>0</v>
      </c>
      <c r="BO123" s="69">
        <f t="shared" si="149"/>
        <v>0</v>
      </c>
      <c r="BP123" s="69">
        <f t="shared" ref="BP123:BP125" ca="1" si="165">SUM(BI123:BO123)/(1+$AS$11)^AN123</f>
        <v>0</v>
      </c>
      <c r="BQ123" s="69">
        <f t="shared" ca="1" si="151"/>
        <v>0</v>
      </c>
      <c r="BR123" s="69">
        <f t="shared" ca="1" si="152"/>
        <v>0</v>
      </c>
      <c r="BS123" s="69">
        <f ca="1">$AO123*IF(Auswahllisten!$G$150,BS$25+BS$25*BS$13*$AN123,BS$25*(1+BS$13)^$AN123)</f>
        <v>0</v>
      </c>
      <c r="BT123" s="69">
        <f ca="1">$AO123*IF(Auswahllisten!$G$150,BT$25+BT$25*BT$13*$AN123,BT$25*(1+BT$13)^$AN123)</f>
        <v>0</v>
      </c>
      <c r="BU123" s="69">
        <f ca="1">$AO123*IF(Auswahllisten!$G$150,BU$25+BU$25*BU$13*$AN123,BU$25*(1+BU$13)^$AN123)</f>
        <v>0</v>
      </c>
      <c r="BV123" s="69">
        <f ca="1">$AO123*IF(Auswahllisten!$G$150,BV$25+BV$25*BV$13*$AN123,BV$25*(1+BV$13)^$AN123)</f>
        <v>0</v>
      </c>
      <c r="BW123" s="69">
        <f t="shared" ca="1" si="127"/>
        <v>0</v>
      </c>
      <c r="BX123" s="69">
        <f t="shared" ca="1" si="153"/>
        <v>0</v>
      </c>
      <c r="BY123" s="69">
        <f t="shared" ca="1" si="154"/>
        <v>0</v>
      </c>
      <c r="BZ123" s="69">
        <f t="shared" ca="1" si="118"/>
        <v>0</v>
      </c>
    </row>
    <row r="124" spans="1:78">
      <c r="A124" s="305" t="s">
        <v>1228</v>
      </c>
      <c r="B124" s="126" t="s">
        <v>1013</v>
      </c>
      <c r="C124" s="126" t="s">
        <v>1019</v>
      </c>
      <c r="D124" s="26" t="str" cm="1">
        <f t="array" aca="1" ref="D124" ca="1">INDIRECT("Vergleich!"&amp;$G$2&amp;Z124)</f>
        <v>keine</v>
      </c>
      <c r="E124" s="26" cm="1">
        <f t="array" aca="1" ref="E124" ca="1">INDIRECT("Investition_gewählt!"&amp;$I$5&amp;AA124)</f>
        <v>1000</v>
      </c>
      <c r="F124" s="25" cm="1">
        <f t="array" aca="1" ref="F124" ca="1">IF($C$5=0,0,INDEX(Faktoren!E107:GQ107,1,VLOOKUP($F$5,$L$2:$O$14,4,FALSE)+$C$9*5+VLOOKUP(D124,Auswahllisten!$E$25:$F$29,2,FALSE)))</f>
        <v>0</v>
      </c>
      <c r="G124" s="162">
        <f t="shared" ca="1" si="161"/>
        <v>0</v>
      </c>
      <c r="H124" s="26" cm="1">
        <f t="array" aca="1" ref="H124" ca="1">INDIRECT("Investition_gewählt!"&amp;$I$6&amp;AA124)</f>
        <v>1000</v>
      </c>
      <c r="I124" s="25" cm="1">
        <f t="array" aca="1" ref="I124" ca="1">IF($C$5=0,0,INDEX(Faktoren!E107:GQ107,1,VLOOKUP($F$6,$L$2:$O$14,4,FALSE)+$C$9*5+VLOOKUP(D124,Auswahllisten!$E$25:$F$29,2,FALSE)))</f>
        <v>0</v>
      </c>
      <c r="J124" s="162">
        <f t="shared" ca="1" si="162"/>
        <v>0</v>
      </c>
      <c r="K124" s="26">
        <f t="shared" ca="1" si="163"/>
        <v>0</v>
      </c>
      <c r="L124" s="26">
        <v>1</v>
      </c>
      <c r="M124" s="26">
        <f t="shared" ca="1" si="164"/>
        <v>0</v>
      </c>
      <c r="Z124" s="1">
        <v>81</v>
      </c>
      <c r="AA124" s="1">
        <v>107</v>
      </c>
      <c r="AB124" s="1">
        <v>-2</v>
      </c>
      <c r="AN124" s="1">
        <v>99</v>
      </c>
      <c r="AO124" s="1">
        <f t="shared" si="142"/>
        <v>0</v>
      </c>
      <c r="AP124" s="69">
        <f t="shared" ca="1" si="160"/>
        <v>0</v>
      </c>
      <c r="AQ124" s="69">
        <f t="shared" ca="1" si="160"/>
        <v>0</v>
      </c>
      <c r="AR124" s="69">
        <f t="shared" si="160"/>
        <v>0</v>
      </c>
      <c r="AS124" s="69">
        <f t="shared" ca="1" si="160"/>
        <v>0</v>
      </c>
      <c r="AT124" s="69">
        <f t="shared" ca="1" si="160"/>
        <v>0</v>
      </c>
      <c r="AU124" s="69">
        <f t="shared" ca="1" si="160"/>
        <v>0</v>
      </c>
      <c r="AV124" s="69">
        <f t="shared" si="160"/>
        <v>0</v>
      </c>
      <c r="AW124" s="69">
        <f t="shared" ca="1" si="144"/>
        <v>0</v>
      </c>
      <c r="AX124" s="69">
        <f t="shared" ca="1" si="145"/>
        <v>0</v>
      </c>
      <c r="AY124" s="69">
        <f t="shared" ca="1" si="146"/>
        <v>0</v>
      </c>
      <c r="AZ124" s="69">
        <f ca="1">$AO124*IF(Auswahllisten!$G$150,AZ$25+AZ$25*AZ$13*$AN124,AZ$25*(1+AZ$13)^$AN124)</f>
        <v>0</v>
      </c>
      <c r="BA124" s="69">
        <f ca="1">$AO124*IF(Auswahllisten!$G$150,BA$25+BA$25*BA$13*$AN124,BA$25*(1+BA$13)^$AN124)</f>
        <v>0</v>
      </c>
      <c r="BB124" s="69">
        <f ca="1">$AO124*IF(Auswahllisten!$G$150,BB$25+BB$25*BB$13*$AN124,BB$25*(1+BB$13)^$AN124)</f>
        <v>0</v>
      </c>
      <c r="BC124" s="69">
        <f ca="1">$AO124*IF(Auswahllisten!$G$150,BC$25+BC$25*BC$13*$AN124,BC$25*(1+BC$13)^$AN124)</f>
        <v>0</v>
      </c>
      <c r="BD124" s="69">
        <f t="shared" ca="1" si="122"/>
        <v>0</v>
      </c>
      <c r="BE124" s="69">
        <f t="shared" ca="1" si="147"/>
        <v>0</v>
      </c>
      <c r="BF124" s="69">
        <f t="shared" ca="1" si="148"/>
        <v>0</v>
      </c>
      <c r="BG124" s="69">
        <f t="shared" ca="1" si="125"/>
        <v>0</v>
      </c>
      <c r="BI124" s="69">
        <f t="shared" ca="1" si="149"/>
        <v>0</v>
      </c>
      <c r="BJ124" s="69">
        <f t="shared" ca="1" si="149"/>
        <v>0</v>
      </c>
      <c r="BK124" s="69">
        <f t="shared" si="149"/>
        <v>0</v>
      </c>
      <c r="BL124" s="69">
        <f t="shared" ca="1" si="149"/>
        <v>0</v>
      </c>
      <c r="BM124" s="69">
        <f t="shared" ca="1" si="149"/>
        <v>0</v>
      </c>
      <c r="BN124" s="69">
        <f t="shared" ca="1" si="149"/>
        <v>0</v>
      </c>
      <c r="BO124" s="69">
        <f t="shared" si="149"/>
        <v>0</v>
      </c>
      <c r="BP124" s="69">
        <f t="shared" ca="1" si="165"/>
        <v>0</v>
      </c>
      <c r="BQ124" s="69">
        <f t="shared" ca="1" si="151"/>
        <v>0</v>
      </c>
      <c r="BR124" s="69">
        <f t="shared" ca="1" si="152"/>
        <v>0</v>
      </c>
      <c r="BS124" s="69">
        <f ca="1">$AO124*IF(Auswahllisten!$G$150,BS$25+BS$25*BS$13*$AN124,BS$25*(1+BS$13)^$AN124)</f>
        <v>0</v>
      </c>
      <c r="BT124" s="69">
        <f ca="1">$AO124*IF(Auswahllisten!$G$150,BT$25+BT$25*BT$13*$AN124,BT$25*(1+BT$13)^$AN124)</f>
        <v>0</v>
      </c>
      <c r="BU124" s="69">
        <f ca="1">$AO124*IF(Auswahllisten!$G$150,BU$25+BU$25*BU$13*$AN124,BU$25*(1+BU$13)^$AN124)</f>
        <v>0</v>
      </c>
      <c r="BV124" s="69">
        <f ca="1">$AO124*IF(Auswahllisten!$G$150,BV$25+BV$25*BV$13*$AN124,BV$25*(1+BV$13)^$AN124)</f>
        <v>0</v>
      </c>
      <c r="BW124" s="69">
        <f t="shared" ca="1" si="127"/>
        <v>0</v>
      </c>
      <c r="BX124" s="69">
        <f t="shared" ca="1" si="153"/>
        <v>0</v>
      </c>
      <c r="BY124" s="69">
        <f t="shared" ca="1" si="154"/>
        <v>0</v>
      </c>
      <c r="BZ124" s="69">
        <f t="shared" ca="1" si="118"/>
        <v>0</v>
      </c>
    </row>
    <row r="125" spans="1:78">
      <c r="A125" s="306" t="s">
        <v>1228</v>
      </c>
      <c r="B125" s="297" t="s">
        <v>1013</v>
      </c>
      <c r="C125" s="134" t="s">
        <v>1021</v>
      </c>
      <c r="D125" s="163" t="str" cm="1">
        <f t="array" aca="1" ref="D125" ca="1">INDIRECT("Vergleich!"&amp;$G$2&amp;Z125)</f>
        <v>keine</v>
      </c>
      <c r="E125" s="163" cm="1">
        <f t="array" aca="1" ref="E125" ca="1">INDIRECT("Investition_gewählt!"&amp;$I$5&amp;AA125)</f>
        <v>0</v>
      </c>
      <c r="F125" s="61" cm="1">
        <f t="array" aca="1" ref="F125" ca="1">IF($C$5=0,0,INDEX(Faktoren!E108:GQ108,1,VLOOKUP($F$5,$L$2:$O$14,4,FALSE)+$C$9*5+VLOOKUP(D125,Auswahllisten!$E$25:$F$29,2,FALSE)))</f>
        <v>0</v>
      </c>
      <c r="G125" s="216">
        <f t="shared" ca="1" si="161"/>
        <v>0</v>
      </c>
      <c r="H125" s="163" cm="1">
        <f t="array" aca="1" ref="H125" ca="1">INDIRECT("Investition_gewählt!"&amp;$I$6&amp;AA125)</f>
        <v>0</v>
      </c>
      <c r="I125" s="61" cm="1">
        <f t="array" aca="1" ref="I125" ca="1">IF($C$5=0,0,INDEX(Faktoren!E108:GQ108,1,VLOOKUP($F$6,$L$2:$O$14,4,FALSE)+$C$9*5+VLOOKUP(D125,Auswahllisten!$E$25:$F$29,2,FALSE)))</f>
        <v>0</v>
      </c>
      <c r="J125" s="216">
        <f t="shared" ca="1" si="162"/>
        <v>0</v>
      </c>
      <c r="K125" s="163">
        <f t="shared" ca="1" si="163"/>
        <v>0</v>
      </c>
      <c r="L125" s="163">
        <v>1</v>
      </c>
      <c r="M125" s="163">
        <f t="shared" ca="1" si="164"/>
        <v>0</v>
      </c>
      <c r="Z125" s="1">
        <v>82</v>
      </c>
      <c r="AA125" s="1">
        <v>108</v>
      </c>
      <c r="AB125" s="1">
        <v>-2</v>
      </c>
      <c r="AN125" s="1">
        <v>100</v>
      </c>
      <c r="AO125" s="1">
        <f t="shared" si="142"/>
        <v>0</v>
      </c>
      <c r="AP125" s="69">
        <f t="shared" ca="1" si="160"/>
        <v>0</v>
      </c>
      <c r="AQ125" s="69">
        <f t="shared" ca="1" si="160"/>
        <v>0</v>
      </c>
      <c r="AR125" s="69">
        <f t="shared" ca="1" si="160"/>
        <v>0</v>
      </c>
      <c r="AS125" s="69">
        <f t="shared" ca="1" si="160"/>
        <v>0</v>
      </c>
      <c r="AT125" s="69">
        <f t="shared" ca="1" si="160"/>
        <v>0</v>
      </c>
      <c r="AU125" s="69">
        <f t="shared" ca="1" si="160"/>
        <v>0</v>
      </c>
      <c r="AV125" s="69">
        <f t="shared" ca="1" si="160"/>
        <v>0</v>
      </c>
      <c r="AW125" s="69">
        <f t="shared" ca="1" si="144"/>
        <v>0</v>
      </c>
      <c r="AX125" s="69">
        <f t="shared" ca="1" si="145"/>
        <v>0</v>
      </c>
      <c r="AY125" s="69">
        <f t="shared" ca="1" si="146"/>
        <v>0</v>
      </c>
      <c r="AZ125" s="69">
        <f ca="1">$AO125*IF(Auswahllisten!$G$150,AZ$25+AZ$25*AZ$13*$AN125,AZ$25*(1+AZ$13)^$AN125)</f>
        <v>0</v>
      </c>
      <c r="BA125" s="69">
        <f ca="1">$AO125*IF(Auswahllisten!$G$150,BA$25+BA$25*BA$13*$AN125,BA$25*(1+BA$13)^$AN125)</f>
        <v>0</v>
      </c>
      <c r="BB125" s="69">
        <f ca="1">$AO125*IF(Auswahllisten!$G$150,BB$25+BB$25*BB$13*$AN125,BB$25*(1+BB$13)^$AN125)</f>
        <v>0</v>
      </c>
      <c r="BC125" s="69">
        <f ca="1">$AO125*IF(Auswahllisten!$G$150,BC$25+BC$25*BC$13*$AN125,BC$25*(1+BC$13)^$AN125)</f>
        <v>0</v>
      </c>
      <c r="BD125" s="69">
        <f t="shared" ca="1" si="122"/>
        <v>0</v>
      </c>
      <c r="BE125" s="69">
        <f t="shared" ca="1" si="147"/>
        <v>0</v>
      </c>
      <c r="BF125" s="69">
        <f t="shared" ca="1" si="148"/>
        <v>0</v>
      </c>
      <c r="BG125" s="69">
        <f t="shared" ca="1" si="125"/>
        <v>0</v>
      </c>
      <c r="BI125" s="69">
        <f t="shared" ca="1" si="149"/>
        <v>0</v>
      </c>
      <c r="BJ125" s="69">
        <f t="shared" ca="1" si="149"/>
        <v>0</v>
      </c>
      <c r="BK125" s="69">
        <f t="shared" si="149"/>
        <v>0</v>
      </c>
      <c r="BL125" s="69">
        <f t="shared" ca="1" si="149"/>
        <v>0</v>
      </c>
      <c r="BM125" s="69">
        <f t="shared" ca="1" si="149"/>
        <v>0</v>
      </c>
      <c r="BN125" s="69">
        <f t="shared" ca="1" si="149"/>
        <v>0</v>
      </c>
      <c r="BO125" s="69">
        <f t="shared" si="149"/>
        <v>0</v>
      </c>
      <c r="BP125" s="69">
        <f t="shared" ca="1" si="165"/>
        <v>0</v>
      </c>
      <c r="BQ125" s="69">
        <f t="shared" ca="1" si="151"/>
        <v>0</v>
      </c>
      <c r="BR125" s="69">
        <f t="shared" ca="1" si="152"/>
        <v>0</v>
      </c>
      <c r="BS125" s="69">
        <f ca="1">$AO125*IF(Auswahllisten!$G$150,BS$25+BS$25*BS$13*$AN125,BS$25*(1+BS$13)^$AN125)</f>
        <v>0</v>
      </c>
      <c r="BT125" s="69">
        <f ca="1">$AO125*IF(Auswahllisten!$G$150,BT$25+BT$25*BT$13*$AN125,BT$25*(1+BT$13)^$AN125)</f>
        <v>0</v>
      </c>
      <c r="BU125" s="69">
        <f ca="1">$AO125*IF(Auswahllisten!$G$150,BU$25+BU$25*BU$13*$AN125,BU$25*(1+BU$13)^$AN125)</f>
        <v>0</v>
      </c>
      <c r="BV125" s="69">
        <f ca="1">$AO125*IF(Auswahllisten!$G$150,BV$25+BV$25*BV$13*$AN125,BV$25*(1+BV$13)^$AN125)</f>
        <v>0</v>
      </c>
      <c r="BW125" s="69">
        <f t="shared" ca="1" si="127"/>
        <v>0</v>
      </c>
      <c r="BX125" s="69">
        <f t="shared" ca="1" si="153"/>
        <v>0</v>
      </c>
      <c r="BY125" s="69">
        <f t="shared" ca="1" si="154"/>
        <v>0</v>
      </c>
      <c r="BZ125" s="69">
        <f t="shared" ca="1" si="118"/>
        <v>0</v>
      </c>
    </row>
    <row r="126" spans="1:78">
      <c r="A126" s="125"/>
      <c r="B126" s="64"/>
      <c r="C126" s="64"/>
      <c r="D126" s="69"/>
      <c r="E126" s="69"/>
      <c r="G126" s="69"/>
      <c r="H126" s="69"/>
      <c r="J126" s="69"/>
      <c r="K126" s="69"/>
      <c r="L126" s="69"/>
      <c r="M126" s="69"/>
      <c r="AA126" s="1">
        <v>109</v>
      </c>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A127" s="125"/>
      <c r="B127" s="125" t="s">
        <v>968</v>
      </c>
      <c r="C127" s="64"/>
      <c r="D127" s="393"/>
      <c r="E127" s="393"/>
      <c r="F127" s="394"/>
      <c r="G127" s="393"/>
      <c r="H127" s="393"/>
      <c r="I127" s="394"/>
      <c r="J127" s="393"/>
      <c r="K127" s="393"/>
      <c r="L127" s="393"/>
      <c r="M127" s="393"/>
      <c r="O127" s="394"/>
      <c r="P127" s="394"/>
      <c r="Q127" s="394"/>
      <c r="R127" s="394"/>
      <c r="S127" s="394"/>
      <c r="T127" s="394"/>
      <c r="U127" s="394"/>
      <c r="V127" s="394"/>
      <c r="W127" s="394"/>
      <c r="X127" s="394"/>
      <c r="AA127" s="1">
        <v>110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A128" s="304" t="s">
        <v>1229</v>
      </c>
      <c r="B128" s="131" t="s">
        <v>1246</v>
      </c>
      <c r="C128" s="131" t="s">
        <v>1025</v>
      </c>
      <c r="D128" s="162" t="str" cm="1">
        <f t="array" aca="1" ref="D128" ca="1">INDIRECT("Vergleich!"&amp;$G$2&amp;Z128)</f>
        <v>mittel</v>
      </c>
      <c r="E128" s="162" cm="1">
        <f t="array" aca="1" ref="E128" ca="1">INDIRECT("Investition_gewählt!"&amp;$I$5&amp;AA128)</f>
        <v>3000</v>
      </c>
      <c r="F128" s="25" cm="1">
        <f t="array" aca="1" ref="F128" ca="1">IF($C$5=0,0,INDEX(Faktoren!E111:GQ111,1,VLOOKUP($F$5,$L$2:$O$14,4,FALSE)+$C$9*5+VLOOKUP(D128,Auswahllisten!$E$25:$F$29,2,FALSE)))</f>
        <v>0</v>
      </c>
      <c r="G128" s="162">
        <f t="shared" ref="G128:G134" ca="1" si="166">E128*F128</f>
        <v>0</v>
      </c>
      <c r="H128" s="162" cm="1">
        <f t="array" aca="1" ref="H128" ca="1">INDIRECT("Investition_gewählt!"&amp;$I$6&amp;AA128)</f>
        <v>3000</v>
      </c>
      <c r="I128" s="25" cm="1">
        <f t="array" aca="1" ref="I128" ca="1">IF($C$5=0,0,INDEX(Faktoren!E111:GQ111,1,VLOOKUP($F$6,$L$2:$O$14,4,FALSE)+$C$9*5+VLOOKUP(D128,Auswahllisten!$E$25:$F$29,2,FALSE)))</f>
        <v>0</v>
      </c>
      <c r="J128" s="162">
        <f t="shared" ref="J128:J134" ca="1" si="167">H128*I128</f>
        <v>0</v>
      </c>
      <c r="K128" s="162">
        <f t="shared" ref="K128:K133" ca="1" si="168">IF($C$5=0,0,G128+(J128-G128)*($C$6-$F$5)/($F$6-$F$5))</f>
        <v>0</v>
      </c>
      <c r="L128" s="162" t="b">
        <f ca="1">OR(C5=2,C5=10,C5=11,C5=12,C5=13)</f>
        <v>0</v>
      </c>
      <c r="M128" s="162">
        <f t="shared" ref="M128:M134" ca="1" si="169">IFERROR(ROUND(K128*L128,AB128),0)</f>
        <v>0</v>
      </c>
      <c r="O128" s="25" t="str" cm="1">
        <f t="array" aca="1" ref="O128" ca="1">INDIRECT("Vergleich!"&amp;$Y$2&amp;Z128)</f>
        <v>gering</v>
      </c>
      <c r="P128" s="162" cm="1">
        <f t="array" aca="1" ref="P128" ca="1">INDIRECT("Investition_gewählt!"&amp;$AA$5&amp;AA128)</f>
        <v>3000</v>
      </c>
      <c r="Q128" s="25" cm="1">
        <f t="array" aca="1" ref="Q128" ca="1">IF($U$5=0,0,INDEX(Faktoren!T111:GQ111,1,VLOOKUP($X$5,$L$2:$O$14,4,FALSE)+$U$9*5+VLOOKUP(O128,Auswahllisten!$E$25:$F$28,2,FALSE)))</f>
        <v>0</v>
      </c>
      <c r="R128" s="162">
        <f t="shared" ref="R128:R134" ca="1" si="170">P128*Q128</f>
        <v>0</v>
      </c>
      <c r="S128" s="162" cm="1">
        <f t="array" aca="1" ref="S128" ca="1">INDIRECT("Investition_gewählt!"&amp;$AA$6&amp;AA128)</f>
        <v>3000</v>
      </c>
      <c r="T128" s="25" cm="1">
        <f t="array" aca="1" ref="T128" ca="1">IF($U$5=0,0,INDEX(Faktoren!T111:GQ111,1,VLOOKUP($X$6,$L$2:$O$14,4,FALSE)+$U$9*5+VLOOKUP(O128,Auswahllisten!$E$25:$F$28,2,FALSE)))</f>
        <v>0</v>
      </c>
      <c r="U128" s="162">
        <f t="shared" ref="U128:U134" ca="1" si="171">S128*T128</f>
        <v>0</v>
      </c>
      <c r="V128" s="162">
        <f t="shared" ca="1" si="115"/>
        <v>0</v>
      </c>
      <c r="W128" s="162" t="b">
        <f ca="1">OR(U5=2,U5=10,U5=11,U5=12,U5=13)</f>
        <v>0</v>
      </c>
      <c r="X128" s="162">
        <f ca="1">IFERROR(ROUND(V128*W128,AB128),0)</f>
        <v>0</v>
      </c>
      <c r="Z128" s="1">
        <v>57</v>
      </c>
      <c r="AA128" s="1">
        <v>111</v>
      </c>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305" t="s">
        <v>1230</v>
      </c>
      <c r="B129" s="126" t="s">
        <v>1247</v>
      </c>
      <c r="C129" s="126" t="s">
        <v>1027</v>
      </c>
      <c r="D129" s="26" t="str" cm="1">
        <f t="array" aca="1" ref="D129" ca="1">INDIRECT("Vergleich!"&amp;$G$2&amp;Z129)</f>
        <v>mittel</v>
      </c>
      <c r="E129" s="26" cm="1">
        <f t="array" aca="1" ref="E129" ca="1">INDIRECT("Investition_gewählt!"&amp;$I$5&amp;AA129)</f>
        <v>2500</v>
      </c>
      <c r="F129" s="25" cm="1">
        <f t="array" aca="1" ref="F129" ca="1">IF($C$5=0,0,INDEX(Faktoren!E112:GQ112,1,VLOOKUP($F$5,$L$2:$O$14,4,FALSE)+$C$9*5+VLOOKUP(D129,Auswahllisten!$E$25:$F$29,2,FALSE)))</f>
        <v>0</v>
      </c>
      <c r="G129" s="162">
        <f t="shared" ca="1" si="166"/>
        <v>0</v>
      </c>
      <c r="H129" s="26" cm="1">
        <f t="array" aca="1" ref="H129" ca="1">INDIRECT("Investition_gewählt!"&amp;$I$6&amp;AA129)</f>
        <v>2500</v>
      </c>
      <c r="I129" s="25" cm="1">
        <f t="array" aca="1" ref="I129" ca="1">IF($C$5=0,0,INDEX(Faktoren!E112:GQ112,1,VLOOKUP($F$6,$L$2:$O$14,4,FALSE)+$C$9*5+VLOOKUP(D129,Auswahllisten!$E$25:$F$29,2,FALSE)))</f>
        <v>0</v>
      </c>
      <c r="J129" s="162">
        <f t="shared" ca="1" si="167"/>
        <v>0</v>
      </c>
      <c r="K129" s="26">
        <f t="shared" ca="1" si="168"/>
        <v>0</v>
      </c>
      <c r="L129" s="26" t="b">
        <f ca="1">OR(C5=1,C5=3,C5=4)</f>
        <v>0</v>
      </c>
      <c r="M129" s="26">
        <f t="shared" ca="1" si="169"/>
        <v>0</v>
      </c>
      <c r="O129" s="16" t="str" cm="1">
        <f t="array" aca="1" ref="O129" ca="1">INDIRECT("Vergleich!"&amp;$Y$2&amp;Z129)</f>
        <v>gering</v>
      </c>
      <c r="P129" s="26" cm="1">
        <f t="array" aca="1" ref="P129" ca="1">INDIRECT("Investition_gewählt!"&amp;$AA$5&amp;AA129)</f>
        <v>2500</v>
      </c>
      <c r="Q129" s="16" cm="1">
        <f t="array" aca="1" ref="Q129" ca="1">IF($U$5=0,0,INDEX(Faktoren!T112:GQ112,1,VLOOKUP($X$5,$L$2:$O$14,4,FALSE)+$U$9*5+VLOOKUP(O129,Auswahllisten!$E$25:$F$28,2,FALSE)))</f>
        <v>0</v>
      </c>
      <c r="R129" s="26">
        <f t="shared" ca="1" si="170"/>
        <v>0</v>
      </c>
      <c r="S129" s="26" cm="1">
        <f t="array" aca="1" ref="S129" ca="1">INDIRECT("Investition_gewählt!"&amp;$AA$6&amp;AA129)</f>
        <v>2500</v>
      </c>
      <c r="T129" s="16" cm="1">
        <f t="array" aca="1" ref="T129" ca="1">IF($U$5=0,0,INDEX(Faktoren!T112:GQ112,1,VLOOKUP($X$6,$L$2:$O$14,4,FALSE)+$U$9*5+VLOOKUP(O129,Auswahllisten!$E$25:$F$28,2,FALSE)))</f>
        <v>0</v>
      </c>
      <c r="U129" s="26">
        <f t="shared" ca="1" si="171"/>
        <v>0</v>
      </c>
      <c r="V129" s="26">
        <f t="shared" ca="1" si="115"/>
        <v>0</v>
      </c>
      <c r="W129" s="26" t="b">
        <f ca="1">OR(U5=1,U5=3,U5=4)</f>
        <v>0</v>
      </c>
      <c r="X129" s="26">
        <f t="shared" ref="X129:X134" ca="1" si="172">IFERROR(ROUND(V129*W129,AB129),0)</f>
        <v>0</v>
      </c>
      <c r="Z129" s="1">
        <v>58</v>
      </c>
      <c r="AA129" s="1">
        <v>112</v>
      </c>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305" t="s">
        <v>1230</v>
      </c>
      <c r="B130" s="126" t="s">
        <v>1247</v>
      </c>
      <c r="C130" s="126" t="s">
        <v>1028</v>
      </c>
      <c r="D130" s="26" t="str" cm="1">
        <f t="array" aca="1" ref="D130" ca="1">INDIRECT("Vergleich!"&amp;$G$2&amp;Z130)</f>
        <v>mittel</v>
      </c>
      <c r="E130" s="26" cm="1">
        <f t="array" aca="1" ref="E130" ca="1">INDIRECT("Investition_gewählt!"&amp;$I$5&amp;AA130)</f>
        <v>3600</v>
      </c>
      <c r="F130" s="25" cm="1">
        <f t="array" aca="1" ref="F130" ca="1">IF($C$5=0,0,INDEX(Faktoren!E113:GQ113,1,VLOOKUP($F$5,$L$2:$O$14,4,FALSE)+$C$9*5+VLOOKUP(D130,Auswahllisten!$E$25:$F$29,2,FALSE)))</f>
        <v>0</v>
      </c>
      <c r="G130" s="162">
        <f t="shared" ca="1" si="166"/>
        <v>0</v>
      </c>
      <c r="H130" s="26" cm="1">
        <f t="array" aca="1" ref="H130" ca="1">INDIRECT("Investition_gewählt!"&amp;$I$6&amp;AA130)</f>
        <v>3600</v>
      </c>
      <c r="I130" s="25" cm="1">
        <f t="array" aca="1" ref="I130" ca="1">IF($C$5=0,0,INDEX(Faktoren!E113:GQ113,1,VLOOKUP($F$6,$L$2:$O$14,4,FALSE)+$C$9*5+VLOOKUP(D130,Auswahllisten!$E$25:$F$29,2,FALSE)))</f>
        <v>0</v>
      </c>
      <c r="J130" s="162">
        <f t="shared" ca="1" si="167"/>
        <v>0</v>
      </c>
      <c r="K130" s="26">
        <f t="shared" ca="1" si="168"/>
        <v>0</v>
      </c>
      <c r="L130" s="26" t="b">
        <f ca="1">(C5=5)</f>
        <v>0</v>
      </c>
      <c r="M130" s="26">
        <f t="shared" ca="1" si="169"/>
        <v>0</v>
      </c>
      <c r="O130" s="16" t="str" cm="1">
        <f t="array" aca="1" ref="O130" ca="1">INDIRECT("Vergleich!"&amp;$Y$2&amp;Z130)</f>
        <v>gering</v>
      </c>
      <c r="P130" s="26" cm="1">
        <f t="array" aca="1" ref="P130" ca="1">INDIRECT("Investition_gewählt!"&amp;$AA$5&amp;AA130)</f>
        <v>3600</v>
      </c>
      <c r="Q130" s="16" cm="1">
        <f t="array" aca="1" ref="Q130" ca="1">IF($U$5=0,0,INDEX(Faktoren!T113:GQ113,1,VLOOKUP($X$5,$L$2:$O$14,4,FALSE)+$U$9*5+VLOOKUP(O130,Auswahllisten!$E$25:$F$28,2,FALSE)))</f>
        <v>0</v>
      </c>
      <c r="R130" s="26">
        <f t="shared" ca="1" si="170"/>
        <v>0</v>
      </c>
      <c r="S130" s="26" cm="1">
        <f t="array" aca="1" ref="S130" ca="1">INDIRECT("Investition_gewählt!"&amp;$AA$6&amp;AA130)</f>
        <v>3600</v>
      </c>
      <c r="T130" s="16" cm="1">
        <f t="array" aca="1" ref="T130" ca="1">IF($U$5=0,0,INDEX(Faktoren!T113:GQ113,1,VLOOKUP($X$6,$L$2:$O$14,4,FALSE)+$U$9*5+VLOOKUP(O130,Auswahllisten!$E$25:$F$28,2,FALSE)))</f>
        <v>0</v>
      </c>
      <c r="U130" s="26">
        <f t="shared" ca="1" si="171"/>
        <v>0</v>
      </c>
      <c r="V130" s="26">
        <f t="shared" ca="1" si="115"/>
        <v>0</v>
      </c>
      <c r="W130" s="26" t="b">
        <f ca="1">(U5=5)</f>
        <v>0</v>
      </c>
      <c r="X130" s="26">
        <f t="shared" ca="1" si="172"/>
        <v>0</v>
      </c>
      <c r="Z130" s="1">
        <v>59</v>
      </c>
      <c r="AA130" s="1">
        <v>113</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305" t="s">
        <v>1230</v>
      </c>
      <c r="B131" s="126" t="s">
        <v>1247</v>
      </c>
      <c r="C131" s="126" t="s">
        <v>969</v>
      </c>
      <c r="D131" s="26" t="str" cm="1">
        <f t="array" aca="1" ref="D131" ca="1">INDIRECT("Vergleich!"&amp;$G$2&amp;Z131)</f>
        <v>keine</v>
      </c>
      <c r="E131" s="26" cm="1">
        <f t="array" aca="1" ref="E131" ca="1">INDIRECT("Investition_gewählt!"&amp;$I$5&amp;AA131)</f>
        <v>4000</v>
      </c>
      <c r="F131" s="25" cm="1">
        <f t="array" aca="1" ref="F131" ca="1">IF($C$5=0,0,INDEX(Faktoren!E114:GQ114,1,VLOOKUP($F$5,$L$2:$O$14,4,FALSE)+$C$9*5+VLOOKUP(D131,Auswahllisten!$E$25:$F$29,2,FALSE)))</f>
        <v>0</v>
      </c>
      <c r="G131" s="162">
        <f t="shared" ca="1" si="166"/>
        <v>0</v>
      </c>
      <c r="H131" s="26" cm="1">
        <f t="array" aca="1" ref="H131" ca="1">INDIRECT("Investition_gewählt!"&amp;$I$6&amp;AA131)</f>
        <v>4000</v>
      </c>
      <c r="I131" s="25" cm="1">
        <f t="array" aca="1" ref="I131" ca="1">IF($C$5=0,0,INDEX(Faktoren!E114:GQ114,1,VLOOKUP($F$6,$L$2:$O$14,4,FALSE)+$C$9*5+VLOOKUP(D131,Auswahllisten!$E$25:$F$29,2,FALSE)))</f>
        <v>0</v>
      </c>
      <c r="J131" s="162">
        <f t="shared" ca="1" si="167"/>
        <v>0</v>
      </c>
      <c r="K131" s="26">
        <f t="shared" ca="1" si="168"/>
        <v>0</v>
      </c>
      <c r="L131" s="26" t="b">
        <f ca="1">(C5=5)</f>
        <v>0</v>
      </c>
      <c r="M131" s="26">
        <f t="shared" ca="1" si="169"/>
        <v>0</v>
      </c>
      <c r="O131" s="16" t="str" cm="1">
        <f t="array" aca="1" ref="O131" ca="1">INDIRECT("Vergleich!"&amp;$Y$2&amp;Z131)</f>
        <v>keine</v>
      </c>
      <c r="P131" s="26" cm="1">
        <f t="array" aca="1" ref="P131" ca="1">INDIRECT("Investition_gewählt!"&amp;$AA$5&amp;AA131)</f>
        <v>4000</v>
      </c>
      <c r="Q131" s="16" cm="1">
        <f t="array" aca="1" ref="Q131" ca="1">IF($U$5=0,0,INDEX(Faktoren!T114:GQ114,1,VLOOKUP($X$5,$L$2:$O$14,4,FALSE)+$U$9*5+VLOOKUP(O131,Auswahllisten!$E$25:$F$28,2,FALSE)))</f>
        <v>0</v>
      </c>
      <c r="R131" s="26">
        <f t="shared" ca="1" si="170"/>
        <v>0</v>
      </c>
      <c r="S131" s="26" cm="1">
        <f t="array" aca="1" ref="S131" ca="1">INDIRECT("Investition_gewählt!"&amp;$AA$6&amp;AA131)</f>
        <v>4000</v>
      </c>
      <c r="T131" s="16" cm="1">
        <f t="array" aca="1" ref="T131" ca="1">IF($U$5=0,0,INDEX(Faktoren!T114:GQ114,1,VLOOKUP($X$6,$L$2:$O$14,4,FALSE)+$U$9*5+VLOOKUP(O131,Auswahllisten!$E$25:$F$28,2,FALSE)))</f>
        <v>0</v>
      </c>
      <c r="U131" s="26">
        <f t="shared" ca="1" si="171"/>
        <v>0</v>
      </c>
      <c r="V131" s="26">
        <f t="shared" ca="1" si="115"/>
        <v>0</v>
      </c>
      <c r="W131" s="26" t="b">
        <f ca="1">(U5=5)</f>
        <v>0</v>
      </c>
      <c r="X131" s="26">
        <f t="shared" ca="1" si="172"/>
        <v>0</v>
      </c>
      <c r="Z131" s="1">
        <v>60</v>
      </c>
      <c r="AA131" s="1">
        <v>114</v>
      </c>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05" t="s">
        <v>1230</v>
      </c>
      <c r="B132" s="126" t="s">
        <v>1247</v>
      </c>
      <c r="C132" s="126" t="s">
        <v>1031</v>
      </c>
      <c r="D132" s="26" t="str" cm="1">
        <f t="array" aca="1" ref="D132" ca="1">INDIRECT("Vergleich!"&amp;$G$2&amp;Z132)</f>
        <v>keine</v>
      </c>
      <c r="E132" s="26" cm="1">
        <f t="array" aca="1" ref="E132" ca="1">INDIRECT("Investition_gewählt!"&amp;$I$5&amp;AA132)</f>
        <v>3500</v>
      </c>
      <c r="F132" s="25" cm="1">
        <f t="array" aca="1" ref="F132" ca="1">IF($C$5=0,0,INDEX(Faktoren!E115:GQ115,1,VLOOKUP($F$5,$L$2:$O$14,4,FALSE)+$C$9*5+VLOOKUP(D132,Auswahllisten!$E$25:$F$29,2,FALSE)))</f>
        <v>0</v>
      </c>
      <c r="G132" s="162">
        <f t="shared" ca="1" si="166"/>
        <v>0</v>
      </c>
      <c r="H132" s="26" cm="1">
        <f t="array" aca="1" ref="H132" ca="1">INDIRECT("Investition_gewählt!"&amp;$I$6&amp;AA132)</f>
        <v>3500</v>
      </c>
      <c r="I132" s="25" cm="1">
        <f t="array" aca="1" ref="I132" ca="1">IF($C$5=0,0,INDEX(Faktoren!E115:GQ115,1,VLOOKUP($F$6,$L$2:$O$14,4,FALSE)+$C$9*5+VLOOKUP(D132,Auswahllisten!$E$25:$F$29,2,FALSE)))</f>
        <v>0</v>
      </c>
      <c r="J132" s="162">
        <f t="shared" ca="1" si="167"/>
        <v>0</v>
      </c>
      <c r="K132" s="26">
        <f t="shared" ca="1" si="168"/>
        <v>0</v>
      </c>
      <c r="L132" s="26" t="b">
        <f ca="1">(C5=5)</f>
        <v>0</v>
      </c>
      <c r="M132" s="26">
        <f t="shared" ca="1" si="169"/>
        <v>0</v>
      </c>
      <c r="O132" s="16" t="str" cm="1">
        <f t="array" aca="1" ref="O132" ca="1">INDIRECT("Vergleich!"&amp;$Y$2&amp;Z132)</f>
        <v>keine</v>
      </c>
      <c r="P132" s="26" cm="1">
        <f t="array" aca="1" ref="P132" ca="1">INDIRECT("Investition_gewählt!"&amp;$AA$5&amp;AA132)</f>
        <v>3500</v>
      </c>
      <c r="Q132" s="16" cm="1">
        <f t="array" aca="1" ref="Q132" ca="1">IF($U$5=0,0,INDEX(Faktoren!T115:GQ115,1,VLOOKUP($X$5,$L$2:$O$14,4,FALSE)+$U$9*5+VLOOKUP(O132,Auswahllisten!$E$25:$F$28,2,FALSE)))</f>
        <v>0</v>
      </c>
      <c r="R132" s="26">
        <f t="shared" ca="1" si="170"/>
        <v>0</v>
      </c>
      <c r="S132" s="26" cm="1">
        <f t="array" aca="1" ref="S132" ca="1">INDIRECT("Investition_gewählt!"&amp;$AA$6&amp;AA132)</f>
        <v>3500</v>
      </c>
      <c r="T132" s="16" cm="1">
        <f t="array" aca="1" ref="T132" ca="1">IF($U$5=0,0,INDEX(Faktoren!T115:GQ115,1,VLOOKUP($X$6,$L$2:$O$14,4,FALSE)+$U$9*5+VLOOKUP(O132,Auswahllisten!$E$25:$F$28,2,FALSE)))</f>
        <v>0</v>
      </c>
      <c r="U132" s="26">
        <f t="shared" ca="1" si="171"/>
        <v>0</v>
      </c>
      <c r="V132" s="26">
        <f t="shared" ca="1" si="115"/>
        <v>0</v>
      </c>
      <c r="W132" s="26" t="b">
        <f ca="1">(U5=5)</f>
        <v>0</v>
      </c>
      <c r="X132" s="26">
        <f t="shared" ca="1" si="172"/>
        <v>0</v>
      </c>
      <c r="Z132" s="1">
        <v>61</v>
      </c>
      <c r="AA132" s="1">
        <v>115</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305" t="s">
        <v>1230</v>
      </c>
      <c r="B133" s="126" t="s">
        <v>1033</v>
      </c>
      <c r="C133" s="126" t="s">
        <v>970</v>
      </c>
      <c r="D133" s="26" t="str" cm="1">
        <f t="array" aca="1" ref="D133" ca="1">INDIRECT("Vergleich!"&amp;$G$2&amp;Z133)</f>
        <v>keine</v>
      </c>
      <c r="E133" s="26" cm="1">
        <f t="array" aca="1" ref="E133" ca="1">INDIRECT("Investition_gewählt!"&amp;$I$5&amp;AA133)</f>
        <v>0</v>
      </c>
      <c r="F133" s="25" cm="1">
        <f t="array" aca="1" ref="F133" ca="1">IF($C$5=0,0,INDEX(Faktoren!E116:GQ116,1,VLOOKUP($F$5,$L$2:$O$14,4,FALSE)+$C$9*5+VLOOKUP(D133,Auswahllisten!$E$25:$F$29,2,FALSE)))</f>
        <v>0</v>
      </c>
      <c r="G133" s="162">
        <f t="shared" ca="1" si="166"/>
        <v>0</v>
      </c>
      <c r="H133" s="26" cm="1">
        <f t="array" aca="1" ref="H133" ca="1">INDIRECT("Investition_gewählt!"&amp;$I$6&amp;AA133)</f>
        <v>0</v>
      </c>
      <c r="I133" s="25" cm="1">
        <f t="array" aca="1" ref="I133" ca="1">IF($C$5=0,0,INDEX(Faktoren!E116:GQ116,1,VLOOKUP($F$6,$L$2:$O$14,4,FALSE)+$C$9*5+VLOOKUP(D133,Auswahllisten!$E$25:$F$29,2,FALSE)))</f>
        <v>0</v>
      </c>
      <c r="J133" s="162">
        <f t="shared" ca="1" si="167"/>
        <v>0</v>
      </c>
      <c r="K133" s="26">
        <f t="shared" ca="1" si="168"/>
        <v>0</v>
      </c>
      <c r="L133" s="26" t="b">
        <f ca="1">(C5=5)</f>
        <v>0</v>
      </c>
      <c r="M133" s="26">
        <f t="shared" ca="1" si="169"/>
        <v>0</v>
      </c>
      <c r="O133" s="16" t="str" cm="1">
        <f t="array" aca="1" ref="O133" ca="1">INDIRECT("Vergleich!"&amp;$Y$2&amp;Z133)</f>
        <v>keine</v>
      </c>
      <c r="P133" s="26" cm="1">
        <f t="array" aca="1" ref="P133" ca="1">INDIRECT("Investition_gewählt!"&amp;$AA$5&amp;AA133)</f>
        <v>0</v>
      </c>
      <c r="Q133" s="16" cm="1">
        <f t="array" aca="1" ref="Q133" ca="1">IF($U$5=0,0,INDEX(Faktoren!T116:GQ116,1,VLOOKUP($X$5,$L$2:$O$14,4,FALSE)+$U$9*5+VLOOKUP(O133,Auswahllisten!$E$25:$F$28,2,FALSE)))</f>
        <v>0</v>
      </c>
      <c r="R133" s="26">
        <f t="shared" ca="1" si="170"/>
        <v>0</v>
      </c>
      <c r="S133" s="26" cm="1">
        <f t="array" aca="1" ref="S133" ca="1">INDIRECT("Investition_gewählt!"&amp;$AA$6&amp;AA133)</f>
        <v>0</v>
      </c>
      <c r="T133" s="16" cm="1">
        <f t="array" aca="1" ref="T133" ca="1">IF($U$5=0,0,INDEX(Faktoren!T116:GQ116,1,VLOOKUP($X$6,$L$2:$O$14,4,FALSE)+$U$9*5+VLOOKUP(O133,Auswahllisten!$E$25:$F$28,2,FALSE)))</f>
        <v>0</v>
      </c>
      <c r="U133" s="26">
        <f t="shared" ca="1" si="171"/>
        <v>0</v>
      </c>
      <c r="V133" s="26">
        <f t="shared" ca="1" si="115"/>
        <v>0</v>
      </c>
      <c r="W133" s="26" t="b">
        <f ca="1">(U5=5)</f>
        <v>0</v>
      </c>
      <c r="X133" s="26">
        <f t="shared" ca="1" si="172"/>
        <v>0</v>
      </c>
      <c r="Z133" s="1">
        <v>62</v>
      </c>
      <c r="AA133" s="1">
        <v>116</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A134" s="82" t="s">
        <v>1229</v>
      </c>
      <c r="B134" s="64" t="s">
        <v>1246</v>
      </c>
      <c r="C134" s="134" t="s">
        <v>1036</v>
      </c>
      <c r="D134" s="163" t="str" cm="1">
        <f t="array" aca="1" ref="D134" ca="1">INDIRECT("Vergleich!"&amp;$G$2&amp;Z134)</f>
        <v>mittel</v>
      </c>
      <c r="E134" s="163" cm="1">
        <f t="array" aca="1" ref="E134" ca="1">INDIRECT("Investition_gewählt!"&amp;$I$5&amp;AA134)</f>
        <v>1800</v>
      </c>
      <c r="F134" s="61" cm="1">
        <f t="array" aca="1" ref="F134" ca="1">IF($C$5=0,0,INDEX(Faktoren!E117:GQ117,1,VLOOKUP($F$5,$L$2:$O$14,4,FALSE)+$C$9*5+VLOOKUP(D134,Auswahllisten!$E$25:$F$29,2,FALSE)))</f>
        <v>0</v>
      </c>
      <c r="G134" s="216">
        <f t="shared" ca="1" si="166"/>
        <v>0</v>
      </c>
      <c r="H134" s="296" cm="1">
        <f t="array" aca="1" ref="H134" ca="1">INDIRECT("Investition_gewählt!"&amp;$I$6&amp;AA134)</f>
        <v>1800</v>
      </c>
      <c r="I134" s="61" cm="1">
        <f t="array" aca="1" ref="I134" ca="1">IF($C$5=0,0,INDEX(Faktoren!E117:GQ117,1,VLOOKUP($F$6,$L$2:$O$14,4,FALSE)+$C$9*5+VLOOKUP(D134,Auswahllisten!$E$25:$F$29,2,FALSE)))</f>
        <v>0</v>
      </c>
      <c r="J134" s="216">
        <f t="shared" ca="1" si="167"/>
        <v>0</v>
      </c>
      <c r="K134" s="163">
        <f ca="1">IF($C$5=0,0,G134+(J134-G134)*($C$6-$F$5)/($F$6-$F$5))</f>
        <v>0</v>
      </c>
      <c r="L134" s="163" t="b">
        <f ca="1">OR(C5=6,C5=7,C5=14)</f>
        <v>0</v>
      </c>
      <c r="M134" s="163">
        <f t="shared" ca="1" si="169"/>
        <v>0</v>
      </c>
      <c r="O134" s="93" t="str" cm="1">
        <f t="array" aca="1" ref="O134" ca="1">INDIRECT("Vergleich!"&amp;$Y$2&amp;Z134)</f>
        <v>gering</v>
      </c>
      <c r="P134" s="163" cm="1">
        <f t="array" aca="1" ref="P134" ca="1">INDIRECT("Investition_gewählt!"&amp;$AA$5&amp;AA134)</f>
        <v>1800</v>
      </c>
      <c r="Q134" s="93" cm="1">
        <f t="array" aca="1" ref="Q134" ca="1">IF($U$5=0,0,INDEX(Faktoren!T117:GQ117,1,VLOOKUP($X$5,$L$2:$O$14,4,FALSE)+$U$9*5+VLOOKUP(O134,Auswahllisten!$E$25:$F$28,2,FALSE)))</f>
        <v>0</v>
      </c>
      <c r="R134" s="163">
        <f t="shared" ca="1" si="170"/>
        <v>0</v>
      </c>
      <c r="S134" s="163" cm="1">
        <f t="array" aca="1" ref="S134" ca="1">INDIRECT("Investition_gewählt!"&amp;$AA$6&amp;AA134)</f>
        <v>1800</v>
      </c>
      <c r="T134" s="93" cm="1">
        <f t="array" aca="1" ref="T134" ca="1">IF($U$5=0,0,INDEX(Faktoren!T117:GQ117,1,VLOOKUP($X$6,$L$2:$O$14,4,FALSE)+$U$9*5+VLOOKUP(O134,Auswahllisten!$E$25:$F$28,2,FALSE)))</f>
        <v>0</v>
      </c>
      <c r="U134" s="163">
        <f t="shared" ca="1" si="171"/>
        <v>0</v>
      </c>
      <c r="V134" s="163">
        <f t="shared" ca="1" si="115"/>
        <v>0</v>
      </c>
      <c r="W134" s="163" t="b">
        <f ca="1">OR(U5=6,U5=7,U5=14)</f>
        <v>0</v>
      </c>
      <c r="X134" s="163">
        <f t="shared" ca="1" si="172"/>
        <v>0</v>
      </c>
      <c r="Z134" s="1">
        <v>63</v>
      </c>
      <c r="AA134" s="1">
        <v>117</v>
      </c>
      <c r="AB134" s="1">
        <v>-2</v>
      </c>
    </row>
    <row r="135" spans="1:78">
      <c r="M135" s="69"/>
      <c r="AB135" s="1">
        <v>-2</v>
      </c>
    </row>
    <row r="136" spans="1:78">
      <c r="B136" s="125"/>
      <c r="C136" s="64"/>
      <c r="D136" s="69"/>
      <c r="E136" s="69"/>
      <c r="M136" s="69"/>
      <c r="AB136" s="1">
        <v>-2</v>
      </c>
    </row>
    <row r="137" spans="1:78">
      <c r="B137" s="64"/>
      <c r="C137" s="64"/>
      <c r="E137" s="69"/>
      <c r="M137" s="69"/>
      <c r="Z137" s="1">
        <v>0</v>
      </c>
      <c r="AB137" s="1">
        <v>-2</v>
      </c>
    </row>
    <row r="138" spans="1:78">
      <c r="M138" s="69"/>
      <c r="AB138" s="1">
        <v>-2</v>
      </c>
    </row>
    <row r="139" spans="1:78">
      <c r="A139" s="8" t="s">
        <v>1008</v>
      </c>
      <c r="B139" s="8" t="s">
        <v>337</v>
      </c>
      <c r="M139" s="69"/>
      <c r="AB139" s="1">
        <v>-2</v>
      </c>
    </row>
    <row r="140" spans="1:78">
      <c r="A140" s="55"/>
      <c r="B140" s="55"/>
      <c r="C140" s="55" t="s">
        <v>851</v>
      </c>
      <c r="D140" s="25" t="s">
        <v>695</v>
      </c>
      <c r="E140" s="25" cm="1">
        <f t="array" aca="1" ref="E140" ca="1">IF($C$5=0,0,INDIRECT("Vergleich!"&amp;$G$2&amp;Z140))</f>
        <v>0</v>
      </c>
      <c r="M140" s="69"/>
      <c r="Z140" s="1">
        <v>11</v>
      </c>
      <c r="AB140" s="1">
        <v>-2</v>
      </c>
    </row>
    <row r="141" spans="1:78">
      <c r="A141" s="91"/>
      <c r="B141" s="91"/>
      <c r="C141" s="91" t="s">
        <v>850</v>
      </c>
      <c r="D141" s="16" t="s">
        <v>858</v>
      </c>
      <c r="E141" s="26">
        <f ca="1">IF(E140&lt;10,Standardwerte!I60,IF(E140&lt;32,Standardwerte!I61,Standardwerte!I62))</f>
        <v>1950</v>
      </c>
      <c r="M141" s="69"/>
      <c r="AB141" s="1">
        <v>-2</v>
      </c>
    </row>
    <row r="142" spans="1:78">
      <c r="A142" s="35" t="s">
        <v>1254</v>
      </c>
      <c r="B142" s="1" t="s">
        <v>1255</v>
      </c>
      <c r="C142" s="91" t="s">
        <v>854</v>
      </c>
      <c r="D142" s="16" t="s">
        <v>175</v>
      </c>
      <c r="E142" s="26">
        <f ca="1">E140*E141</f>
        <v>0</v>
      </c>
      <c r="F142" s="51"/>
      <c r="G142" s="55"/>
      <c r="H142" s="55"/>
      <c r="I142" s="55"/>
      <c r="J142" s="55"/>
      <c r="K142" s="55"/>
      <c r="L142" s="55"/>
      <c r="M142" s="162">
        <f ca="1">ROUND(IF($C$5=0,0,E142),AB142)*I12</f>
        <v>0</v>
      </c>
      <c r="AB142" s="1">
        <v>-2</v>
      </c>
    </row>
    <row r="143" spans="1:78">
      <c r="A143" s="94"/>
      <c r="B143" s="94"/>
      <c r="C143" s="94" t="s">
        <v>672</v>
      </c>
      <c r="D143" s="93" t="s">
        <v>175</v>
      </c>
      <c r="E143" s="163" cm="1">
        <f t="array" aca="1" ref="E143" ca="1">INDIRECT("Vergleich!"&amp;$G$2&amp;Z143)</f>
        <v>0</v>
      </c>
      <c r="M143" s="69"/>
      <c r="Z143" s="1">
        <v>15</v>
      </c>
      <c r="AB143" s="1">
        <v>-2</v>
      </c>
    </row>
    <row r="144" spans="1:78">
      <c r="E144" s="166"/>
      <c r="M144" s="69"/>
      <c r="AB144" s="1">
        <v>-2</v>
      </c>
    </row>
    <row r="145" spans="1:28">
      <c r="A145" s="8" t="s">
        <v>1023</v>
      </c>
      <c r="B145" s="8" t="s">
        <v>677</v>
      </c>
      <c r="C145" s="7"/>
      <c r="M145" s="69"/>
      <c r="AB145" s="1">
        <v>-2</v>
      </c>
    </row>
    <row r="146" spans="1:28">
      <c r="A146" s="55"/>
      <c r="B146" s="55"/>
      <c r="C146" s="55" t="s">
        <v>1104</v>
      </c>
      <c r="D146" s="25" t="s">
        <v>701</v>
      </c>
      <c r="E146" s="162" cm="1">
        <f t="array" aca="1" ref="E146" ca="1">IF($C$5=0,0,INDIRECT("Vergleich!"&amp;$G$2&amp;Z146))</f>
        <v>0</v>
      </c>
      <c r="F146" s="51"/>
      <c r="G146" s="55"/>
      <c r="H146" s="55"/>
      <c r="I146" s="55"/>
      <c r="J146" s="55"/>
      <c r="K146" s="55"/>
      <c r="L146" s="55"/>
      <c r="M146" s="162"/>
      <c r="Z146" s="1">
        <v>89</v>
      </c>
      <c r="AB146" s="1">
        <v>-2</v>
      </c>
    </row>
    <row r="147" spans="1:28">
      <c r="A147" s="35" t="s">
        <v>1223</v>
      </c>
      <c r="B147" s="1" t="s">
        <v>1251</v>
      </c>
      <c r="C147" s="91" t="s">
        <v>702</v>
      </c>
      <c r="D147" s="16" t="s">
        <v>703</v>
      </c>
      <c r="E147" s="26">
        <f ca="1">IF(E146&lt;=10,Standardwerte!O57,IF(E146&lt;=30,Standardwerte!O58,IF(E146&lt;=100,Standardwerte!O59,Standardwerte!O60)))</f>
        <v>3000</v>
      </c>
      <c r="F147" s="51"/>
      <c r="G147" s="55"/>
      <c r="H147" s="55"/>
      <c r="I147" s="55"/>
      <c r="J147" s="55"/>
      <c r="K147" s="55"/>
      <c r="L147" s="55"/>
      <c r="M147" s="162">
        <f ca="1">ROUND(E146*E147,AB146)*I13</f>
        <v>0</v>
      </c>
      <c r="AB147" s="1">
        <v>-2</v>
      </c>
    </row>
    <row r="148" spans="1:28">
      <c r="A148" s="91"/>
      <c r="B148" s="91"/>
      <c r="C148" s="91" t="s">
        <v>1105</v>
      </c>
      <c r="D148" s="16" t="s">
        <v>701</v>
      </c>
      <c r="E148" s="26" cm="1">
        <f t="array" aca="1" ref="E148" ca="1">IF($C$5=0,0,INDIRECT("Vergleich!"&amp;$G$2&amp;Z148))</f>
        <v>0</v>
      </c>
      <c r="F148" s="51"/>
      <c r="G148" s="55"/>
      <c r="H148" s="55"/>
      <c r="I148" s="55"/>
      <c r="J148" s="55"/>
      <c r="K148" s="55"/>
      <c r="L148" s="55"/>
      <c r="M148" s="162"/>
      <c r="Z148" s="1">
        <v>92</v>
      </c>
      <c r="AB148" s="1">
        <v>-2</v>
      </c>
    </row>
    <row r="149" spans="1:28">
      <c r="A149" s="35" t="s">
        <v>1223</v>
      </c>
      <c r="B149" s="1" t="s">
        <v>1251</v>
      </c>
      <c r="C149" s="91" t="s">
        <v>702</v>
      </c>
      <c r="D149" s="16" t="s">
        <v>703</v>
      </c>
      <c r="E149" s="26">
        <f ca="1">IF(E148&lt;=10,Standardwerte!O57,IF(E148&lt;=30,Standardwerte!O58,IF(E148&lt;=100,Standardwerte!O59,Standardwerte!O60)))</f>
        <v>3000</v>
      </c>
      <c r="F149" s="51"/>
      <c r="G149" s="55"/>
      <c r="H149" s="55"/>
      <c r="I149" s="55"/>
      <c r="J149" s="55"/>
      <c r="K149" s="55"/>
      <c r="L149" s="55"/>
      <c r="M149" s="162">
        <f ca="1">ROUND(E148*E149,AB149)*I13</f>
        <v>0</v>
      </c>
      <c r="AB149" s="1">
        <v>-2</v>
      </c>
    </row>
    <row r="150" spans="1:28">
      <c r="A150" s="308"/>
      <c r="B150" s="91"/>
      <c r="C150" s="91" t="s">
        <v>673</v>
      </c>
      <c r="D150" s="16" t="s">
        <v>175</v>
      </c>
      <c r="E150" s="26" cm="1">
        <f t="array" aca="1" ref="E150" ca="1">INDIRECT("Vergleich!"&amp;$G$2&amp;Z150)</f>
        <v>0</v>
      </c>
      <c r="F150" s="50"/>
      <c r="G150" s="91"/>
      <c r="H150" s="91"/>
      <c r="I150" s="91"/>
      <c r="J150" s="91"/>
      <c r="K150" s="91"/>
      <c r="L150" s="91"/>
      <c r="M150" s="26"/>
      <c r="Z150" s="1">
        <v>96</v>
      </c>
      <c r="AB150" s="1">
        <v>-2</v>
      </c>
    </row>
    <row r="151" spans="1:28">
      <c r="A151" s="308" t="s">
        <v>1244</v>
      </c>
      <c r="B151" s="91" t="s">
        <v>811</v>
      </c>
      <c r="C151" s="91" t="s">
        <v>740</v>
      </c>
      <c r="D151" s="16" t="s">
        <v>175</v>
      </c>
      <c r="E151" s="26">
        <f ca="1">IF((E146+E148)=0,0,IF((E146+E148)&lt;=10,Standardwerte!O61,IF((E146+E148)&lt;=30,Standardwerte!O62,IF((E146+E148)&lt;=100,Standardwerte!O63,Standardwerte!O64))))</f>
        <v>0</v>
      </c>
      <c r="F151" s="50"/>
      <c r="G151" s="91"/>
      <c r="H151" s="91"/>
      <c r="I151" s="91"/>
      <c r="J151" s="91"/>
      <c r="K151" s="91"/>
      <c r="L151" s="91"/>
      <c r="M151" s="26">
        <f ca="1">ROUND(E151,AB151)*I13</f>
        <v>0</v>
      </c>
      <c r="AB151" s="1">
        <v>-2</v>
      </c>
    </row>
    <row r="152" spans="1:28">
      <c r="A152" s="286" t="s">
        <v>1244</v>
      </c>
      <c r="B152" s="63" t="s">
        <v>811</v>
      </c>
      <c r="C152" s="94" t="s">
        <v>814</v>
      </c>
      <c r="D152" s="93" t="s">
        <v>175</v>
      </c>
      <c r="E152" s="163">
        <f ca="1">IF($C$5=0,0,Standardwerte!O70)</f>
        <v>0</v>
      </c>
      <c r="F152" s="92"/>
      <c r="G152" s="94"/>
      <c r="H152" s="94"/>
      <c r="I152" s="94"/>
      <c r="J152" s="94"/>
      <c r="K152" s="94"/>
      <c r="L152" s="94"/>
      <c r="M152" s="163">
        <f ca="1">ROUND(E152,AB152)*I13</f>
        <v>0</v>
      </c>
      <c r="AB152" s="1">
        <v>-2</v>
      </c>
    </row>
    <row r="153" spans="1:28">
      <c r="A153" s="35"/>
      <c r="M153" s="69"/>
      <c r="AB153" s="1">
        <v>-2</v>
      </c>
    </row>
    <row r="154" spans="1:28">
      <c r="A154" s="35"/>
      <c r="M154" s="69"/>
      <c r="AB154" s="1">
        <v>-2</v>
      </c>
    </row>
    <row r="155" spans="1:28">
      <c r="A155" s="124"/>
      <c r="B155" s="8" t="s">
        <v>1253</v>
      </c>
      <c r="M155" s="69"/>
      <c r="AB155" s="1">
        <v>-2</v>
      </c>
    </row>
    <row r="156" spans="1:28">
      <c r="A156" s="287"/>
      <c r="B156" s="55"/>
      <c r="C156" s="55" t="s">
        <v>1098</v>
      </c>
      <c r="D156" s="25"/>
      <c r="E156" s="162">
        <f ca="1">SUM(M19:M152)+SUM(X19:X134)</f>
        <v>0</v>
      </c>
      <c r="F156" s="25"/>
      <c r="G156" s="25"/>
      <c r="H156" s="25"/>
      <c r="I156" s="25"/>
      <c r="J156" s="25"/>
      <c r="K156" s="25"/>
      <c r="L156" s="25"/>
      <c r="M156" s="162"/>
      <c r="AB156" s="1">
        <v>-2</v>
      </c>
    </row>
    <row r="157" spans="1:28">
      <c r="A157" s="178" t="s">
        <v>1221</v>
      </c>
      <c r="B157" s="71" t="s">
        <v>1252</v>
      </c>
      <c r="C157" s="71" t="s">
        <v>1100</v>
      </c>
      <c r="D157" s="16" t="str" cm="1">
        <f t="array" aca="1" ref="D157" ca="1">INDIRECT("Vergleich!"&amp;$G$3&amp;Z157)</f>
        <v>mittel</v>
      </c>
      <c r="E157" s="76" cm="1">
        <f t="array" aca="1" ref="E157" ca="1">INDIRECT("Investition_gewählt!"&amp;$I$5&amp;AA157)</f>
        <v>0.05</v>
      </c>
      <c r="F157" s="76" cm="1">
        <f t="array" aca="1" ref="F157" ca="1">IF($C$5=0,0,INDEX(Faktoren!E120:GQ120,1,VLOOKUP($F$5,$L$2:$O$14,4,FALSE)+$C$9*5+VLOOKUP(D157,Auswahllisten!$E$25:$F$29,2,FALSE)))</f>
        <v>0</v>
      </c>
      <c r="G157" s="76">
        <f t="shared" ref="G157" ca="1" si="173">E157*F157</f>
        <v>0</v>
      </c>
      <c r="H157" s="76" cm="1">
        <f t="array" aca="1" ref="H157" ca="1">INDIRECT("Investition_gewählt!"&amp;$I$6&amp;AA157)</f>
        <v>0.05</v>
      </c>
      <c r="I157" s="76" cm="1">
        <f t="array" aca="1" ref="I157" ca="1">IF($C$5=0,0,INDEX(Faktoren!E120:QG120,1,VLOOKUP($F$6,$L$2:$O$14,4,FALSE)+$C$9*5+VLOOKUP(D157,Auswahllisten!$E$25:$F$29,2,FALSE)))</f>
        <v>0</v>
      </c>
      <c r="J157" s="76">
        <f t="shared" ref="J157" ca="1" si="174">H157*I157</f>
        <v>0</v>
      </c>
      <c r="K157" s="76">
        <f ca="1">IF($C$5=0,0,G157+(J157-G157)*($C$6-$F$5)/($F$6-$F$5))</f>
        <v>0</v>
      </c>
      <c r="L157" s="76">
        <v>1</v>
      </c>
      <c r="M157" s="26">
        <f ca="1">IFERROR(ROUND(E156*K157,-2),0)</f>
        <v>0</v>
      </c>
      <c r="Z157" s="1">
        <v>103</v>
      </c>
      <c r="AA157" s="1">
        <v>120</v>
      </c>
      <c r="AB157" s="1">
        <v>-2</v>
      </c>
    </row>
    <row r="158" spans="1:28">
      <c r="A158" s="286" t="s">
        <v>1222</v>
      </c>
      <c r="B158" s="63" t="s">
        <v>1266</v>
      </c>
      <c r="C158" s="63"/>
      <c r="D158" s="60"/>
      <c r="E158" s="60">
        <f>Projektdaten!E62</f>
        <v>8.1000000000000003E-2</v>
      </c>
      <c r="F158" s="296"/>
      <c r="G158" s="60"/>
      <c r="H158" s="60"/>
      <c r="I158" s="60"/>
      <c r="J158" s="60"/>
      <c r="K158" s="60"/>
      <c r="L158" s="60"/>
      <c r="AB158" s="1">
        <v>-2</v>
      </c>
    </row>
    <row r="159" spans="1:28">
      <c r="A159" s="35"/>
      <c r="M159" s="69"/>
      <c r="AB159" s="1">
        <v>-2</v>
      </c>
    </row>
    <row r="160" spans="1:28">
      <c r="M160" s="69"/>
      <c r="AB160" s="1">
        <v>-2</v>
      </c>
    </row>
    <row r="161" spans="1:28">
      <c r="A161" s="8"/>
      <c r="B161" s="8" t="s">
        <v>326</v>
      </c>
      <c r="M161" s="69"/>
      <c r="AB161" s="1">
        <v>-2</v>
      </c>
    </row>
    <row r="162" spans="1:28">
      <c r="A162" s="8" t="s">
        <v>261</v>
      </c>
      <c r="B162" s="8" t="s">
        <v>0</v>
      </c>
      <c r="L162" s="155">
        <v>1</v>
      </c>
      <c r="M162" s="69"/>
      <c r="AB162" s="1">
        <v>-2</v>
      </c>
    </row>
    <row r="163" spans="1:28">
      <c r="A163" s="117"/>
      <c r="B163" s="55"/>
      <c r="C163" s="55" t="s">
        <v>255</v>
      </c>
      <c r="D163" s="25" t="str" cm="1">
        <f t="array" aca="1" ref="D163" ca="1">INDIRECT("Vergleich!"&amp;$G$2&amp;Z163)</f>
        <v>mittel</v>
      </c>
      <c r="E163" s="25" cm="1">
        <f t="array" aca="1" ref="E163" ca="1">INDIRECT("Unterhalt!"&amp;$J$5&amp;AA163)</f>
        <v>360</v>
      </c>
      <c r="F163" s="25">
        <f ca="1">IF(D163=Auswahllisten!$E$26,0.8,IF(D163=Auswahllisten!$E$27,1,IF(D163=Auswahllisten!$E$29,1.2,0)))</f>
        <v>1</v>
      </c>
      <c r="G163" s="25">
        <f t="shared" ref="G163:G164" ca="1" si="175">E163*F163</f>
        <v>360</v>
      </c>
      <c r="H163" s="25" cm="1">
        <f t="array" aca="1" ref="H163" ca="1">INDIRECT("Unterhalt!"&amp;$J$6&amp;AA163)</f>
        <v>360</v>
      </c>
      <c r="I163" s="25">
        <f ca="1">IF(D163=Auswahllisten!$E$26,0.8,IF(D163=Auswahllisten!$E$27,1,IF(D163=Auswahllisten!$E$29,1.2,0)))</f>
        <v>1</v>
      </c>
      <c r="J163" s="25">
        <f t="shared" ref="J163:J164" ca="1" si="176">H163*I163</f>
        <v>360</v>
      </c>
      <c r="K163" s="25">
        <f ca="1">IF($C$5=0,0,G163+(J163-G163)*($C$6-$F$5)/($F$6-$F$5))</f>
        <v>0</v>
      </c>
      <c r="L163" s="25" t="b">
        <f ca="1">($L$162=$C$5)</f>
        <v>0</v>
      </c>
      <c r="M163" s="162">
        <f ca="1">ROUND(K163*L163,AB163)</f>
        <v>0</v>
      </c>
      <c r="O163" s="25" t="str" cm="1">
        <f t="array" aca="1" ref="O163" ca="1">INDIRECT("Vergleich!"&amp;$Y$2&amp;Z163)</f>
        <v>gering</v>
      </c>
      <c r="P163" s="25" cm="1">
        <f t="array" aca="1" ref="P163" ca="1">INDIRECT("Unterhalt!"&amp;$AB$5&amp;AA163)</f>
        <v>360</v>
      </c>
      <c r="Q163" s="25">
        <f ca="1">IF(O163=Auswahllisten!$E$26,0.8,IF(O163=Auswahllisten!$E$27,1,IF(O163=Auswahllisten!$E$29,1.2,0)))</f>
        <v>0.8</v>
      </c>
      <c r="R163" s="25">
        <f t="shared" ref="R163:R164" ca="1" si="177">P163*Q163</f>
        <v>288</v>
      </c>
      <c r="S163" s="25" cm="1">
        <f t="array" aca="1" ref="S163" ca="1">INDIRECT("Unterhalt!"&amp;$AB$6&amp;AA163)</f>
        <v>360</v>
      </c>
      <c r="T163" s="25">
        <f ca="1">IF(O163=Auswahllisten!$E$26,0.8,IF(O163=Auswahllisten!$E$27,1,IF(O163=Auswahllisten!$E$29,1.2,0)))</f>
        <v>0.8</v>
      </c>
      <c r="U163" s="25">
        <f t="shared" ref="U163:U164" ca="1" si="178">S163*T163</f>
        <v>288</v>
      </c>
      <c r="V163" s="25">
        <f t="shared" ref="V163:V208" ca="1" si="179">IF($U$5=0,0,R163+(U163-R163)*($U$6-$X$5)/($X$6-$X$5))</f>
        <v>0</v>
      </c>
      <c r="W163" s="25" t="b">
        <f ca="1">($L$162=$U$5)</f>
        <v>0</v>
      </c>
      <c r="X163" s="25">
        <f ca="1">ROUND(V163*W163,AB163)</f>
        <v>0</v>
      </c>
      <c r="Z163" s="1">
        <v>54</v>
      </c>
      <c r="AA163" s="1">
        <v>7</v>
      </c>
      <c r="AB163" s="1">
        <v>-1</v>
      </c>
    </row>
    <row r="164" spans="1:28">
      <c r="A164" s="545"/>
      <c r="B164" s="94"/>
      <c r="C164" s="94" t="s">
        <v>256</v>
      </c>
      <c r="D164" s="93" t="str" cm="1">
        <f t="array" aca="1" ref="D164" ca="1">INDIRECT("Vergleich!"&amp;$G$2&amp;Z164)</f>
        <v>mittel</v>
      </c>
      <c r="E164" s="61" cm="1">
        <f t="array" aca="1" ref="E164" ca="1">INDIRECT("Unterhalt!"&amp;$J$5&amp;AA164)</f>
        <v>170</v>
      </c>
      <c r="F164" s="61">
        <f ca="1">IF(D164=Auswahllisten!$E$26,0.8,IF(D164=Auswahllisten!$E$27,1,IF(D164=Auswahllisten!$E$29,1.2,0)))</f>
        <v>1</v>
      </c>
      <c r="G164" s="61">
        <f t="shared" ca="1" si="175"/>
        <v>170</v>
      </c>
      <c r="H164" s="61" cm="1">
        <f t="array" aca="1" ref="H164" ca="1">INDIRECT("Unterhalt!"&amp;$J$6&amp;AA164)</f>
        <v>170</v>
      </c>
      <c r="I164" s="61">
        <f ca="1">IF(D164=Auswahllisten!$E$26,0.8,IF(D164=Auswahllisten!$E$27,1,IF(D164=Auswahllisten!$E$29,1.2,0)))</f>
        <v>1</v>
      </c>
      <c r="J164" s="61">
        <f t="shared" ca="1" si="176"/>
        <v>170</v>
      </c>
      <c r="K164" s="61">
        <f t="shared" ref="K164" ca="1" si="180">IF($C$5=0,0,G164+(J164-G164)*($C$6-$F$5)/($F$6-$F$5))</f>
        <v>0</v>
      </c>
      <c r="L164" s="61" t="b">
        <f ca="1">($L$162=$C$5)</f>
        <v>0</v>
      </c>
      <c r="M164" s="216">
        <f t="shared" ref="M164" ca="1" si="181">ROUND(K164*L164,AB164)</f>
        <v>0</v>
      </c>
      <c r="O164" s="61" t="str" cm="1">
        <f t="array" aca="1" ref="O164" ca="1">INDIRECT("Vergleich!"&amp;$Y$2&amp;Z164)</f>
        <v>gering</v>
      </c>
      <c r="P164" s="61" cm="1">
        <f t="array" aca="1" ref="P164" ca="1">INDIRECT("Unterhalt!"&amp;$AB$5&amp;AA164)</f>
        <v>170</v>
      </c>
      <c r="Q164" s="61">
        <f ca="1">IF(O164=Auswahllisten!$E$26,0.8,IF(O164=Auswahllisten!$E$27,1,IF(O164=Auswahllisten!$E$29,1.2,0)))</f>
        <v>0.8</v>
      </c>
      <c r="R164" s="61">
        <f t="shared" ca="1" si="177"/>
        <v>136</v>
      </c>
      <c r="S164" s="61" cm="1">
        <f t="array" aca="1" ref="S164" ca="1">INDIRECT("Unterhalt!"&amp;$AB$6&amp;AA164)</f>
        <v>170</v>
      </c>
      <c r="T164" s="61">
        <f ca="1">IF(O164=Auswahllisten!$E$26,0.8,IF(O164=Auswahllisten!$E$27,1,IF(O164=Auswahllisten!$E$29,1.2,0)))</f>
        <v>0.8</v>
      </c>
      <c r="U164" s="61">
        <f t="shared" ca="1" si="178"/>
        <v>136</v>
      </c>
      <c r="V164" s="61">
        <f t="shared" ca="1" si="179"/>
        <v>0</v>
      </c>
      <c r="W164" s="61" t="b">
        <f ca="1">($L$162=$U$5)</f>
        <v>0</v>
      </c>
      <c r="X164" s="61">
        <f t="shared" ref="X164" ca="1" si="182">ROUND(V164*W164,AB164)</f>
        <v>0</v>
      </c>
      <c r="Z164" s="1">
        <f>Z163</f>
        <v>54</v>
      </c>
      <c r="AA164" s="1">
        <v>8</v>
      </c>
      <c r="AB164" s="1">
        <v>-1</v>
      </c>
    </row>
    <row r="165" spans="1:28">
      <c r="A165" s="8"/>
      <c r="M165" s="69"/>
      <c r="Z165" s="1">
        <f t="shared" ref="Z165:Z199" si="183">Z164</f>
        <v>54</v>
      </c>
      <c r="AA165" s="1">
        <v>9</v>
      </c>
      <c r="AB165" s="1">
        <v>-1</v>
      </c>
    </row>
    <row r="166" spans="1:28">
      <c r="A166" s="8" t="s">
        <v>990</v>
      </c>
      <c r="B166" s="8" t="s">
        <v>14</v>
      </c>
      <c r="L166" s="155">
        <v>2</v>
      </c>
      <c r="M166" s="69"/>
      <c r="Z166" s="1">
        <f t="shared" si="183"/>
        <v>54</v>
      </c>
      <c r="AA166" s="1">
        <v>10</v>
      </c>
      <c r="AB166" s="1">
        <v>-1</v>
      </c>
    </row>
    <row r="167" spans="1:28">
      <c r="A167" s="117"/>
      <c r="B167" s="55"/>
      <c r="C167" s="5" t="s">
        <v>255</v>
      </c>
      <c r="D167" s="25" t="str" cm="1">
        <f t="array" aca="1" ref="D167" ca="1">INDIRECT("Vergleich!"&amp;$G$2&amp;Z167)</f>
        <v>mittel</v>
      </c>
      <c r="E167" s="25" cm="1">
        <f t="array" aca="1" ref="E167" ca="1">INDIRECT("Unterhalt!"&amp;$J$5&amp;AA167)</f>
        <v>530</v>
      </c>
      <c r="F167" s="25">
        <f ca="1">IF(D167=Auswahllisten!$E$26,0.8,IF(D167=Auswahllisten!$E$27,1,IF(D167=Auswahllisten!$E$29,1.2,0)))</f>
        <v>1</v>
      </c>
      <c r="G167" s="25">
        <f t="shared" ref="G167:G169" ca="1" si="184">E167*F167</f>
        <v>530</v>
      </c>
      <c r="H167" s="25" cm="1">
        <f t="array" aca="1" ref="H167" ca="1">INDIRECT("Unterhalt!"&amp;$J$6&amp;AA167)</f>
        <v>530</v>
      </c>
      <c r="I167" s="25">
        <f ca="1">IF(D167=Auswahllisten!$E$26,0.8,IF(D167=Auswahllisten!$E$27,1,IF(D167=Auswahllisten!$E$29,1.2,0)))</f>
        <v>1</v>
      </c>
      <c r="J167" s="25">
        <f t="shared" ref="J167:J169" ca="1" si="185">H167*I167</f>
        <v>530</v>
      </c>
      <c r="K167" s="25">
        <f t="shared" ref="K167:K169" ca="1" si="186">IF($C$5=0,0,G167+(J167-G167)*($C$6-$F$5)/($F$6-$F$5))</f>
        <v>0</v>
      </c>
      <c r="L167" s="25" t="b">
        <f ca="1">($L$166=$C$5)</f>
        <v>0</v>
      </c>
      <c r="M167" s="162">
        <f t="shared" ref="M167:M169" ca="1" si="187">ROUND(K167*L167,AB167)</f>
        <v>0</v>
      </c>
      <c r="O167" s="25" t="str" cm="1">
        <f t="array" aca="1" ref="O167" ca="1">INDIRECT("Vergleich!"&amp;$Y$2&amp;Z167)</f>
        <v>gering</v>
      </c>
      <c r="P167" s="25" cm="1">
        <f t="array" aca="1" ref="P167" ca="1">INDIRECT("Unterhalt!"&amp;$AB$5&amp;AA167)</f>
        <v>530</v>
      </c>
      <c r="Q167" s="25">
        <f ca="1">IF(O167=Auswahllisten!$E$26,0.8,IF(O167=Auswahllisten!$E$27,1,IF(O167=Auswahllisten!$E$29,1.2,0)))</f>
        <v>0.8</v>
      </c>
      <c r="R167" s="25">
        <f t="shared" ref="R167:R169" ca="1" si="188">P167*Q167</f>
        <v>424</v>
      </c>
      <c r="S167" s="25" cm="1">
        <f t="array" aca="1" ref="S167" ca="1">INDIRECT("Unterhalt!"&amp;$AB$6&amp;AA167)</f>
        <v>530</v>
      </c>
      <c r="T167" s="25">
        <f ca="1">IF(O167=Auswahllisten!$E$26,0.8,IF(O167=Auswahllisten!$E$27,1,IF(O167=Auswahllisten!$E$29,1.2,0)))</f>
        <v>0.8</v>
      </c>
      <c r="U167" s="25">
        <f t="shared" ref="U167:U169" ca="1" si="189">S167*T167</f>
        <v>424</v>
      </c>
      <c r="V167" s="25">
        <f t="shared" ca="1" si="179"/>
        <v>0</v>
      </c>
      <c r="W167" s="25" t="b">
        <f ca="1">($L$166=$U$5)</f>
        <v>0</v>
      </c>
      <c r="X167" s="25">
        <f t="shared" ref="X167:X169" ca="1" si="190">ROUND(V167*W167,AB167)</f>
        <v>0</v>
      </c>
      <c r="Z167" s="1">
        <f t="shared" si="183"/>
        <v>54</v>
      </c>
      <c r="AA167" s="1">
        <v>11</v>
      </c>
      <c r="AB167" s="1">
        <v>-1</v>
      </c>
    </row>
    <row r="168" spans="1:28">
      <c r="A168" s="546"/>
      <c r="B168" s="71"/>
      <c r="C168" s="2" t="s">
        <v>256</v>
      </c>
      <c r="D168" s="16" t="str" cm="1">
        <f t="array" aca="1" ref="D168" ca="1">INDIRECT("Vergleich!"&amp;$G$2&amp;Z168)</f>
        <v>mittel</v>
      </c>
      <c r="E168" s="25" cm="1">
        <f t="array" aca="1" ref="E168" ca="1">INDIRECT("Unterhalt!"&amp;$J$5&amp;AA168)</f>
        <v>170</v>
      </c>
      <c r="F168" s="25">
        <f ca="1">IF(D168=Auswahllisten!$E$26,0.8,IF(D168=Auswahllisten!$E$27,1,IF(D168=Auswahllisten!$E$29,1.2,0)))</f>
        <v>1</v>
      </c>
      <c r="G168" s="25">
        <f t="shared" ca="1" si="184"/>
        <v>170</v>
      </c>
      <c r="H168" s="25" cm="1">
        <f t="array" aca="1" ref="H168" ca="1">INDIRECT("Unterhalt!"&amp;$J$6&amp;AA168)</f>
        <v>170</v>
      </c>
      <c r="I168" s="25">
        <f ca="1">IF(D168=Auswahllisten!$E$26,0.8,IF(D168=Auswahllisten!$E$27,1,IF(D168=Auswahllisten!$E$29,1.2,0)))</f>
        <v>1</v>
      </c>
      <c r="J168" s="25">
        <f t="shared" ca="1" si="185"/>
        <v>170</v>
      </c>
      <c r="K168" s="25">
        <f t="shared" ca="1" si="186"/>
        <v>0</v>
      </c>
      <c r="L168" s="25" t="b">
        <f ca="1">($L$166=$C$5)</f>
        <v>0</v>
      </c>
      <c r="M168" s="162">
        <f t="shared" ca="1" si="187"/>
        <v>0</v>
      </c>
      <c r="O168" s="25" t="str" cm="1">
        <f t="array" aca="1" ref="O168" ca="1">INDIRECT("Vergleich!"&amp;$Y$2&amp;Z168)</f>
        <v>gering</v>
      </c>
      <c r="P168" s="25" cm="1">
        <f t="array" aca="1" ref="P168" ca="1">INDIRECT("Unterhalt!"&amp;$AB$5&amp;AA168)</f>
        <v>170</v>
      </c>
      <c r="Q168" s="25">
        <f ca="1">IF(O168=Auswahllisten!$E$26,0.8,IF(O168=Auswahllisten!$E$27,1,IF(O168=Auswahllisten!$E$29,1.2,0)))</f>
        <v>0.8</v>
      </c>
      <c r="R168" s="25">
        <f t="shared" ca="1" si="188"/>
        <v>136</v>
      </c>
      <c r="S168" s="25" cm="1">
        <f t="array" aca="1" ref="S168" ca="1">INDIRECT("Unterhalt!"&amp;$AB$6&amp;AA168)</f>
        <v>170</v>
      </c>
      <c r="T168" s="25">
        <f ca="1">IF(O168=Auswahllisten!$E$26,0.8,IF(O168=Auswahllisten!$E$27,1,IF(O168=Auswahllisten!$E$29,1.2,0)))</f>
        <v>0.8</v>
      </c>
      <c r="U168" s="25">
        <f t="shared" ca="1" si="189"/>
        <v>136</v>
      </c>
      <c r="V168" s="25">
        <f t="shared" ca="1" si="179"/>
        <v>0</v>
      </c>
      <c r="W168" s="25" t="b">
        <f ca="1">($L$166=$U$5)</f>
        <v>0</v>
      </c>
      <c r="X168" s="25">
        <f t="shared" ca="1" si="190"/>
        <v>0</v>
      </c>
      <c r="Z168" s="1">
        <f t="shared" si="183"/>
        <v>54</v>
      </c>
      <c r="AA168" s="1">
        <v>12</v>
      </c>
      <c r="AB168" s="1">
        <v>-1</v>
      </c>
    </row>
    <row r="169" spans="1:28">
      <c r="A169" s="545"/>
      <c r="B169" s="94"/>
      <c r="C169" s="142" t="s">
        <v>335</v>
      </c>
      <c r="D169" s="93" t="str" cm="1">
        <f t="array" aca="1" ref="D169" ca="1">INDIRECT("Vergleich!"&amp;$G$2&amp;Z169)</f>
        <v>mittel</v>
      </c>
      <c r="E169" s="61" cm="1">
        <f t="array" aca="1" ref="E169" ca="1">INDIRECT("Unterhalt!"&amp;$J$5&amp;AA169)</f>
        <v>11</v>
      </c>
      <c r="F169" s="61">
        <f ca="1">IF(D169=Auswahllisten!$E$26,0.8,IF(D169=Auswahllisten!$E$27,1,IF(D169=Auswahllisten!$E$29,1.2,0)))</f>
        <v>1</v>
      </c>
      <c r="G169" s="61">
        <f t="shared" ca="1" si="184"/>
        <v>11</v>
      </c>
      <c r="H169" s="61" cm="1">
        <f t="array" aca="1" ref="H169" ca="1">INDIRECT("Unterhalt!"&amp;$J$6&amp;AA169)</f>
        <v>11</v>
      </c>
      <c r="I169" s="61">
        <f ca="1">IF(D169=Auswahllisten!$E$26,0.8,IF(D169=Auswahllisten!$E$27,1,IF(D169=Auswahllisten!$E$29,1.2,0)))</f>
        <v>1</v>
      </c>
      <c r="J169" s="61">
        <f t="shared" ca="1" si="185"/>
        <v>11</v>
      </c>
      <c r="K169" s="61">
        <f t="shared" ca="1" si="186"/>
        <v>0</v>
      </c>
      <c r="L169" s="61" t="b">
        <f ca="1">($L$166=$C$5)</f>
        <v>0</v>
      </c>
      <c r="M169" s="216">
        <f t="shared" ca="1" si="187"/>
        <v>0</v>
      </c>
      <c r="O169" s="61" t="str" cm="1">
        <f t="array" aca="1" ref="O169" ca="1">INDIRECT("Vergleich!"&amp;$Y$2&amp;Z169)</f>
        <v>gering</v>
      </c>
      <c r="P169" s="61" cm="1">
        <f t="array" aca="1" ref="P169" ca="1">INDIRECT("Unterhalt!"&amp;$AB$5&amp;AA169)</f>
        <v>11</v>
      </c>
      <c r="Q169" s="61">
        <f ca="1">IF(O169=Auswahllisten!$E$26,0.8,IF(O169=Auswahllisten!$E$27,1,IF(O169=Auswahllisten!$E$29,1.2,0)))</f>
        <v>0.8</v>
      </c>
      <c r="R169" s="61">
        <f t="shared" ca="1" si="188"/>
        <v>8.8000000000000007</v>
      </c>
      <c r="S169" s="61" cm="1">
        <f t="array" aca="1" ref="S169" ca="1">INDIRECT("Unterhalt!"&amp;$AB$6&amp;AA169)</f>
        <v>11</v>
      </c>
      <c r="T169" s="61">
        <f ca="1">IF(O169=Auswahllisten!$E$26,0.8,IF(O169=Auswahllisten!$E$27,1,IF(O169=Auswahllisten!$E$29,1.2,0)))</f>
        <v>0.8</v>
      </c>
      <c r="U169" s="61">
        <f t="shared" ca="1" si="189"/>
        <v>8.8000000000000007</v>
      </c>
      <c r="V169" s="61">
        <f t="shared" ca="1" si="179"/>
        <v>0</v>
      </c>
      <c r="W169" s="61" t="b">
        <f ca="1">($L$166=$U$5)</f>
        <v>0</v>
      </c>
      <c r="X169" s="61">
        <f t="shared" ca="1" si="190"/>
        <v>0</v>
      </c>
      <c r="Z169" s="1">
        <f t="shared" si="183"/>
        <v>54</v>
      </c>
      <c r="AA169" s="1">
        <v>13</v>
      </c>
      <c r="AB169" s="1">
        <v>-1</v>
      </c>
    </row>
    <row r="170" spans="1:28">
      <c r="A170" s="8"/>
      <c r="M170" s="69"/>
      <c r="Z170" s="1">
        <f t="shared" si="183"/>
        <v>54</v>
      </c>
      <c r="AA170" s="1">
        <v>14</v>
      </c>
      <c r="AB170" s="1">
        <v>-1</v>
      </c>
    </row>
    <row r="171" spans="1:28">
      <c r="A171" s="8" t="str">
        <f>ROMAN(3)</f>
        <v>III</v>
      </c>
      <c r="B171" s="8" t="s">
        <v>1</v>
      </c>
      <c r="L171" s="155">
        <v>3</v>
      </c>
      <c r="M171" s="69"/>
      <c r="Z171" s="1">
        <f t="shared" si="183"/>
        <v>54</v>
      </c>
      <c r="AA171" s="1">
        <v>15</v>
      </c>
      <c r="AB171" s="1">
        <v>-1</v>
      </c>
    </row>
    <row r="172" spans="1:28">
      <c r="A172" s="117"/>
      <c r="B172" s="55"/>
      <c r="C172" s="5" t="s">
        <v>255</v>
      </c>
      <c r="D172" s="25" t="str" cm="1">
        <f t="array" aca="1" ref="D172" ca="1">INDIRECT("Vergleich!"&amp;$G$2&amp;Z172)</f>
        <v>mittel</v>
      </c>
      <c r="E172" s="25" cm="1">
        <f t="array" aca="1" ref="E172" ca="1">INDIRECT("Unterhalt!"&amp;$J$5&amp;AA172)</f>
        <v>490</v>
      </c>
      <c r="F172" s="25">
        <f ca="1">IF(D172=Auswahllisten!$E$26,0.8,IF(D172=Auswahllisten!$E$27,1,IF(D172=Auswahllisten!$E$29,1.2,0)))</f>
        <v>1</v>
      </c>
      <c r="G172" s="25">
        <f t="shared" ref="G172:G173" ca="1" si="191">E172*F172</f>
        <v>490</v>
      </c>
      <c r="H172" s="25" cm="1">
        <f t="array" aca="1" ref="H172" ca="1">INDIRECT("Unterhalt!"&amp;$J$6&amp;AA172)</f>
        <v>490</v>
      </c>
      <c r="I172" s="25">
        <f ca="1">IF(D172=Auswahllisten!$E$26,0.8,IF(D172=Auswahllisten!$E$27,1,IF(D172=Auswahllisten!$E$29,1.2,0)))</f>
        <v>1</v>
      </c>
      <c r="J172" s="25">
        <f t="shared" ref="J172:J173" ca="1" si="192">H172*I172</f>
        <v>490</v>
      </c>
      <c r="K172" s="25">
        <f t="shared" ref="K172:K173" ca="1" si="193">IF($C$5=0,0,G172+(J172-G172)*($C$6-$F$5)/($F$6-$F$5))</f>
        <v>0</v>
      </c>
      <c r="L172" s="25" t="b">
        <f ca="1">($L$171=$C$5)</f>
        <v>0</v>
      </c>
      <c r="M172" s="162">
        <f t="shared" ref="M172:M173" ca="1" si="194">ROUND(K172*L172,AB172)</f>
        <v>0</v>
      </c>
      <c r="O172" s="25" t="str" cm="1">
        <f t="array" aca="1" ref="O172" ca="1">INDIRECT("Vergleich!"&amp;$Y$2&amp;Z172)</f>
        <v>gering</v>
      </c>
      <c r="P172" s="25" cm="1">
        <f t="array" aca="1" ref="P172" ca="1">INDIRECT("Unterhalt!"&amp;$AB$5&amp;AA172)</f>
        <v>490</v>
      </c>
      <c r="Q172" s="25">
        <f ca="1">IF(O172=Auswahllisten!$E$26,0.8,IF(O172=Auswahllisten!$E$27,1,IF(O172=Auswahllisten!$E$29,1.2,0)))</f>
        <v>0.8</v>
      </c>
      <c r="R172" s="25">
        <f t="shared" ref="R172:R173" ca="1" si="195">P172*Q172</f>
        <v>392</v>
      </c>
      <c r="S172" s="25" cm="1">
        <f t="array" aca="1" ref="S172" ca="1">INDIRECT("Unterhalt!"&amp;$AB$6&amp;AA172)</f>
        <v>490</v>
      </c>
      <c r="T172" s="25">
        <f ca="1">IF(O172=Auswahllisten!$E$26,0.8,IF(O172=Auswahllisten!$E$27,1,IF(O172=Auswahllisten!$E$29,1.2,0)))</f>
        <v>0.8</v>
      </c>
      <c r="U172" s="25">
        <f t="shared" ref="U172:U173" ca="1" si="196">S172*T172</f>
        <v>392</v>
      </c>
      <c r="V172" s="25">
        <f t="shared" ca="1" si="179"/>
        <v>0</v>
      </c>
      <c r="W172" s="25" t="b">
        <f ca="1">($L$171=$U$5)</f>
        <v>0</v>
      </c>
      <c r="X172" s="25">
        <f t="shared" ref="X172:X173" ca="1" si="197">ROUND(V172*W172,AB172)</f>
        <v>0</v>
      </c>
      <c r="Z172" s="1">
        <f t="shared" si="183"/>
        <v>54</v>
      </c>
      <c r="AA172" s="1">
        <v>16</v>
      </c>
      <c r="AB172" s="1">
        <v>-1</v>
      </c>
    </row>
    <row r="173" spans="1:28">
      <c r="A173" s="545"/>
      <c r="B173" s="94"/>
      <c r="C173" s="142" t="s">
        <v>256</v>
      </c>
      <c r="D173" s="93" t="str" cm="1">
        <f t="array" aca="1" ref="D173" ca="1">INDIRECT("Vergleich!"&amp;$G$2&amp;Z173)</f>
        <v>mittel</v>
      </c>
      <c r="E173" s="61" cm="1">
        <f t="array" aca="1" ref="E173" ca="1">INDIRECT("Unterhalt!"&amp;$J$5&amp;AA173)</f>
        <v>170</v>
      </c>
      <c r="F173" s="61">
        <f ca="1">IF(D173=Auswahllisten!$E$26,0.8,IF(D173=Auswahllisten!$E$27,1,IF(D173=Auswahllisten!$E$29,1.2,0)))</f>
        <v>1</v>
      </c>
      <c r="G173" s="61">
        <f t="shared" ca="1" si="191"/>
        <v>170</v>
      </c>
      <c r="H173" s="61" cm="1">
        <f t="array" aca="1" ref="H173" ca="1">INDIRECT("Unterhalt!"&amp;$J$6&amp;AA173)</f>
        <v>170</v>
      </c>
      <c r="I173" s="61">
        <f ca="1">IF(D173=Auswahllisten!$E$26,0.8,IF(D173=Auswahllisten!$E$27,1,IF(D173=Auswahllisten!$E$29,1.2,0)))</f>
        <v>1</v>
      </c>
      <c r="J173" s="61">
        <f t="shared" ca="1" si="192"/>
        <v>170</v>
      </c>
      <c r="K173" s="61">
        <f t="shared" ca="1" si="193"/>
        <v>0</v>
      </c>
      <c r="L173" s="61" t="b">
        <f ca="1">($L$171=$C$5)</f>
        <v>0</v>
      </c>
      <c r="M173" s="216">
        <f t="shared" ca="1" si="194"/>
        <v>0</v>
      </c>
      <c r="O173" s="61" t="str" cm="1">
        <f t="array" aca="1" ref="O173" ca="1">INDIRECT("Vergleich!"&amp;$Y$2&amp;Z173)</f>
        <v>gering</v>
      </c>
      <c r="P173" s="61" cm="1">
        <f t="array" aca="1" ref="P173" ca="1">INDIRECT("Unterhalt!"&amp;$AB$5&amp;AA173)</f>
        <v>170</v>
      </c>
      <c r="Q173" s="61">
        <f ca="1">IF(O173=Auswahllisten!$E$26,0.8,IF(O173=Auswahllisten!$E$27,1,IF(O173=Auswahllisten!$E$29,1.2,0)))</f>
        <v>0.8</v>
      </c>
      <c r="R173" s="61">
        <f t="shared" ca="1" si="195"/>
        <v>136</v>
      </c>
      <c r="S173" s="61" cm="1">
        <f t="array" aca="1" ref="S173" ca="1">INDIRECT("Unterhalt!"&amp;$AB$6&amp;AA173)</f>
        <v>170</v>
      </c>
      <c r="T173" s="61">
        <f ca="1">IF(O173=Auswahllisten!$E$26,0.8,IF(O173=Auswahllisten!$E$27,1,IF(O173=Auswahllisten!$E$29,1.2,0)))</f>
        <v>0.8</v>
      </c>
      <c r="U173" s="61">
        <f t="shared" ca="1" si="196"/>
        <v>136</v>
      </c>
      <c r="V173" s="61">
        <f t="shared" ca="1" si="179"/>
        <v>0</v>
      </c>
      <c r="W173" s="61" t="b">
        <f ca="1">($L$171=$U$5)</f>
        <v>0</v>
      </c>
      <c r="X173" s="61">
        <f t="shared" ca="1" si="197"/>
        <v>0</v>
      </c>
      <c r="Z173" s="1">
        <f t="shared" si="183"/>
        <v>54</v>
      </c>
      <c r="AA173" s="1">
        <v>17</v>
      </c>
      <c r="AB173" s="1">
        <v>-1</v>
      </c>
    </row>
    <row r="174" spans="1:28">
      <c r="A174" s="8"/>
      <c r="M174" s="69"/>
      <c r="Z174" s="1">
        <f t="shared" si="183"/>
        <v>54</v>
      </c>
      <c r="AA174" s="1">
        <v>18</v>
      </c>
      <c r="AB174" s="1">
        <v>-1</v>
      </c>
    </row>
    <row r="175" spans="1:28">
      <c r="A175" s="8" t="str">
        <f>ROMAN(4)</f>
        <v>IV</v>
      </c>
      <c r="B175" s="8" t="s">
        <v>15</v>
      </c>
      <c r="L175" s="155">
        <v>4</v>
      </c>
      <c r="M175" s="69"/>
      <c r="Z175" s="1">
        <f t="shared" si="183"/>
        <v>54</v>
      </c>
      <c r="AA175" s="1">
        <v>19</v>
      </c>
      <c r="AB175" s="1">
        <v>-1</v>
      </c>
    </row>
    <row r="176" spans="1:28">
      <c r="A176" s="117"/>
      <c r="B176" s="55"/>
      <c r="C176" s="5" t="s">
        <v>255</v>
      </c>
      <c r="D176" s="25" t="str" cm="1">
        <f t="array" aca="1" ref="D176" ca="1">INDIRECT("Vergleich!"&amp;$G$2&amp;Z176)</f>
        <v>mittel</v>
      </c>
      <c r="E176" s="25" cm="1">
        <f t="array" aca="1" ref="E176" ca="1">INDIRECT("Unterhalt!"&amp;$J$5&amp;AA176)</f>
        <v>0</v>
      </c>
      <c r="F176" s="25">
        <f ca="1">IF(D176=Auswahllisten!$E$26,0.8,IF(D176=Auswahllisten!$E$27,1,IF(D176=Auswahllisten!$E$29,1.2,0)))</f>
        <v>1</v>
      </c>
      <c r="G176" s="25">
        <f t="shared" ref="G176:G177" ca="1" si="198">E176*F176</f>
        <v>0</v>
      </c>
      <c r="H176" s="25" cm="1">
        <f t="array" aca="1" ref="H176" ca="1">INDIRECT("Unterhalt!"&amp;$J$6&amp;AA176)</f>
        <v>0</v>
      </c>
      <c r="I176" s="25">
        <f ca="1">IF(D176=Auswahllisten!$E$26,0.8,IF(D176=Auswahllisten!$E$27,1,IF(D176=Auswahllisten!$E$29,1.2,0)))</f>
        <v>1</v>
      </c>
      <c r="J176" s="25">
        <f t="shared" ref="J176:J177" ca="1" si="199">H176*I176</f>
        <v>0</v>
      </c>
      <c r="K176" s="25">
        <f t="shared" ref="K176:K177" ca="1" si="200">IF($C$5=0,0,G176+(J176-G176)*($C$6-$F$5)/($F$6-$F$5))</f>
        <v>0</v>
      </c>
      <c r="L176" s="25" t="b">
        <f ca="1">($L$175=$C$5)</f>
        <v>0</v>
      </c>
      <c r="M176" s="162">
        <f t="shared" ref="M176:M177" ca="1" si="201">ROUND(K176*L176,AB176)</f>
        <v>0</v>
      </c>
      <c r="O176" s="25" t="str" cm="1">
        <f t="array" aca="1" ref="O176" ca="1">INDIRECT("Vergleich!"&amp;$Y$2&amp;Z176)</f>
        <v>gering</v>
      </c>
      <c r="P176" s="25" cm="1">
        <f t="array" aca="1" ref="P176" ca="1">INDIRECT("Unterhalt!"&amp;$AB$5&amp;AA176)</f>
        <v>0</v>
      </c>
      <c r="Q176" s="25">
        <f ca="1">IF(O176=Auswahllisten!$E$26,0.8,IF(O176=Auswahllisten!$E$27,1,IF(O176=Auswahllisten!$E$29,1.2,0)))</f>
        <v>0.8</v>
      </c>
      <c r="R176" s="25">
        <f t="shared" ref="R176:R177" ca="1" si="202">P176*Q176</f>
        <v>0</v>
      </c>
      <c r="S176" s="25" cm="1">
        <f t="array" aca="1" ref="S176" ca="1">INDIRECT("Unterhalt!"&amp;$AB$6&amp;AA176)</f>
        <v>0</v>
      </c>
      <c r="T176" s="25">
        <f ca="1">IF(O176=Auswahllisten!$E$26,0.8,IF(O176=Auswahllisten!$E$27,1,IF(O176=Auswahllisten!$E$29,1.2,0)))</f>
        <v>0.8</v>
      </c>
      <c r="U176" s="25">
        <f t="shared" ref="U176:U177" ca="1" si="203">S176*T176</f>
        <v>0</v>
      </c>
      <c r="V176" s="25">
        <f t="shared" ca="1" si="179"/>
        <v>0</v>
      </c>
      <c r="W176" s="25" t="b">
        <f ca="1">($L$175=$U$5)</f>
        <v>0</v>
      </c>
      <c r="X176" s="25">
        <f t="shared" ref="X176:X177" ca="1" si="204">ROUND(V176*W176,AB176)</f>
        <v>0</v>
      </c>
      <c r="Z176" s="1">
        <f t="shared" si="183"/>
        <v>54</v>
      </c>
      <c r="AA176" s="1">
        <v>20</v>
      </c>
      <c r="AB176" s="1">
        <v>-1</v>
      </c>
    </row>
    <row r="177" spans="1:28">
      <c r="A177" s="545"/>
      <c r="B177" s="94"/>
      <c r="C177" s="142" t="s">
        <v>256</v>
      </c>
      <c r="D177" s="93" t="str" cm="1">
        <f t="array" aca="1" ref="D177" ca="1">INDIRECT("Vergleich!"&amp;$G$2&amp;Z177)</f>
        <v>mittel</v>
      </c>
      <c r="E177" s="61" cm="1">
        <f t="array" aca="1" ref="E177" ca="1">INDIRECT("Unterhalt!"&amp;$J$5&amp;AA177)</f>
        <v>0</v>
      </c>
      <c r="F177" s="61">
        <f ca="1">IF(D177=Auswahllisten!$E$26,0.8,IF(D177=Auswahllisten!$E$27,1,IF(D177=Auswahllisten!$E$29,1.2,0)))</f>
        <v>1</v>
      </c>
      <c r="G177" s="61">
        <f t="shared" ca="1" si="198"/>
        <v>0</v>
      </c>
      <c r="H177" s="61" cm="1">
        <f t="array" aca="1" ref="H177" ca="1">INDIRECT("Unterhalt!"&amp;$J$6&amp;AA177)</f>
        <v>0</v>
      </c>
      <c r="I177" s="61">
        <f ca="1">IF(D177=Auswahllisten!$E$26,0.8,IF(D177=Auswahllisten!$E$27,1,IF(D177=Auswahllisten!$E$29,1.2,0)))</f>
        <v>1</v>
      </c>
      <c r="J177" s="61">
        <f t="shared" ca="1" si="199"/>
        <v>0</v>
      </c>
      <c r="K177" s="61">
        <f t="shared" ca="1" si="200"/>
        <v>0</v>
      </c>
      <c r="L177" s="61" t="b">
        <f ca="1">($L$175=$C$5)</f>
        <v>0</v>
      </c>
      <c r="M177" s="216">
        <f t="shared" ca="1" si="201"/>
        <v>0</v>
      </c>
      <c r="O177" s="61" t="str" cm="1">
        <f t="array" aca="1" ref="O177" ca="1">INDIRECT("Vergleich!"&amp;$Y$2&amp;Z177)</f>
        <v>gering</v>
      </c>
      <c r="P177" s="61" cm="1">
        <f t="array" aca="1" ref="P177" ca="1">INDIRECT("Unterhalt!"&amp;$AB$5&amp;AA177)</f>
        <v>0</v>
      </c>
      <c r="Q177" s="61">
        <f ca="1">IF(O177=Auswahllisten!$E$26,0.8,IF(O177=Auswahllisten!$E$27,1,IF(O177=Auswahllisten!$E$29,1.2,0)))</f>
        <v>0.8</v>
      </c>
      <c r="R177" s="61">
        <f t="shared" ca="1" si="202"/>
        <v>0</v>
      </c>
      <c r="S177" s="61" cm="1">
        <f t="array" aca="1" ref="S177" ca="1">INDIRECT("Unterhalt!"&amp;$AB$6&amp;AA177)</f>
        <v>0</v>
      </c>
      <c r="T177" s="61">
        <f ca="1">IF(O177=Auswahllisten!$E$26,0.8,IF(O177=Auswahllisten!$E$27,1,IF(O177=Auswahllisten!$E$29,1.2,0)))</f>
        <v>0.8</v>
      </c>
      <c r="U177" s="61">
        <f t="shared" ca="1" si="203"/>
        <v>0</v>
      </c>
      <c r="V177" s="61">
        <f t="shared" ca="1" si="179"/>
        <v>0</v>
      </c>
      <c r="W177" s="61" t="b">
        <f ca="1">($L$175=$U$5)</f>
        <v>0</v>
      </c>
      <c r="X177" s="61">
        <f t="shared" ca="1" si="204"/>
        <v>0</v>
      </c>
      <c r="Z177" s="1">
        <f t="shared" si="183"/>
        <v>54</v>
      </c>
      <c r="AA177" s="1">
        <v>21</v>
      </c>
      <c r="AB177" s="1">
        <v>-1</v>
      </c>
    </row>
    <row r="178" spans="1:28">
      <c r="A178" s="8"/>
      <c r="M178" s="69"/>
      <c r="Z178" s="1">
        <f t="shared" si="183"/>
        <v>54</v>
      </c>
      <c r="AA178" s="1">
        <v>22</v>
      </c>
      <c r="AB178" s="1">
        <v>-1</v>
      </c>
    </row>
    <row r="179" spans="1:28">
      <c r="A179" s="8" t="str">
        <f>ROMAN(5)</f>
        <v>V</v>
      </c>
      <c r="B179" s="8" t="s">
        <v>141</v>
      </c>
      <c r="L179" s="155">
        <v>5</v>
      </c>
      <c r="M179" s="69"/>
      <c r="Z179" s="1">
        <f t="shared" si="183"/>
        <v>54</v>
      </c>
      <c r="AA179" s="1">
        <v>23</v>
      </c>
      <c r="AB179" s="1">
        <v>-1</v>
      </c>
    </row>
    <row r="180" spans="1:28">
      <c r="A180" s="117"/>
      <c r="B180" s="55"/>
      <c r="C180" s="5" t="s">
        <v>255</v>
      </c>
      <c r="D180" s="25" t="str" cm="1">
        <f t="array" aca="1" ref="D180" ca="1">INDIRECT("Vergleich!"&amp;$G$2&amp;Z180)</f>
        <v>mittel</v>
      </c>
      <c r="E180" s="25" cm="1">
        <f t="array" aca="1" ref="E180" ca="1">INDIRECT("Unterhalt!"&amp;$J$5&amp;AA180)</f>
        <v>440</v>
      </c>
      <c r="F180" s="25">
        <f ca="1">IF(D180=Auswahllisten!$E$26,0.8,IF(D180=Auswahllisten!$E$27,1,IF(D180=Auswahllisten!$E$29,1.2,0)))</f>
        <v>1</v>
      </c>
      <c r="G180" s="25">
        <f t="shared" ref="G180:G183" ca="1" si="205">E180*F180</f>
        <v>440</v>
      </c>
      <c r="H180" s="25" cm="1">
        <f t="array" aca="1" ref="H180" ca="1">INDIRECT("Unterhalt!"&amp;$J$6&amp;AA180)</f>
        <v>440</v>
      </c>
      <c r="I180" s="25">
        <f ca="1">IF(D180=Auswahllisten!$E$26,0.8,IF(D180=Auswahllisten!$E$27,1,IF(D180=Auswahllisten!$E$29,1.2,0)))</f>
        <v>1</v>
      </c>
      <c r="J180" s="25">
        <f t="shared" ref="J180:J183" ca="1" si="206">H180*I180</f>
        <v>440</v>
      </c>
      <c r="K180" s="25">
        <f t="shared" ref="K180:K183" ca="1" si="207">IF($C$5=0,0,G180+(J180-G180)*($C$6-$F$5)/($F$6-$F$5))</f>
        <v>0</v>
      </c>
      <c r="L180" s="25" t="b">
        <f ca="1">($L$179=$C$5)</f>
        <v>0</v>
      </c>
      <c r="M180" s="162">
        <f t="shared" ref="M180:M183" ca="1" si="208">ROUND(K180*L180,AB180)</f>
        <v>0</v>
      </c>
      <c r="O180" s="25" t="str" cm="1">
        <f t="array" aca="1" ref="O180" ca="1">INDIRECT("Vergleich!"&amp;$Y$2&amp;Z180)</f>
        <v>gering</v>
      </c>
      <c r="P180" s="25" cm="1">
        <f t="array" aca="1" ref="P180" ca="1">INDIRECT("Unterhalt!"&amp;$AB$5&amp;AA180)</f>
        <v>440</v>
      </c>
      <c r="Q180" s="25">
        <f ca="1">IF(O180=Auswahllisten!$E$26,0.8,IF(O180=Auswahllisten!$E$27,1,IF(O180=Auswahllisten!$E$29,1.2,0)))</f>
        <v>0.8</v>
      </c>
      <c r="R180" s="25">
        <f t="shared" ref="R180:R183" ca="1" si="209">P180*Q180</f>
        <v>352</v>
      </c>
      <c r="S180" s="25" cm="1">
        <f t="array" aca="1" ref="S180" ca="1">INDIRECT("Unterhalt!"&amp;$AB$6&amp;AA180)</f>
        <v>440</v>
      </c>
      <c r="T180" s="25">
        <f ca="1">IF(O180=Auswahllisten!$E$26,0.8,IF(O180=Auswahllisten!$E$27,1,IF(O180=Auswahllisten!$E$29,1.2,0)))</f>
        <v>0.8</v>
      </c>
      <c r="U180" s="25">
        <f t="shared" ref="U180:U183" ca="1" si="210">S180*T180</f>
        <v>352</v>
      </c>
      <c r="V180" s="25">
        <f t="shared" ca="1" si="179"/>
        <v>0</v>
      </c>
      <c r="W180" s="25" t="b">
        <f ca="1">($L$179=$U$5)</f>
        <v>0</v>
      </c>
      <c r="X180" s="25">
        <f t="shared" ref="X180:X183" ca="1" si="211">ROUND(V180*W180,AB180)</f>
        <v>0</v>
      </c>
      <c r="Z180" s="1">
        <f t="shared" si="183"/>
        <v>54</v>
      </c>
      <c r="AA180" s="1">
        <v>24</v>
      </c>
      <c r="AB180" s="1">
        <v>-1</v>
      </c>
    </row>
    <row r="181" spans="1:28">
      <c r="A181" s="546"/>
      <c r="B181" s="71"/>
      <c r="C181" s="2" t="s">
        <v>257</v>
      </c>
      <c r="D181" s="16" t="str" cm="1">
        <f t="array" aca="1" ref="D181" ca="1">INDIRECT("Vergleich!"&amp;$G$2&amp;Z181)</f>
        <v>mittel</v>
      </c>
      <c r="E181" s="25" cm="1">
        <f t="array" aca="1" ref="E181" ca="1">INDIRECT("Unterhalt!"&amp;$J$5&amp;AA181)</f>
        <v>0</v>
      </c>
      <c r="F181" s="25">
        <f ca="1">IF(D181=Auswahllisten!$E$26,0.8,IF(D181=Auswahllisten!$E$27,1,IF(D181=Auswahllisten!$E$29,1.2,0)))</f>
        <v>1</v>
      </c>
      <c r="G181" s="25">
        <f t="shared" ca="1" si="205"/>
        <v>0</v>
      </c>
      <c r="H181" s="25" cm="1">
        <f t="array" aca="1" ref="H181" ca="1">INDIRECT("Unterhalt!"&amp;$J$6&amp;AA181)</f>
        <v>0</v>
      </c>
      <c r="I181" s="25">
        <f ca="1">IF(D181=Auswahllisten!$E$26,0.8,IF(D181=Auswahllisten!$E$27,1,IF(D181=Auswahllisten!$E$29,1.2,0)))</f>
        <v>1</v>
      </c>
      <c r="J181" s="25">
        <f t="shared" ca="1" si="206"/>
        <v>0</v>
      </c>
      <c r="K181" s="25">
        <f t="shared" ca="1" si="207"/>
        <v>0</v>
      </c>
      <c r="L181" s="25" t="b">
        <f ca="1">($L$179=$C$5)</f>
        <v>0</v>
      </c>
      <c r="M181" s="162">
        <f t="shared" ca="1" si="208"/>
        <v>0</v>
      </c>
      <c r="O181" s="25" t="str" cm="1">
        <f t="array" aca="1" ref="O181" ca="1">INDIRECT("Vergleich!"&amp;$Y$2&amp;Z181)</f>
        <v>gering</v>
      </c>
      <c r="P181" s="25" cm="1">
        <f t="array" aca="1" ref="P181" ca="1">INDIRECT("Unterhalt!"&amp;$AB$5&amp;AA181)</f>
        <v>0</v>
      </c>
      <c r="Q181" s="25">
        <f ca="1">IF(O181=Auswahllisten!$E$26,0.8,IF(O181=Auswahllisten!$E$27,1,IF(O181=Auswahllisten!$E$29,1.2,0)))</f>
        <v>0.8</v>
      </c>
      <c r="R181" s="25">
        <f t="shared" ca="1" si="209"/>
        <v>0</v>
      </c>
      <c r="S181" s="25" cm="1">
        <f t="array" aca="1" ref="S181" ca="1">INDIRECT("Unterhalt!"&amp;$AB$6&amp;AA181)</f>
        <v>0</v>
      </c>
      <c r="T181" s="25">
        <f ca="1">IF(O181=Auswahllisten!$E$26,0.8,IF(O181=Auswahllisten!$E$27,1,IF(O181=Auswahllisten!$E$29,1.2,0)))</f>
        <v>0.8</v>
      </c>
      <c r="U181" s="25">
        <f t="shared" ca="1" si="210"/>
        <v>0</v>
      </c>
      <c r="V181" s="25">
        <f t="shared" ca="1" si="179"/>
        <v>0</v>
      </c>
      <c r="W181" s="25" t="b">
        <f ca="1">($L$179=$U$5)</f>
        <v>0</v>
      </c>
      <c r="X181" s="25">
        <f t="shared" ca="1" si="211"/>
        <v>0</v>
      </c>
      <c r="Z181" s="1">
        <f t="shared" si="183"/>
        <v>54</v>
      </c>
      <c r="AA181" s="1">
        <v>25</v>
      </c>
      <c r="AB181" s="1">
        <v>-1</v>
      </c>
    </row>
    <row r="182" spans="1:28">
      <c r="A182" s="546"/>
      <c r="B182" s="71"/>
      <c r="C182" s="2" t="s">
        <v>302</v>
      </c>
      <c r="D182" s="16" t="str" cm="1">
        <f t="array" aca="1" ref="D182" ca="1">INDIRECT("Vergleich!"&amp;$G$2&amp;Z182)</f>
        <v>mittel</v>
      </c>
      <c r="E182" s="25" cm="1">
        <f t="array" aca="1" ref="E182" ca="1">INDIRECT("Unterhalt!"&amp;$J$5&amp;AA182)</f>
        <v>50</v>
      </c>
      <c r="F182" s="25">
        <f ca="1">IF(D182=Auswahllisten!$E$26,0.8,IF(D182=Auswahllisten!$E$27,1,IF(D182=Auswahllisten!$E$29,1.2,0)))</f>
        <v>1</v>
      </c>
      <c r="G182" s="25">
        <f t="shared" ca="1" si="205"/>
        <v>50</v>
      </c>
      <c r="H182" s="25" cm="1">
        <f t="array" aca="1" ref="H182" ca="1">INDIRECT("Unterhalt!"&amp;$J$6&amp;AA182)</f>
        <v>50</v>
      </c>
      <c r="I182" s="25">
        <f ca="1">IF(D182=Auswahllisten!$E$26,0.8,IF(D182=Auswahllisten!$E$27,1,IF(D182=Auswahllisten!$E$29,1.2,0)))</f>
        <v>1</v>
      </c>
      <c r="J182" s="25">
        <f t="shared" ca="1" si="206"/>
        <v>50</v>
      </c>
      <c r="K182" s="25">
        <f t="shared" ca="1" si="207"/>
        <v>0</v>
      </c>
      <c r="L182" s="25" t="b">
        <f ca="1">($L$179=$C$5)</f>
        <v>0</v>
      </c>
      <c r="M182" s="162">
        <f t="shared" ca="1" si="208"/>
        <v>0</v>
      </c>
      <c r="O182" s="25" t="str" cm="1">
        <f t="array" aca="1" ref="O182" ca="1">INDIRECT("Vergleich!"&amp;$Y$2&amp;Z182)</f>
        <v>gering</v>
      </c>
      <c r="P182" s="25" cm="1">
        <f t="array" aca="1" ref="P182" ca="1">INDIRECT("Unterhalt!"&amp;$AB$5&amp;AA182)</f>
        <v>50</v>
      </c>
      <c r="Q182" s="25">
        <f ca="1">IF(O182=Auswahllisten!$E$26,0.8,IF(O182=Auswahllisten!$E$27,1,IF(O182=Auswahllisten!$E$29,1.2,0)))</f>
        <v>0.8</v>
      </c>
      <c r="R182" s="25">
        <f t="shared" ca="1" si="209"/>
        <v>40</v>
      </c>
      <c r="S182" s="25" cm="1">
        <f t="array" aca="1" ref="S182" ca="1">INDIRECT("Unterhalt!"&amp;$AB$6&amp;AA182)</f>
        <v>50</v>
      </c>
      <c r="T182" s="25">
        <f ca="1">IF(O182=Auswahllisten!$E$26,0.8,IF(O182=Auswahllisten!$E$27,1,IF(O182=Auswahllisten!$E$29,1.2,0)))</f>
        <v>0.8</v>
      </c>
      <c r="U182" s="25">
        <f t="shared" ca="1" si="210"/>
        <v>40</v>
      </c>
      <c r="V182" s="25">
        <f t="shared" ca="1" si="179"/>
        <v>0</v>
      </c>
      <c r="W182" s="25" t="b">
        <f ca="1">($L$179=$U$5)</f>
        <v>0</v>
      </c>
      <c r="X182" s="25">
        <f t="shared" ca="1" si="211"/>
        <v>0</v>
      </c>
      <c r="Z182" s="1">
        <f t="shared" si="183"/>
        <v>54</v>
      </c>
      <c r="AA182" s="1">
        <v>26</v>
      </c>
      <c r="AB182" s="1">
        <v>-1</v>
      </c>
    </row>
    <row r="183" spans="1:28">
      <c r="A183" s="545"/>
      <c r="B183" s="94"/>
      <c r="C183" s="142" t="s">
        <v>335</v>
      </c>
      <c r="D183" s="93" t="str" cm="1">
        <f t="array" aca="1" ref="D183" ca="1">INDIRECT("Vergleich!"&amp;$G$2&amp;Z183)</f>
        <v>mittel</v>
      </c>
      <c r="E183" s="61" cm="1">
        <f t="array" aca="1" ref="E183" ca="1">INDIRECT("Unterhalt!"&amp;$J$5&amp;AA183)</f>
        <v>0</v>
      </c>
      <c r="F183" s="61">
        <f ca="1">IF(D183=Auswahllisten!$E$26,0.8,IF(D183=Auswahllisten!$E$27,1,IF(D183=Auswahllisten!$E$29,1.2,0)))</f>
        <v>1</v>
      </c>
      <c r="G183" s="61">
        <f t="shared" ca="1" si="205"/>
        <v>0</v>
      </c>
      <c r="H183" s="61" cm="1">
        <f t="array" aca="1" ref="H183" ca="1">INDIRECT("Unterhalt!"&amp;$J$6&amp;AA183)</f>
        <v>0</v>
      </c>
      <c r="I183" s="61">
        <f ca="1">IF(D183=Auswahllisten!$E$26,0.8,IF(D183=Auswahllisten!$E$27,1,IF(D183=Auswahllisten!$E$29,1.2,0)))</f>
        <v>1</v>
      </c>
      <c r="J183" s="61">
        <f t="shared" ca="1" si="206"/>
        <v>0</v>
      </c>
      <c r="K183" s="61">
        <f t="shared" ca="1" si="207"/>
        <v>0</v>
      </c>
      <c r="L183" s="61" t="b">
        <f ca="1">($L$179=$C$5)</f>
        <v>0</v>
      </c>
      <c r="M183" s="216">
        <f t="shared" ca="1" si="208"/>
        <v>0</v>
      </c>
      <c r="O183" s="61" t="str" cm="1">
        <f t="array" aca="1" ref="O183" ca="1">INDIRECT("Vergleich!"&amp;$Y$2&amp;Z183)</f>
        <v>gering</v>
      </c>
      <c r="P183" s="61" cm="1">
        <f t="array" aca="1" ref="P183" ca="1">INDIRECT("Unterhalt!"&amp;$AB$5&amp;AA183)</f>
        <v>0</v>
      </c>
      <c r="Q183" s="61">
        <f ca="1">IF(O183=Auswahllisten!$E$26,0.8,IF(O183=Auswahllisten!$E$27,1,IF(O183=Auswahllisten!$E$29,1.2,0)))</f>
        <v>0.8</v>
      </c>
      <c r="R183" s="61">
        <f t="shared" ca="1" si="209"/>
        <v>0</v>
      </c>
      <c r="S183" s="61" cm="1">
        <f t="array" aca="1" ref="S183" ca="1">INDIRECT("Unterhalt!"&amp;$AB$6&amp;AA183)</f>
        <v>0</v>
      </c>
      <c r="T183" s="61">
        <f ca="1">IF(O183=Auswahllisten!$E$26,0.8,IF(O183=Auswahllisten!$E$27,1,IF(O183=Auswahllisten!$E$29,1.2,0)))</f>
        <v>0.8</v>
      </c>
      <c r="U183" s="61">
        <f t="shared" ca="1" si="210"/>
        <v>0</v>
      </c>
      <c r="V183" s="61">
        <f t="shared" ca="1" si="179"/>
        <v>0</v>
      </c>
      <c r="W183" s="61" t="b">
        <f ca="1">($L$179=$U$5)</f>
        <v>0</v>
      </c>
      <c r="X183" s="61">
        <f t="shared" ca="1" si="211"/>
        <v>0</v>
      </c>
      <c r="Z183" s="1">
        <f t="shared" si="183"/>
        <v>54</v>
      </c>
      <c r="AA183" s="1">
        <v>27</v>
      </c>
      <c r="AB183" s="1">
        <v>-1</v>
      </c>
    </row>
    <row r="184" spans="1:28">
      <c r="A184" s="8"/>
      <c r="M184" s="69"/>
      <c r="Z184" s="1">
        <f t="shared" si="183"/>
        <v>54</v>
      </c>
      <c r="AA184" s="1">
        <v>28</v>
      </c>
      <c r="AB184" s="1">
        <v>-1</v>
      </c>
    </row>
    <row r="185" spans="1:28">
      <c r="A185" s="8" t="str">
        <f>ROMAN(6)</f>
        <v>VI</v>
      </c>
      <c r="B185" s="8" t="s">
        <v>142</v>
      </c>
      <c r="L185" s="155">
        <v>6</v>
      </c>
      <c r="M185" s="69"/>
      <c r="Z185" s="1">
        <f t="shared" si="183"/>
        <v>54</v>
      </c>
      <c r="AA185" s="1">
        <v>29</v>
      </c>
      <c r="AB185" s="1">
        <v>-1</v>
      </c>
    </row>
    <row r="186" spans="1:28">
      <c r="A186" s="117"/>
      <c r="B186" s="55"/>
      <c r="C186" s="5" t="s">
        <v>255</v>
      </c>
      <c r="D186" s="25" t="str" cm="1">
        <f t="array" aca="1" ref="D186" ca="1">INDIRECT("Vergleich!"&amp;$G$2&amp;Z186)</f>
        <v>mittel</v>
      </c>
      <c r="E186" s="5" cm="1">
        <f t="array" aca="1" ref="E186" ca="1">INDIRECT("Unterhalt!"&amp;$J$5&amp;AA186)</f>
        <v>680</v>
      </c>
      <c r="F186" s="25">
        <f ca="1">IF(D186=Auswahllisten!$E$26,0.8,IF(D186=Auswahllisten!$E$27,1,IF(D186=Auswahllisten!$E$29,1.2,0)))</f>
        <v>1</v>
      </c>
      <c r="G186" s="25">
        <f t="shared" ref="G186:G188" ca="1" si="212">E186*F186</f>
        <v>680</v>
      </c>
      <c r="H186" s="25" cm="1">
        <f t="array" aca="1" ref="H186" ca="1">INDIRECT("Unterhalt!"&amp;$J$6&amp;AA186)</f>
        <v>680</v>
      </c>
      <c r="I186" s="25">
        <f ca="1">IF(D186=Auswahllisten!$E$26,0.8,IF(D186=Auswahllisten!$E$27,1,IF(D186=Auswahllisten!$E$29,1.2,0)))</f>
        <v>1</v>
      </c>
      <c r="J186" s="25">
        <f t="shared" ref="J186:J188" ca="1" si="213">H186*I186</f>
        <v>680</v>
      </c>
      <c r="K186" s="25">
        <f t="shared" ref="K186:K188" ca="1" si="214">IF($C$5=0,0,G186+(J186-G186)*($C$6-$F$5)/($F$6-$F$5))</f>
        <v>0</v>
      </c>
      <c r="L186" s="25" t="b">
        <f ca="1">($L$185=$C$5)</f>
        <v>0</v>
      </c>
      <c r="M186" s="162">
        <f t="shared" ref="M186:M188" ca="1" si="215">ROUND(K186*L186,AB186)</f>
        <v>0</v>
      </c>
      <c r="O186" s="5" t="str" cm="1">
        <f t="array" aca="1" ref="O186" ca="1">INDIRECT("Vergleich!"&amp;$Y$2&amp;Z186)</f>
        <v>gering</v>
      </c>
      <c r="P186" s="5" cm="1">
        <f t="array" aca="1" ref="P186" ca="1">INDIRECT("Unterhalt!"&amp;$AB$5&amp;AA186)</f>
        <v>680</v>
      </c>
      <c r="Q186" s="25">
        <f ca="1">IF(O186=Auswahllisten!$E$26,0.8,IF(O186=Auswahllisten!$E$27,1,IF(O186=Auswahllisten!$E$29,1.2,0)))</f>
        <v>0.8</v>
      </c>
      <c r="R186" s="25">
        <f t="shared" ref="R186:R188" ca="1" si="216">P186*Q186</f>
        <v>544</v>
      </c>
      <c r="S186" s="25" cm="1">
        <f t="array" aca="1" ref="S186" ca="1">INDIRECT("Unterhalt!"&amp;$AB$6&amp;AA186)</f>
        <v>680</v>
      </c>
      <c r="T186" s="25">
        <f ca="1">IF(O186=Auswahllisten!$E$26,0.8,IF(O186=Auswahllisten!$E$27,1,IF(O186=Auswahllisten!$E$29,1.2,0)))</f>
        <v>0.8</v>
      </c>
      <c r="U186" s="25">
        <f t="shared" ref="U186:U188" ca="1" si="217">S186*T186</f>
        <v>544</v>
      </c>
      <c r="V186" s="25">
        <f t="shared" ca="1" si="179"/>
        <v>0</v>
      </c>
      <c r="W186" s="25" t="b">
        <f ca="1">($L$185=$U$5)</f>
        <v>0</v>
      </c>
      <c r="X186" s="25">
        <f t="shared" ref="X186:X188" ca="1" si="218">ROUND(V186*W186,AB186)</f>
        <v>0</v>
      </c>
      <c r="Z186" s="1">
        <f t="shared" si="183"/>
        <v>54</v>
      </c>
      <c r="AA186" s="1">
        <v>30</v>
      </c>
      <c r="AB186" s="1">
        <v>-1</v>
      </c>
    </row>
    <row r="187" spans="1:28">
      <c r="A187" s="546"/>
      <c r="B187" s="71"/>
      <c r="C187" s="2" t="s">
        <v>302</v>
      </c>
      <c r="D187" s="16" t="str" cm="1">
        <f t="array" aca="1" ref="D187" ca="1">INDIRECT("Vergleich!"&amp;$G$2&amp;Z187)</f>
        <v>mittel</v>
      </c>
      <c r="E187" s="5" cm="1">
        <f t="array" aca="1" ref="E187" ca="1">INDIRECT("Unterhalt!"&amp;$J$5&amp;AA187)</f>
        <v>50</v>
      </c>
      <c r="F187" s="25">
        <f ca="1">IF(D187=Auswahllisten!$E$26,0.8,IF(D187=Auswahllisten!$E$27,1,IF(D187=Auswahllisten!$E$29,1.2,0)))</f>
        <v>1</v>
      </c>
      <c r="G187" s="25">
        <f t="shared" ca="1" si="212"/>
        <v>50</v>
      </c>
      <c r="H187" s="25" cm="1">
        <f t="array" aca="1" ref="H187" ca="1">INDIRECT("Unterhalt!"&amp;$J$6&amp;AA187)</f>
        <v>50</v>
      </c>
      <c r="I187" s="25">
        <f ca="1">IF(D187=Auswahllisten!$E$26,0.8,IF(D187=Auswahllisten!$E$27,1,IF(D187=Auswahllisten!$E$29,1.2,0)))</f>
        <v>1</v>
      </c>
      <c r="J187" s="25">
        <f t="shared" ca="1" si="213"/>
        <v>50</v>
      </c>
      <c r="K187" s="25">
        <f t="shared" ca="1" si="214"/>
        <v>0</v>
      </c>
      <c r="L187" s="25" t="b">
        <f ca="1">($L$185=$C$5)</f>
        <v>0</v>
      </c>
      <c r="M187" s="162">
        <f t="shared" ca="1" si="215"/>
        <v>0</v>
      </c>
      <c r="O187" s="5" t="str" cm="1">
        <f t="array" aca="1" ref="O187" ca="1">INDIRECT("Vergleich!"&amp;$Y$2&amp;Z187)</f>
        <v>gering</v>
      </c>
      <c r="P187" s="5" cm="1">
        <f t="array" aca="1" ref="P187" ca="1">INDIRECT("Unterhalt!"&amp;$AB$5&amp;AA187)</f>
        <v>50</v>
      </c>
      <c r="Q187" s="25">
        <f ca="1">IF(O187=Auswahllisten!$E$26,0.8,IF(O187=Auswahllisten!$E$27,1,IF(O187=Auswahllisten!$E$29,1.2,0)))</f>
        <v>0.8</v>
      </c>
      <c r="R187" s="25">
        <f t="shared" ca="1" si="216"/>
        <v>40</v>
      </c>
      <c r="S187" s="25" cm="1">
        <f t="array" aca="1" ref="S187" ca="1">INDIRECT("Unterhalt!"&amp;$AB$6&amp;AA187)</f>
        <v>50</v>
      </c>
      <c r="T187" s="25">
        <f ca="1">IF(O187=Auswahllisten!$E$26,0.8,IF(O187=Auswahllisten!$E$27,1,IF(O187=Auswahllisten!$E$29,1.2,0)))</f>
        <v>0.8</v>
      </c>
      <c r="U187" s="25">
        <f t="shared" ca="1" si="217"/>
        <v>40</v>
      </c>
      <c r="V187" s="25">
        <f t="shared" ca="1" si="179"/>
        <v>0</v>
      </c>
      <c r="W187" s="25" t="b">
        <f ca="1">($L$185=$U$5)</f>
        <v>0</v>
      </c>
      <c r="X187" s="25">
        <f t="shared" ca="1" si="218"/>
        <v>0</v>
      </c>
      <c r="Z187" s="1">
        <f t="shared" si="183"/>
        <v>54</v>
      </c>
      <c r="AA187" s="1">
        <v>31</v>
      </c>
      <c r="AB187" s="1">
        <v>-1</v>
      </c>
    </row>
    <row r="188" spans="1:28">
      <c r="A188" s="545"/>
      <c r="B188" s="94"/>
      <c r="C188" s="142" t="s">
        <v>335</v>
      </c>
      <c r="D188" s="93" t="str" cm="1">
        <f t="array" aca="1" ref="D188" ca="1">INDIRECT("Vergleich!"&amp;$G$2&amp;Z188)</f>
        <v>mittel</v>
      </c>
      <c r="E188" s="4" cm="1">
        <f t="array" aca="1" ref="E188" ca="1">INDIRECT("Unterhalt!"&amp;$J$5&amp;AA188)</f>
        <v>0</v>
      </c>
      <c r="F188" s="61">
        <f ca="1">IF(D188=Auswahllisten!$E$26,0.8,IF(D188=Auswahllisten!$E$27,1,IF(D188=Auswahllisten!$E$29,1.2,0)))</f>
        <v>1</v>
      </c>
      <c r="G188" s="61">
        <f t="shared" ca="1" si="212"/>
        <v>0</v>
      </c>
      <c r="H188" s="61" cm="1">
        <f t="array" aca="1" ref="H188" ca="1">INDIRECT("Unterhalt!"&amp;$J$6&amp;AA188)</f>
        <v>0</v>
      </c>
      <c r="I188" s="61">
        <f ca="1">IF(D188=Auswahllisten!$E$26,0.8,IF(D188=Auswahllisten!$E$27,1,IF(D188=Auswahllisten!$E$29,1.2,0)))</f>
        <v>1</v>
      </c>
      <c r="J188" s="61">
        <f t="shared" ca="1" si="213"/>
        <v>0</v>
      </c>
      <c r="K188" s="61">
        <f t="shared" ca="1" si="214"/>
        <v>0</v>
      </c>
      <c r="L188" s="61" t="b">
        <f ca="1">($L$185=$C$5)</f>
        <v>0</v>
      </c>
      <c r="M188" s="216">
        <f t="shared" ca="1" si="215"/>
        <v>0</v>
      </c>
      <c r="O188" s="4" t="str" cm="1">
        <f t="array" aca="1" ref="O188" ca="1">INDIRECT("Vergleich!"&amp;$Y$2&amp;Z188)</f>
        <v>gering</v>
      </c>
      <c r="P188" s="4" cm="1">
        <f t="array" aca="1" ref="P188" ca="1">INDIRECT("Unterhalt!"&amp;$AB$5&amp;AA188)</f>
        <v>0</v>
      </c>
      <c r="Q188" s="61">
        <f ca="1">IF(O188=Auswahllisten!$E$26,0.8,IF(O188=Auswahllisten!$E$27,1,IF(O188=Auswahllisten!$E$29,1.2,0)))</f>
        <v>0.8</v>
      </c>
      <c r="R188" s="61">
        <f t="shared" ca="1" si="216"/>
        <v>0</v>
      </c>
      <c r="S188" s="61" cm="1">
        <f t="array" aca="1" ref="S188" ca="1">INDIRECT("Unterhalt!"&amp;$AB$6&amp;AA188)</f>
        <v>0</v>
      </c>
      <c r="T188" s="61">
        <f ca="1">IF(O188=Auswahllisten!$E$26,0.8,IF(O188=Auswahllisten!$E$27,1,IF(O188=Auswahllisten!$E$29,1.2,0)))</f>
        <v>0.8</v>
      </c>
      <c r="U188" s="61">
        <f t="shared" ca="1" si="217"/>
        <v>0</v>
      </c>
      <c r="V188" s="61">
        <f t="shared" ca="1" si="179"/>
        <v>0</v>
      </c>
      <c r="W188" s="61" t="b">
        <f ca="1">($L$185=$U$5)</f>
        <v>0</v>
      </c>
      <c r="X188" s="61">
        <f t="shared" ca="1" si="218"/>
        <v>0</v>
      </c>
      <c r="Z188" s="1">
        <f t="shared" si="183"/>
        <v>54</v>
      </c>
      <c r="AA188" s="1">
        <v>32</v>
      </c>
      <c r="AB188" s="1">
        <v>-1</v>
      </c>
    </row>
    <row r="189" spans="1:28">
      <c r="A189" s="8"/>
      <c r="M189" s="69"/>
      <c r="Z189" s="1">
        <f t="shared" si="183"/>
        <v>54</v>
      </c>
      <c r="AA189" s="1">
        <v>33</v>
      </c>
      <c r="AB189" s="1">
        <v>-1</v>
      </c>
    </row>
    <row r="190" spans="1:28">
      <c r="A190" s="8" t="str">
        <f>ROMAN(7)</f>
        <v>VII</v>
      </c>
      <c r="B190" s="8" t="s">
        <v>143</v>
      </c>
      <c r="L190" s="155">
        <v>7</v>
      </c>
      <c r="M190" s="69"/>
      <c r="Z190" s="1">
        <f t="shared" si="183"/>
        <v>54</v>
      </c>
      <c r="AA190" s="1">
        <v>34</v>
      </c>
      <c r="AB190" s="1">
        <v>-1</v>
      </c>
    </row>
    <row r="191" spans="1:28">
      <c r="A191" s="117"/>
      <c r="B191" s="55"/>
      <c r="C191" s="5" t="s">
        <v>255</v>
      </c>
      <c r="D191" s="25" t="str" cm="1">
        <f t="array" aca="1" ref="D191" ca="1">INDIRECT("Vergleich!"&amp;$G$2&amp;Z191)</f>
        <v>mittel</v>
      </c>
      <c r="E191" s="25" cm="1">
        <f t="array" aca="1" ref="E191" ca="1">INDIRECT("Unterhalt!"&amp;$J$5&amp;AA191)</f>
        <v>680</v>
      </c>
      <c r="F191" s="25">
        <f ca="1">IF(D191=Auswahllisten!$E$26,0.8,IF(D191=Auswahllisten!$E$27,1,IF(D191=Auswahllisten!$E$29,1.2,0)))</f>
        <v>1</v>
      </c>
      <c r="G191" s="25">
        <f t="shared" ref="G191:G193" ca="1" si="219">E191*F191</f>
        <v>680</v>
      </c>
      <c r="H191" s="25" cm="1">
        <f t="array" aca="1" ref="H191" ca="1">INDIRECT("Unterhalt!"&amp;$J$6&amp;AA191)</f>
        <v>680</v>
      </c>
      <c r="I191" s="25">
        <f ca="1">IF(D191=Auswahllisten!$E$26,0.8,IF(D191=Auswahllisten!$E$27,1,IF(D191=Auswahllisten!$E$29,1.2,0)))</f>
        <v>1</v>
      </c>
      <c r="J191" s="25">
        <f t="shared" ref="J191:J193" ca="1" si="220">H191*I191</f>
        <v>680</v>
      </c>
      <c r="K191" s="25">
        <f t="shared" ref="K191:K193" ca="1" si="221">IF($C$5=0,0,G191+(J191-G191)*($C$6-$F$5)/($F$6-$F$5))</f>
        <v>0</v>
      </c>
      <c r="L191" s="25" t="b">
        <f ca="1">($L$190=$C$5)</f>
        <v>0</v>
      </c>
      <c r="M191" s="162">
        <f t="shared" ref="M191:M193" ca="1" si="222">ROUND(K191*L191,AB191)</f>
        <v>0</v>
      </c>
      <c r="O191" s="25" t="str" cm="1">
        <f t="array" aca="1" ref="O191" ca="1">INDIRECT("Vergleich!"&amp;$Y$2&amp;Z191)</f>
        <v>gering</v>
      </c>
      <c r="P191" s="25" cm="1">
        <f t="array" aca="1" ref="P191" ca="1">INDIRECT("Unterhalt!"&amp;$AB$5&amp;AA191)</f>
        <v>680</v>
      </c>
      <c r="Q191" s="25">
        <f ca="1">IF(O191=Auswahllisten!$E$26,0.8,IF(O191=Auswahllisten!$E$27,1,IF(O191=Auswahllisten!$E$29,1.2,0)))</f>
        <v>0.8</v>
      </c>
      <c r="R191" s="25">
        <f t="shared" ref="R191:R193" ca="1" si="223">P191*Q191</f>
        <v>544</v>
      </c>
      <c r="S191" s="25" cm="1">
        <f t="array" aca="1" ref="S191" ca="1">INDIRECT("Unterhalt!"&amp;$AB$6&amp;AA191)</f>
        <v>680</v>
      </c>
      <c r="T191" s="25">
        <f ca="1">IF(O191=Auswahllisten!$E$26,0.8,IF(O191=Auswahllisten!$E$27,1,IF(O191=Auswahllisten!$E$29,1.2,0)))</f>
        <v>0.8</v>
      </c>
      <c r="U191" s="25">
        <f t="shared" ref="U191:U193" ca="1" si="224">S191*T191</f>
        <v>544</v>
      </c>
      <c r="V191" s="25">
        <f t="shared" ca="1" si="179"/>
        <v>0</v>
      </c>
      <c r="W191" s="25" t="b">
        <f ca="1">($L$190=$U$5)</f>
        <v>0</v>
      </c>
      <c r="X191" s="25">
        <f t="shared" ref="X191:X193" ca="1" si="225">ROUND(V191*W191,AB191)</f>
        <v>0</v>
      </c>
      <c r="Z191" s="1">
        <f t="shared" si="183"/>
        <v>54</v>
      </c>
      <c r="AA191" s="1">
        <v>35</v>
      </c>
      <c r="AB191" s="1">
        <v>-1</v>
      </c>
    </row>
    <row r="192" spans="1:28">
      <c r="A192" s="546"/>
      <c r="B192" s="71"/>
      <c r="C192" s="2" t="s">
        <v>302</v>
      </c>
      <c r="D192" s="16" t="str" cm="1">
        <f t="array" aca="1" ref="D192" ca="1">INDIRECT("Vergleich!"&amp;$G$2&amp;Z192)</f>
        <v>mittel</v>
      </c>
      <c r="E192" s="25" cm="1">
        <f t="array" aca="1" ref="E192" ca="1">INDIRECT("Unterhalt!"&amp;$J$5&amp;AA192)</f>
        <v>50</v>
      </c>
      <c r="F192" s="25">
        <f ca="1">IF(D192=Auswahllisten!$E$26,0.8,IF(D192=Auswahllisten!$E$27,1,IF(D192=Auswahllisten!$E$29,1.2,0)))</f>
        <v>1</v>
      </c>
      <c r="G192" s="25">
        <f t="shared" ca="1" si="219"/>
        <v>50</v>
      </c>
      <c r="H192" s="25" cm="1">
        <f t="array" aca="1" ref="H192" ca="1">INDIRECT("Unterhalt!"&amp;$J$6&amp;AA192)</f>
        <v>50</v>
      </c>
      <c r="I192" s="25">
        <f ca="1">IF(D192=Auswahllisten!$E$26,0.8,IF(D192=Auswahllisten!$E$27,1,IF(D192=Auswahllisten!$E$29,1.2,0)))</f>
        <v>1</v>
      </c>
      <c r="J192" s="25">
        <f t="shared" ca="1" si="220"/>
        <v>50</v>
      </c>
      <c r="K192" s="25">
        <f t="shared" ca="1" si="221"/>
        <v>0</v>
      </c>
      <c r="L192" s="25" t="b">
        <f ca="1">($L$190=$C$5)</f>
        <v>0</v>
      </c>
      <c r="M192" s="162">
        <f t="shared" ca="1" si="222"/>
        <v>0</v>
      </c>
      <c r="O192" s="25" t="str" cm="1">
        <f t="array" aca="1" ref="O192" ca="1">INDIRECT("Vergleich!"&amp;$Y$2&amp;Z192)</f>
        <v>gering</v>
      </c>
      <c r="P192" s="25" cm="1">
        <f t="array" aca="1" ref="P192" ca="1">INDIRECT("Unterhalt!"&amp;$AB$5&amp;AA192)</f>
        <v>50</v>
      </c>
      <c r="Q192" s="25">
        <f ca="1">IF(O192=Auswahllisten!$E$26,0.8,IF(O192=Auswahllisten!$E$27,1,IF(O192=Auswahllisten!$E$29,1.2,0)))</f>
        <v>0.8</v>
      </c>
      <c r="R192" s="25">
        <f t="shared" ca="1" si="223"/>
        <v>40</v>
      </c>
      <c r="S192" s="25" cm="1">
        <f t="array" aca="1" ref="S192" ca="1">INDIRECT("Unterhalt!"&amp;$AB$6&amp;AA192)</f>
        <v>50</v>
      </c>
      <c r="T192" s="25">
        <f ca="1">IF(O192=Auswahllisten!$E$26,0.8,IF(O192=Auswahllisten!$E$27,1,IF(O192=Auswahllisten!$E$29,1.2,0)))</f>
        <v>0.8</v>
      </c>
      <c r="U192" s="25">
        <f t="shared" ca="1" si="224"/>
        <v>40</v>
      </c>
      <c r="V192" s="25">
        <f t="shared" ca="1" si="179"/>
        <v>0</v>
      </c>
      <c r="W192" s="25" t="b">
        <f ca="1">($L$190=$U$5)</f>
        <v>0</v>
      </c>
      <c r="X192" s="25">
        <f t="shared" ca="1" si="225"/>
        <v>0</v>
      </c>
      <c r="Z192" s="1">
        <f t="shared" si="183"/>
        <v>54</v>
      </c>
      <c r="AA192" s="1">
        <v>36</v>
      </c>
      <c r="AB192" s="1">
        <v>-1</v>
      </c>
    </row>
    <row r="193" spans="1:28">
      <c r="A193" s="545"/>
      <c r="B193" s="94"/>
      <c r="C193" s="142" t="s">
        <v>335</v>
      </c>
      <c r="D193" s="93" t="str" cm="1">
        <f t="array" aca="1" ref="D193" ca="1">INDIRECT("Vergleich!"&amp;$G$2&amp;Z193)</f>
        <v>mittel</v>
      </c>
      <c r="E193" s="61" cm="1">
        <f t="array" aca="1" ref="E193" ca="1">INDIRECT("Unterhalt!"&amp;$J$5&amp;AA193)</f>
        <v>0</v>
      </c>
      <c r="F193" s="61">
        <f ca="1">IF(D193=Auswahllisten!$E$26,0.8,IF(D193=Auswahllisten!$E$27,1,IF(D193=Auswahllisten!$E$29,1.2,0)))</f>
        <v>1</v>
      </c>
      <c r="G193" s="61">
        <f t="shared" ca="1" si="219"/>
        <v>0</v>
      </c>
      <c r="H193" s="61" cm="1">
        <f t="array" aca="1" ref="H193" ca="1">INDIRECT("Unterhalt!"&amp;$J$6&amp;AA193)</f>
        <v>0</v>
      </c>
      <c r="I193" s="61">
        <f ca="1">IF(D193=Auswahllisten!$E$26,0.8,IF(D193=Auswahllisten!$E$27,1,IF(D193=Auswahllisten!$E$29,1.2,0)))</f>
        <v>1</v>
      </c>
      <c r="J193" s="61">
        <f t="shared" ca="1" si="220"/>
        <v>0</v>
      </c>
      <c r="K193" s="61">
        <f t="shared" ca="1" si="221"/>
        <v>0</v>
      </c>
      <c r="L193" s="61" t="b">
        <f ca="1">($L$190=$C$5)</f>
        <v>0</v>
      </c>
      <c r="M193" s="216">
        <f t="shared" ca="1" si="222"/>
        <v>0</v>
      </c>
      <c r="O193" s="61" t="str" cm="1">
        <f t="array" aca="1" ref="O193" ca="1">INDIRECT("Vergleich!"&amp;$Y$2&amp;Z193)</f>
        <v>gering</v>
      </c>
      <c r="P193" s="61" cm="1">
        <f t="array" aca="1" ref="P193" ca="1">INDIRECT("Unterhalt!"&amp;$AB$5&amp;AA193)</f>
        <v>0</v>
      </c>
      <c r="Q193" s="61">
        <f ca="1">IF(O193=Auswahllisten!$E$26,0.8,IF(O193=Auswahllisten!$E$27,1,IF(O193=Auswahllisten!$E$29,1.2,0)))</f>
        <v>0.8</v>
      </c>
      <c r="R193" s="61">
        <f t="shared" ca="1" si="223"/>
        <v>0</v>
      </c>
      <c r="S193" s="61" cm="1">
        <f t="array" aca="1" ref="S193" ca="1">INDIRECT("Unterhalt!"&amp;$AB$6&amp;AA193)</f>
        <v>0</v>
      </c>
      <c r="T193" s="61">
        <f ca="1">IF(O193=Auswahllisten!$E$26,0.8,IF(O193=Auswahllisten!$E$27,1,IF(O193=Auswahllisten!$E$29,1.2,0)))</f>
        <v>0.8</v>
      </c>
      <c r="U193" s="61">
        <f t="shared" ca="1" si="224"/>
        <v>0</v>
      </c>
      <c r="V193" s="61">
        <f t="shared" ca="1" si="179"/>
        <v>0</v>
      </c>
      <c r="W193" s="61" t="b">
        <f ca="1">($L$190=$U$5)</f>
        <v>0</v>
      </c>
      <c r="X193" s="61">
        <f t="shared" ca="1" si="225"/>
        <v>0</v>
      </c>
      <c r="Z193" s="1">
        <f t="shared" si="183"/>
        <v>54</v>
      </c>
      <c r="AA193" s="1">
        <v>37</v>
      </c>
      <c r="AB193" s="1">
        <v>-1</v>
      </c>
    </row>
    <row r="194" spans="1:28">
      <c r="A194" s="8"/>
      <c r="M194" s="69"/>
      <c r="Z194" s="1">
        <f t="shared" si="183"/>
        <v>54</v>
      </c>
      <c r="AA194" s="1">
        <v>38</v>
      </c>
      <c r="AB194" s="1">
        <v>-1</v>
      </c>
    </row>
    <row r="195" spans="1:28">
      <c r="A195" s="8" t="str">
        <f>ROMAN(8)</f>
        <v>VIII</v>
      </c>
      <c r="B195" s="8" t="s">
        <v>143</v>
      </c>
      <c r="L195" s="155">
        <v>14</v>
      </c>
      <c r="M195" s="69"/>
      <c r="Z195" s="1">
        <f t="shared" si="183"/>
        <v>54</v>
      </c>
      <c r="AA195" s="1">
        <v>39</v>
      </c>
      <c r="AB195" s="1">
        <v>-1</v>
      </c>
    </row>
    <row r="196" spans="1:28">
      <c r="A196" s="117"/>
      <c r="B196" s="55"/>
      <c r="C196" s="5" t="s">
        <v>255</v>
      </c>
      <c r="D196" s="25" t="str" cm="1">
        <f t="array" aca="1" ref="D196" ca="1">INDIRECT("Vergleich!"&amp;$G$2&amp;Z196)</f>
        <v>mittel</v>
      </c>
      <c r="E196" s="25" cm="1">
        <f t="array" aca="1" ref="E196" ca="1">INDIRECT("Unterhalt!"&amp;$J$5&amp;AA196)</f>
        <v>680</v>
      </c>
      <c r="F196" s="25">
        <f ca="1">IF(D196=Auswahllisten!$E$26,0.8,IF(D196=Auswahllisten!$E$27,1,IF(D196=Auswahllisten!$E$29,1.2,0)))</f>
        <v>1</v>
      </c>
      <c r="G196" s="25">
        <f t="shared" ref="G196:G198" ca="1" si="226">E196*F196</f>
        <v>680</v>
      </c>
      <c r="H196" s="25" cm="1">
        <f t="array" aca="1" ref="H196" ca="1">INDIRECT("Unterhalt!"&amp;$J$6&amp;AA196)</f>
        <v>680</v>
      </c>
      <c r="I196" s="25">
        <f ca="1">IF(D196=Auswahllisten!$E$26,0.8,IF(D196=Auswahllisten!$E$27,1,IF(D196=Auswahllisten!$E$29,1.2,0)))</f>
        <v>1</v>
      </c>
      <c r="J196" s="25">
        <f t="shared" ref="J196:J198" ca="1" si="227">H196*I196</f>
        <v>680</v>
      </c>
      <c r="K196" s="25">
        <f t="shared" ref="K196:K198" ca="1" si="228">IF($C$5=0,0,G196+(J196-G196)*($C$6-$F$5)/($F$6-$F$5))</f>
        <v>0</v>
      </c>
      <c r="L196" s="25" t="b">
        <f ca="1">($L$195=$C$5)</f>
        <v>0</v>
      </c>
      <c r="M196" s="162">
        <f t="shared" ref="M196:M198" ca="1" si="229">ROUND(K196*L196,AB196)</f>
        <v>0</v>
      </c>
      <c r="O196" s="25" t="str" cm="1">
        <f t="array" aca="1" ref="O196" ca="1">INDIRECT("Vergleich!"&amp;$Y$2&amp;Z196)</f>
        <v>gering</v>
      </c>
      <c r="P196" s="25" cm="1">
        <f t="array" aca="1" ref="P196" ca="1">INDIRECT("Unterhalt!"&amp;$AB$5&amp;AA196)</f>
        <v>680</v>
      </c>
      <c r="Q196" s="25">
        <f ca="1">IF(O196=Auswahllisten!$E$26,0.8,IF(O196=Auswahllisten!$E$27,1,IF(O196=Auswahllisten!$E$29,1.2,0)))</f>
        <v>0.8</v>
      </c>
      <c r="R196" s="25">
        <f t="shared" ref="R196:R198" ca="1" si="230">P196*Q196</f>
        <v>544</v>
      </c>
      <c r="S196" s="25" cm="1">
        <f t="array" aca="1" ref="S196" ca="1">INDIRECT("Unterhalt!"&amp;$AB$6&amp;AA196)</f>
        <v>680</v>
      </c>
      <c r="T196" s="25">
        <f ca="1">IF(O196=Auswahllisten!$E$26,0.8,IF(O196=Auswahllisten!$E$27,1,IF(O196=Auswahllisten!$E$29,1.2,0)))</f>
        <v>0.8</v>
      </c>
      <c r="U196" s="25">
        <f t="shared" ref="U196:U198" ca="1" si="231">S196*T196</f>
        <v>544</v>
      </c>
      <c r="V196" s="25">
        <f t="shared" ca="1" si="179"/>
        <v>0</v>
      </c>
      <c r="W196" s="25" t="b">
        <f ca="1">($L$195=$U$5)</f>
        <v>0</v>
      </c>
      <c r="X196" s="25">
        <f t="shared" ref="X196:X198" ca="1" si="232">ROUND(V196*W196,AB196)</f>
        <v>0</v>
      </c>
      <c r="Z196" s="1">
        <f t="shared" si="183"/>
        <v>54</v>
      </c>
      <c r="AA196" s="1">
        <v>40</v>
      </c>
      <c r="AB196" s="1">
        <v>-1</v>
      </c>
    </row>
    <row r="197" spans="1:28">
      <c r="A197" s="546"/>
      <c r="B197" s="71"/>
      <c r="C197" s="2" t="s">
        <v>302</v>
      </c>
      <c r="D197" s="16" t="str" cm="1">
        <f t="array" aca="1" ref="D197" ca="1">INDIRECT("Vergleich!"&amp;$G$2&amp;Z197)</f>
        <v>mittel</v>
      </c>
      <c r="E197" s="25" cm="1">
        <f t="array" aca="1" ref="E197" ca="1">INDIRECT("Unterhalt!"&amp;$J$5&amp;AA197)</f>
        <v>50</v>
      </c>
      <c r="F197" s="25">
        <f ca="1">IF(D197=Auswahllisten!$E$26,0.8,IF(D197=Auswahllisten!$E$27,1,IF(D197=Auswahllisten!$E$29,1.2,0)))</f>
        <v>1</v>
      </c>
      <c r="G197" s="25">
        <f t="shared" ca="1" si="226"/>
        <v>50</v>
      </c>
      <c r="H197" s="25" cm="1">
        <f t="array" aca="1" ref="H197" ca="1">INDIRECT("Unterhalt!"&amp;$J$6&amp;AA197)</f>
        <v>50</v>
      </c>
      <c r="I197" s="25">
        <f ca="1">IF(D197=Auswahllisten!$E$26,0.8,IF(D197=Auswahllisten!$E$27,1,IF(D197=Auswahllisten!$E$29,1.2,0)))</f>
        <v>1</v>
      </c>
      <c r="J197" s="25">
        <f t="shared" ca="1" si="227"/>
        <v>50</v>
      </c>
      <c r="K197" s="25">
        <f t="shared" ca="1" si="228"/>
        <v>0</v>
      </c>
      <c r="L197" s="25" t="b">
        <f ca="1">($L$195=$C$5)</f>
        <v>0</v>
      </c>
      <c r="M197" s="162">
        <f t="shared" ca="1" si="229"/>
        <v>0</v>
      </c>
      <c r="O197" s="25" t="str" cm="1">
        <f t="array" aca="1" ref="O197" ca="1">INDIRECT("Vergleich!"&amp;$Y$2&amp;Z197)</f>
        <v>gering</v>
      </c>
      <c r="P197" s="25" cm="1">
        <f t="array" aca="1" ref="P197" ca="1">INDIRECT("Unterhalt!"&amp;$AB$5&amp;AA197)</f>
        <v>50</v>
      </c>
      <c r="Q197" s="25">
        <f ca="1">IF(O197=Auswahllisten!$E$26,0.8,IF(O197=Auswahllisten!$E$27,1,IF(O197=Auswahllisten!$E$29,1.2,0)))</f>
        <v>0.8</v>
      </c>
      <c r="R197" s="25">
        <f t="shared" ca="1" si="230"/>
        <v>40</v>
      </c>
      <c r="S197" s="25" cm="1">
        <f t="array" aca="1" ref="S197" ca="1">INDIRECT("Unterhalt!"&amp;$AB$6&amp;AA197)</f>
        <v>50</v>
      </c>
      <c r="T197" s="25">
        <f ca="1">IF(O197=Auswahllisten!$E$26,0.8,IF(O197=Auswahllisten!$E$27,1,IF(O197=Auswahllisten!$E$29,1.2,0)))</f>
        <v>0.8</v>
      </c>
      <c r="U197" s="25">
        <f t="shared" ca="1" si="231"/>
        <v>40</v>
      </c>
      <c r="V197" s="25">
        <f t="shared" ca="1" si="179"/>
        <v>0</v>
      </c>
      <c r="W197" s="25" t="b">
        <f ca="1">($L$195=$U$5)</f>
        <v>0</v>
      </c>
      <c r="X197" s="25">
        <f t="shared" ca="1" si="232"/>
        <v>0</v>
      </c>
      <c r="Z197" s="1">
        <f t="shared" si="183"/>
        <v>54</v>
      </c>
      <c r="AA197" s="1">
        <v>41</v>
      </c>
      <c r="AB197" s="1">
        <v>-1</v>
      </c>
    </row>
    <row r="198" spans="1:28">
      <c r="A198" s="545"/>
      <c r="B198" s="94"/>
      <c r="C198" s="142" t="s">
        <v>335</v>
      </c>
      <c r="D198" s="93" t="str" cm="1">
        <f t="array" aca="1" ref="D198" ca="1">INDIRECT("Vergleich!"&amp;$G$2&amp;Z198)</f>
        <v>mittel</v>
      </c>
      <c r="E198" s="61" cm="1">
        <f t="array" aca="1" ref="E198" ca="1">INDIRECT("Unterhalt!"&amp;$J$5&amp;AA198)</f>
        <v>0</v>
      </c>
      <c r="F198" s="61">
        <f ca="1">IF(D198=Auswahllisten!$E$26,0.8,IF(D198=Auswahllisten!$E$27,1,IF(D198=Auswahllisten!$E$29,1.2,0)))</f>
        <v>1</v>
      </c>
      <c r="G198" s="61">
        <f t="shared" ca="1" si="226"/>
        <v>0</v>
      </c>
      <c r="H198" s="61" cm="1">
        <f t="array" aca="1" ref="H198" ca="1">INDIRECT("Unterhalt!"&amp;$J$6&amp;AA198)</f>
        <v>0</v>
      </c>
      <c r="I198" s="61">
        <f ca="1">IF(D198=Auswahllisten!$E$26,0.8,IF(D198=Auswahllisten!$E$27,1,IF(D198=Auswahllisten!$E$29,1.2,0)))</f>
        <v>1</v>
      </c>
      <c r="J198" s="61">
        <f t="shared" ca="1" si="227"/>
        <v>0</v>
      </c>
      <c r="K198" s="61">
        <f t="shared" ca="1" si="228"/>
        <v>0</v>
      </c>
      <c r="L198" s="61" t="b">
        <f ca="1">($L$195=$C$5)</f>
        <v>0</v>
      </c>
      <c r="M198" s="216">
        <f t="shared" ca="1" si="229"/>
        <v>0</v>
      </c>
      <c r="O198" s="61" t="str" cm="1">
        <f t="array" aca="1" ref="O198" ca="1">INDIRECT("Vergleich!"&amp;$Y$2&amp;Z198)</f>
        <v>gering</v>
      </c>
      <c r="P198" s="61" cm="1">
        <f t="array" aca="1" ref="P198" ca="1">INDIRECT("Unterhalt!"&amp;$AB$5&amp;AA198)</f>
        <v>0</v>
      </c>
      <c r="Q198" s="61">
        <f ca="1">IF(O198=Auswahllisten!$E$26,0.8,IF(O198=Auswahllisten!$E$27,1,IF(O198=Auswahllisten!$E$29,1.2,0)))</f>
        <v>0.8</v>
      </c>
      <c r="R198" s="61">
        <f t="shared" ca="1" si="230"/>
        <v>0</v>
      </c>
      <c r="S198" s="61" cm="1">
        <f t="array" aca="1" ref="S198" ca="1">INDIRECT("Unterhalt!"&amp;$AB$6&amp;AA198)</f>
        <v>0</v>
      </c>
      <c r="T198" s="61">
        <f ca="1">IF(O198=Auswahllisten!$E$26,0.8,IF(O198=Auswahllisten!$E$27,1,IF(O198=Auswahllisten!$E$29,1.2,0)))</f>
        <v>0.8</v>
      </c>
      <c r="U198" s="61">
        <f t="shared" ca="1" si="231"/>
        <v>0</v>
      </c>
      <c r="V198" s="61">
        <f t="shared" ca="1" si="179"/>
        <v>0</v>
      </c>
      <c r="W198" s="61" t="b">
        <f ca="1">($L$195=$U$5)</f>
        <v>0</v>
      </c>
      <c r="X198" s="61">
        <f t="shared" ca="1" si="232"/>
        <v>0</v>
      </c>
      <c r="Z198" s="1">
        <f t="shared" si="183"/>
        <v>54</v>
      </c>
      <c r="AA198" s="1">
        <v>42</v>
      </c>
      <c r="AB198" s="1">
        <v>-1</v>
      </c>
    </row>
    <row r="199" spans="1:28">
      <c r="A199" s="8"/>
      <c r="M199" s="69"/>
      <c r="Z199" s="1">
        <f t="shared" si="183"/>
        <v>54</v>
      </c>
      <c r="AA199" s="1">
        <v>43</v>
      </c>
      <c r="AB199" s="1">
        <v>-1</v>
      </c>
    </row>
    <row r="200" spans="1:28">
      <c r="A200" s="8" t="str">
        <f>ROMAN(9)</f>
        <v>IX</v>
      </c>
      <c r="B200" s="8" t="s">
        <v>32</v>
      </c>
      <c r="L200" s="394"/>
      <c r="M200" s="69"/>
      <c r="W200" s="394"/>
      <c r="Z200" s="1">
        <f>Z194</f>
        <v>54</v>
      </c>
      <c r="AA200" s="1">
        <v>44</v>
      </c>
      <c r="AB200" s="1">
        <v>-1</v>
      </c>
    </row>
    <row r="201" spans="1:28">
      <c r="A201" s="117"/>
      <c r="B201" s="55"/>
      <c r="C201" s="5" t="s">
        <v>258</v>
      </c>
      <c r="D201" s="25" t="str" cm="1">
        <f t="array" aca="1" ref="D201" ca="1">INDIRECT("Vergleich!"&amp;$G$2&amp;Z201)</f>
        <v>mittel</v>
      </c>
      <c r="E201" s="25" cm="1">
        <f t="array" aca="1" ref="E201" ca="1">INDIRECT("Unterhalt!"&amp;$J$5&amp;AA201)</f>
        <v>250</v>
      </c>
      <c r="F201" s="25">
        <f ca="1">IF(D201=Auswahllisten!$E$26,0.8,IF(D201=Auswahllisten!$E$27,1,IF(D201=Auswahllisten!$E$29,1.2,0)))</f>
        <v>1</v>
      </c>
      <c r="G201" s="25">
        <f t="shared" ref="G201:G202" ca="1" si="233">E201*F201</f>
        <v>250</v>
      </c>
      <c r="H201" s="25" cm="1">
        <f t="array" aca="1" ref="H201" ca="1">INDIRECT("Unterhalt!"&amp;$J$6&amp;AA201)</f>
        <v>250</v>
      </c>
      <c r="I201" s="25">
        <f ca="1">IF(D201=Auswahllisten!$E$26,0.8,IF(D201=Auswahllisten!$E$27,1,IF(D201=Auswahllisten!$E$29,1.2,0)))</f>
        <v>1</v>
      </c>
      <c r="J201" s="25">
        <f t="shared" ref="J201:J202" ca="1" si="234">H201*I201</f>
        <v>250</v>
      </c>
      <c r="K201" s="25">
        <f t="shared" ref="K201:K202" ca="1" si="235">IF($C$5=0,0,G201+(J201-G201)*($C$6-$F$5)/($F$6-$F$5))</f>
        <v>0</v>
      </c>
      <c r="L201" s="25" t="b">
        <f ca="1">OR($C$5=10,$C$5=11,$C$5=12,$C$5=13)</f>
        <v>0</v>
      </c>
      <c r="M201" s="162">
        <f t="shared" ref="M201:M202" ca="1" si="236">ROUND(K201*L201,AB201)</f>
        <v>0</v>
      </c>
      <c r="O201" s="25" t="str" cm="1">
        <f t="array" aca="1" ref="O201" ca="1">INDIRECT("Vergleich!"&amp;$Y$2&amp;Z201)</f>
        <v>gering</v>
      </c>
      <c r="P201" s="25" cm="1">
        <f t="array" aca="1" ref="P201" ca="1">INDIRECT("Unterhalt!"&amp;$AB$5&amp;AA201)</f>
        <v>250</v>
      </c>
      <c r="Q201" s="25">
        <f ca="1">IF(O201=Auswahllisten!$E$26,0.8,IF(O201=Auswahllisten!$E$27,1,IF(O201=Auswahllisten!$E$29,1.2,0)))</f>
        <v>0.8</v>
      </c>
      <c r="R201" s="25">
        <f t="shared" ref="R201:R202" ca="1" si="237">P201*Q201</f>
        <v>200</v>
      </c>
      <c r="S201" s="25" cm="1">
        <f t="array" aca="1" ref="S201" ca="1">INDIRECT("Unterhalt!"&amp;$AB$6&amp;AA201)</f>
        <v>250</v>
      </c>
      <c r="T201" s="25">
        <f ca="1">IF(O201=Auswahllisten!$E$26,0.8,IF(O201=Auswahllisten!$E$27,1,IF(O201=Auswahllisten!$E$29,1.2,0)))</f>
        <v>0.8</v>
      </c>
      <c r="U201" s="25">
        <f t="shared" ref="U201:U202" ca="1" si="238">S201*T201</f>
        <v>200</v>
      </c>
      <c r="V201" s="25">
        <f t="shared" ca="1" si="179"/>
        <v>0</v>
      </c>
      <c r="W201" s="25" t="b">
        <f ca="1">OR($U$5=10,$U$5=11,$U$5=12,$U$5=13)</f>
        <v>0</v>
      </c>
      <c r="X201" s="25">
        <f t="shared" ref="X201:X202" ca="1" si="239">ROUND(V201*W201,AB201)</f>
        <v>0</v>
      </c>
      <c r="Z201" s="1">
        <f t="shared" ref="Z201:Z207" si="240">Z200</f>
        <v>54</v>
      </c>
      <c r="AA201" s="1">
        <v>45</v>
      </c>
      <c r="AB201" s="1">
        <v>-1</v>
      </c>
    </row>
    <row r="202" spans="1:28">
      <c r="A202" s="545"/>
      <c r="B202" s="94"/>
      <c r="C202" s="142" t="s">
        <v>335</v>
      </c>
      <c r="D202" s="93" t="str" cm="1">
        <f t="array" aca="1" ref="D202" ca="1">INDIRECT("Vergleich!"&amp;$G$2&amp;Z202)</f>
        <v>mittel</v>
      </c>
      <c r="E202" s="61" cm="1">
        <f t="array" aca="1" ref="E202" ca="1">INDIRECT("Unterhalt!"&amp;$J$5&amp;AA202)</f>
        <v>0</v>
      </c>
      <c r="F202" s="61">
        <f ca="1">IF(D202=Auswahllisten!$E$26,0.8,IF(D202=Auswahllisten!$E$27,1,IF(D202=Auswahllisten!$E$29,1.2,0)))</f>
        <v>1</v>
      </c>
      <c r="G202" s="61">
        <f t="shared" ca="1" si="233"/>
        <v>0</v>
      </c>
      <c r="H202" s="61" cm="1">
        <f t="array" aca="1" ref="H202" ca="1">INDIRECT("Unterhalt!"&amp;$J$6&amp;AA202)</f>
        <v>0</v>
      </c>
      <c r="I202" s="61">
        <f ca="1">IF(D202=Auswahllisten!$E$26,0.8,IF(D202=Auswahllisten!$E$27,1,IF(D202=Auswahllisten!$E$29,1.2,0)))</f>
        <v>1</v>
      </c>
      <c r="J202" s="61">
        <f t="shared" ca="1" si="234"/>
        <v>0</v>
      </c>
      <c r="K202" s="61">
        <f t="shared" ca="1" si="235"/>
        <v>0</v>
      </c>
      <c r="L202" s="61" t="b">
        <f ca="1">OR($C$5=10,$C$5=11,$C$5=12,$C$5=13)</f>
        <v>0</v>
      </c>
      <c r="M202" s="216">
        <f t="shared" ca="1" si="236"/>
        <v>0</v>
      </c>
      <c r="O202" s="61" t="str" cm="1">
        <f t="array" aca="1" ref="O202" ca="1">INDIRECT("Vergleich!"&amp;$Y$2&amp;Z202)</f>
        <v>gering</v>
      </c>
      <c r="P202" s="61" cm="1">
        <f t="array" aca="1" ref="P202" ca="1">INDIRECT("Unterhalt!"&amp;$AB$5&amp;AA202)</f>
        <v>0</v>
      </c>
      <c r="Q202" s="61">
        <f ca="1">IF(O202=Auswahllisten!$E$26,0.8,IF(O202=Auswahllisten!$E$27,1,IF(O202=Auswahllisten!$E$29,1.2,0)))</f>
        <v>0.8</v>
      </c>
      <c r="R202" s="61">
        <f t="shared" ca="1" si="237"/>
        <v>0</v>
      </c>
      <c r="S202" s="61" cm="1">
        <f t="array" aca="1" ref="S202" ca="1">INDIRECT("Unterhalt!"&amp;$AB$6&amp;AA202)</f>
        <v>0</v>
      </c>
      <c r="T202" s="61">
        <f ca="1">IF(O202=Auswahllisten!$E$26,0.8,IF(O202=Auswahllisten!$E$27,1,IF(O202=Auswahllisten!$E$29,1.2,0)))</f>
        <v>0.8</v>
      </c>
      <c r="U202" s="61">
        <f t="shared" ca="1" si="238"/>
        <v>0</v>
      </c>
      <c r="V202" s="61">
        <f t="shared" ca="1" si="179"/>
        <v>0</v>
      </c>
      <c r="W202" s="25" t="b">
        <f ca="1">OR($U$5=10,$U$5=11,$U$5=12,$U$5=13)</f>
        <v>0</v>
      </c>
      <c r="X202" s="61">
        <f t="shared" ca="1" si="239"/>
        <v>0</v>
      </c>
      <c r="Z202" s="1">
        <f t="shared" si="240"/>
        <v>54</v>
      </c>
      <c r="AA202" s="1">
        <v>46</v>
      </c>
      <c r="AB202" s="1">
        <v>-1</v>
      </c>
    </row>
    <row r="203" spans="1:28">
      <c r="A203" s="8"/>
      <c r="M203" s="69"/>
      <c r="Z203" s="1">
        <f t="shared" si="240"/>
        <v>54</v>
      </c>
      <c r="AA203" s="1">
        <v>47</v>
      </c>
      <c r="AB203" s="1">
        <v>-1</v>
      </c>
    </row>
    <row r="204" spans="1:28">
      <c r="A204" s="8" t="s">
        <v>1008</v>
      </c>
      <c r="B204" s="8" t="s">
        <v>1062</v>
      </c>
      <c r="D204" s="394"/>
      <c r="E204" s="394"/>
      <c r="F204" s="394"/>
      <c r="G204" s="394"/>
      <c r="H204" s="394"/>
      <c r="I204" s="394"/>
      <c r="J204" s="394"/>
      <c r="K204" s="394"/>
      <c r="L204" s="155">
        <v>8</v>
      </c>
      <c r="M204" s="69"/>
      <c r="O204" s="394"/>
      <c r="P204" s="394"/>
      <c r="Q204" s="394"/>
      <c r="R204" s="394"/>
      <c r="S204" s="394"/>
      <c r="T204" s="394"/>
      <c r="U204" s="394"/>
      <c r="V204" s="394"/>
      <c r="W204" s="394"/>
      <c r="X204" s="394"/>
      <c r="Z204" s="1">
        <f t="shared" si="240"/>
        <v>54</v>
      </c>
      <c r="AA204" s="1">
        <v>48</v>
      </c>
      <c r="AB204" s="1">
        <v>-1</v>
      </c>
    </row>
    <row r="205" spans="1:28">
      <c r="A205" s="117"/>
      <c r="B205" s="55"/>
      <c r="C205" s="5" t="s">
        <v>255</v>
      </c>
      <c r="D205" s="25" t="str" cm="1">
        <f t="array" aca="1" ref="D205" ca="1">INDIRECT("Vergleich!"&amp;$G$2&amp;Z205)</f>
        <v>mittel</v>
      </c>
      <c r="E205" s="25" cm="1">
        <f t="array" aca="1" ref="E205" ca="1">INDIRECT("Unterhalt!"&amp;$J$5&amp;AA205)</f>
        <v>10</v>
      </c>
      <c r="F205" s="25">
        <f ca="1">IF(D205=Auswahllisten!$E$26,0.8,IF(D205=Auswahllisten!$E$27,1,IF(D205=Auswahllisten!$E$28,1.2,0)))</f>
        <v>1</v>
      </c>
      <c r="G205" s="25">
        <f t="shared" ref="G205:G208" ca="1" si="241">E205*F205</f>
        <v>10</v>
      </c>
      <c r="H205" s="25" cm="1">
        <f t="array" aca="1" ref="H205" ca="1">INDIRECT("Unterhalt!"&amp;$J$6&amp;AA205)</f>
        <v>10</v>
      </c>
      <c r="I205" s="25">
        <f ca="1">IF(D205=Auswahllisten!$E$26,0.8,IF(D205=Auswahllisten!$E$27,1,IF(D205=Auswahllisten!$E$28,1.2,0)))</f>
        <v>1</v>
      </c>
      <c r="J205" s="25">
        <f t="shared" ref="J205:J208" ca="1" si="242">H205*I205</f>
        <v>10</v>
      </c>
      <c r="K205" s="25">
        <f t="shared" ref="K205:K208" ca="1" si="243">IF($C$5=0,0,G205+(J205-G205)*($C$6-$F$5)/($F$6-$F$5))</f>
        <v>0</v>
      </c>
      <c r="L205" s="25" t="b">
        <f ca="1">($L$204=$C$5)</f>
        <v>0</v>
      </c>
      <c r="M205" s="162">
        <f t="shared" ref="M205:M208" ca="1" si="244">ROUND(K205*L205,AB205)</f>
        <v>0</v>
      </c>
      <c r="O205" s="25" t="str" cm="1">
        <f t="array" aca="1" ref="O205" ca="1">INDIRECT("Vergleich!"&amp;$Y$2&amp;Z205)</f>
        <v>gering</v>
      </c>
      <c r="P205" s="25" cm="1">
        <f t="array" aca="1" ref="P205" ca="1">INDIRECT("Unterhalt!"&amp;$AB$5&amp;AA205)</f>
        <v>10</v>
      </c>
      <c r="Q205" s="25">
        <f ca="1">IF(O205=Auswahllisten!$E$26,0.8,IF(O205=Auswahllisten!$E$27,1,IF(O205=Auswahllisten!$E$28,1.2,0)))</f>
        <v>0.8</v>
      </c>
      <c r="R205" s="25">
        <f t="shared" ref="R205:R208" ca="1" si="245">P205*Q205</f>
        <v>8</v>
      </c>
      <c r="S205" s="25" cm="1">
        <f t="array" aca="1" ref="S205" ca="1">INDIRECT("Unterhalt!"&amp;$AB$6&amp;AA205)</f>
        <v>10</v>
      </c>
      <c r="T205" s="25">
        <f ca="1">IF(O205=Auswahllisten!$E$26,0.8,IF(O205=Auswahllisten!$E$27,1,IF(O205=Auswahllisten!$E$28,1.2,0)))</f>
        <v>0.8</v>
      </c>
      <c r="U205" s="25">
        <f t="shared" ref="U205:U208" ca="1" si="246">S205*T205</f>
        <v>8</v>
      </c>
      <c r="V205" s="25">
        <f t="shared" ca="1" si="179"/>
        <v>0</v>
      </c>
      <c r="W205" s="25" t="b">
        <f ca="1">($L$204=$U$5)</f>
        <v>0</v>
      </c>
      <c r="X205" s="25">
        <f t="shared" ref="X205:X208" ca="1" si="247">ROUND(V205*W205,AB205)</f>
        <v>0</v>
      </c>
      <c r="Z205" s="1">
        <f t="shared" si="240"/>
        <v>54</v>
      </c>
      <c r="AA205" s="1">
        <v>49</v>
      </c>
      <c r="AB205" s="1">
        <v>-1</v>
      </c>
    </row>
    <row r="206" spans="1:28">
      <c r="A206" s="71"/>
      <c r="B206" s="71"/>
      <c r="C206" s="2" t="s">
        <v>256</v>
      </c>
      <c r="D206" s="16" t="str" cm="1">
        <f t="array" aca="1" ref="D206" ca="1">INDIRECT("Vergleich!"&amp;$G$2&amp;Z206)</f>
        <v>mittel</v>
      </c>
      <c r="E206" s="25" cm="1">
        <f t="array" aca="1" ref="E206" ca="1">INDIRECT("Unterhalt!"&amp;$J$5&amp;AA206)</f>
        <v>11</v>
      </c>
      <c r="F206" s="25">
        <f ca="1">IF(D206=Auswahllisten!$E$26,0.8,IF(D206=Auswahllisten!$E$27,1,IF(D206=Auswahllisten!$E$28,1.2,0)))</f>
        <v>1</v>
      </c>
      <c r="G206" s="25">
        <f t="shared" ca="1" si="241"/>
        <v>11</v>
      </c>
      <c r="H206" s="25" cm="1">
        <f t="array" aca="1" ref="H206" ca="1">INDIRECT("Unterhalt!"&amp;$J$6&amp;AA206)</f>
        <v>11</v>
      </c>
      <c r="I206" s="25">
        <f ca="1">IF(D206=Auswahllisten!$E$26,0.8,IF(D206=Auswahllisten!$E$27,1,IF(D206=Auswahllisten!$E$28,1.2,0)))</f>
        <v>1</v>
      </c>
      <c r="J206" s="25">
        <f t="shared" ca="1" si="242"/>
        <v>11</v>
      </c>
      <c r="K206" s="25">
        <f t="shared" ca="1" si="243"/>
        <v>0</v>
      </c>
      <c r="L206" s="25" t="b">
        <f ca="1">($L$204=$C$5)</f>
        <v>0</v>
      </c>
      <c r="M206" s="162">
        <f t="shared" ca="1" si="244"/>
        <v>0</v>
      </c>
      <c r="O206" s="25" t="str" cm="1">
        <f t="array" aca="1" ref="O206" ca="1">INDIRECT("Vergleich!"&amp;$Y$2&amp;Z206)</f>
        <v>gering</v>
      </c>
      <c r="P206" s="25" cm="1">
        <f t="array" aca="1" ref="P206" ca="1">INDIRECT("Unterhalt!"&amp;$AB$5&amp;AA206)</f>
        <v>11</v>
      </c>
      <c r="Q206" s="25">
        <f ca="1">IF(O206=Auswahllisten!$E$26,0.8,IF(O206=Auswahllisten!$E$27,1,IF(O206=Auswahllisten!$E$28,1.2,0)))</f>
        <v>0.8</v>
      </c>
      <c r="R206" s="25">
        <f t="shared" ca="1" si="245"/>
        <v>8.8000000000000007</v>
      </c>
      <c r="S206" s="25" cm="1">
        <f t="array" aca="1" ref="S206" ca="1">INDIRECT("Unterhalt!"&amp;$AB$6&amp;AA206)</f>
        <v>11</v>
      </c>
      <c r="T206" s="25">
        <f ca="1">IF(O206=Auswahllisten!$E$26,0.8,IF(O206=Auswahllisten!$E$27,1,IF(O206=Auswahllisten!$E$28,1.2,0)))</f>
        <v>0.8</v>
      </c>
      <c r="U206" s="25">
        <f t="shared" ca="1" si="246"/>
        <v>8.8000000000000007</v>
      </c>
      <c r="V206" s="25">
        <f t="shared" ca="1" si="179"/>
        <v>0</v>
      </c>
      <c r="W206" s="25" t="b">
        <f ca="1">($L$204=$U$5)</f>
        <v>0</v>
      </c>
      <c r="X206" s="25">
        <f t="shared" ca="1" si="247"/>
        <v>0</v>
      </c>
      <c r="Z206" s="1">
        <f t="shared" si="240"/>
        <v>54</v>
      </c>
      <c r="AA206" s="1">
        <v>50</v>
      </c>
      <c r="AB206" s="1">
        <v>-1</v>
      </c>
    </row>
    <row r="207" spans="1:28">
      <c r="A207" s="94"/>
      <c r="B207" s="94"/>
      <c r="C207" s="142" t="s">
        <v>335</v>
      </c>
      <c r="D207" s="93" t="str" cm="1">
        <f t="array" aca="1" ref="D207" ca="1">INDIRECT("Vergleich!"&amp;$G$2&amp;Z207)</f>
        <v>mittel</v>
      </c>
      <c r="E207" s="61" cm="1">
        <f t="array" aca="1" ref="E207" ca="1">INDIRECT("Unterhalt!"&amp;$J$5&amp;AA207)</f>
        <v>12</v>
      </c>
      <c r="F207" s="61">
        <f ca="1">IF(D207=Auswahllisten!$E$26,0.8,IF(D207=Auswahllisten!$E$27,1,IF(D207=Auswahllisten!$E$28,1.2,0)))</f>
        <v>1</v>
      </c>
      <c r="G207" s="61">
        <f t="shared" ca="1" si="241"/>
        <v>12</v>
      </c>
      <c r="H207" s="61" cm="1">
        <f t="array" aca="1" ref="H207" ca="1">INDIRECT("Unterhalt!"&amp;$J$6&amp;AA207)</f>
        <v>12</v>
      </c>
      <c r="I207" s="61">
        <f ca="1">IF(D207=Auswahllisten!$E$26,0.8,IF(D207=Auswahllisten!$E$27,1,IF(D207=Auswahllisten!$E$28,1.2,0)))</f>
        <v>1</v>
      </c>
      <c r="J207" s="61">
        <f t="shared" ca="1" si="242"/>
        <v>12</v>
      </c>
      <c r="K207" s="61">
        <f t="shared" ca="1" si="243"/>
        <v>0</v>
      </c>
      <c r="L207" s="61" t="b">
        <f ca="1">($L$204=$C$5)</f>
        <v>0</v>
      </c>
      <c r="M207" s="216">
        <f t="shared" ca="1" si="244"/>
        <v>0</v>
      </c>
      <c r="O207" s="61" t="str" cm="1">
        <f t="array" aca="1" ref="O207" ca="1">INDIRECT("Vergleich!"&amp;$Y$2&amp;Z207)</f>
        <v>gering</v>
      </c>
      <c r="P207" s="61" cm="1">
        <f t="array" aca="1" ref="P207" ca="1">INDIRECT("Unterhalt!"&amp;$AB$5&amp;AA207)</f>
        <v>12</v>
      </c>
      <c r="Q207" s="61">
        <f ca="1">IF(O207=Auswahllisten!$E$26,0.8,IF(O207=Auswahllisten!$E$27,1,IF(O207=Auswahllisten!$E$28,1.2,0)))</f>
        <v>0.8</v>
      </c>
      <c r="R207" s="61">
        <f t="shared" ca="1" si="245"/>
        <v>9.6000000000000014</v>
      </c>
      <c r="S207" s="61" cm="1">
        <f t="array" aca="1" ref="S207" ca="1">INDIRECT("Unterhalt!"&amp;$AB$6&amp;AA207)</f>
        <v>12</v>
      </c>
      <c r="T207" s="61">
        <f ca="1">IF(O207=Auswahllisten!$E$26,0.8,IF(O207=Auswahllisten!$E$27,1,IF(O207=Auswahllisten!$E$28,1.2,0)))</f>
        <v>0.8</v>
      </c>
      <c r="U207" s="61">
        <f t="shared" ca="1" si="246"/>
        <v>9.6000000000000014</v>
      </c>
      <c r="V207" s="61">
        <f t="shared" ca="1" si="179"/>
        <v>0</v>
      </c>
      <c r="W207" s="61" t="b">
        <f ca="1">($L$204=$U$5)</f>
        <v>0</v>
      </c>
      <c r="X207" s="61">
        <f t="shared" ca="1" si="247"/>
        <v>0</v>
      </c>
      <c r="Z207" s="1">
        <f t="shared" si="240"/>
        <v>54</v>
      </c>
      <c r="AA207" s="1">
        <v>51</v>
      </c>
      <c r="AB207" s="1">
        <v>-1</v>
      </c>
    </row>
    <row r="208" spans="1:28">
      <c r="A208" s="63"/>
      <c r="B208" s="63"/>
      <c r="C208" s="297" t="s">
        <v>1213</v>
      </c>
      <c r="D208" s="395"/>
      <c r="E208" s="395" cm="1">
        <f t="array" aca="1" ref="E208" ca="1">INDIRECT("Unterhalt!"&amp;$J$5&amp;AA208)</f>
        <v>0.3</v>
      </c>
      <c r="F208" s="395">
        <v>1</v>
      </c>
      <c r="G208" s="395">
        <f t="shared" ca="1" si="241"/>
        <v>0.3</v>
      </c>
      <c r="H208" s="395" cm="1">
        <f t="array" aca="1" ref="H208" ca="1">INDIRECT("Unterhalt!"&amp;$J$6&amp;AA208)</f>
        <v>0.3</v>
      </c>
      <c r="I208" s="395">
        <v>1</v>
      </c>
      <c r="J208" s="395">
        <f t="shared" ca="1" si="242"/>
        <v>0.3</v>
      </c>
      <c r="K208" s="395">
        <f t="shared" ca="1" si="243"/>
        <v>0</v>
      </c>
      <c r="L208" s="395" t="b">
        <f ca="1">($L$204=$C$5)</f>
        <v>0</v>
      </c>
      <c r="M208" s="395">
        <f t="shared" ca="1" si="244"/>
        <v>0</v>
      </c>
      <c r="O208" s="395"/>
      <c r="P208" s="395" cm="1">
        <f t="array" aca="1" ref="P208" ca="1">INDIRECT("Unterhalt!"&amp;$AB$5&amp;AA208)</f>
        <v>0.3</v>
      </c>
      <c r="Q208" s="395">
        <v>1</v>
      </c>
      <c r="R208" s="395">
        <f t="shared" ca="1" si="245"/>
        <v>0.3</v>
      </c>
      <c r="S208" s="395" cm="1">
        <f t="array" aca="1" ref="S208" ca="1">INDIRECT("Unterhalt!"&amp;$AB$6&amp;AA208)</f>
        <v>0.3</v>
      </c>
      <c r="T208" s="395">
        <v>1</v>
      </c>
      <c r="U208" s="395">
        <f t="shared" ca="1" si="246"/>
        <v>0.3</v>
      </c>
      <c r="V208" s="395">
        <f t="shared" ca="1" si="179"/>
        <v>0</v>
      </c>
      <c r="W208" s="395" t="b">
        <f ca="1">($L$204=$U$5)</f>
        <v>0</v>
      </c>
      <c r="X208" s="395">
        <f t="shared" ca="1" si="247"/>
        <v>0</v>
      </c>
      <c r="AA208" s="1">
        <v>52</v>
      </c>
      <c r="AB208" s="1">
        <v>2</v>
      </c>
    </row>
    <row r="209" spans="1:28">
      <c r="M209" s="69"/>
      <c r="AB209" s="1">
        <v>-1</v>
      </c>
    </row>
    <row r="210" spans="1:28">
      <c r="B210" s="8" t="s">
        <v>337</v>
      </c>
      <c r="E210" s="1" t="s">
        <v>194</v>
      </c>
      <c r="F210" s="1" t="s">
        <v>348</v>
      </c>
      <c r="G210" s="1" t="s">
        <v>131</v>
      </c>
      <c r="M210" s="69"/>
      <c r="AB210" s="1">
        <v>-1</v>
      </c>
    </row>
    <row r="211" spans="1:28">
      <c r="A211" s="55"/>
      <c r="B211" s="55"/>
      <c r="C211" s="5" t="s">
        <v>203</v>
      </c>
      <c r="D211" s="25" t="str" cm="1">
        <f t="array" aca="1" ref="D211" ca="1">INDIRECT("Vergleich!"&amp;$G$2&amp;Z211)</f>
        <v>mittel</v>
      </c>
      <c r="E211" s="25">
        <f ca="1">IF(E140&lt;10,Standardwerte!I57,IF(E140&lt;32,Standardwerte!I58,Standardwerte!I59))</f>
        <v>0</v>
      </c>
      <c r="F211" s="25">
        <f ca="1">IF(D211=Auswahllisten!$E$26,0.8,IF(D211=Auswahllisten!$E$27,1,IF(D211=Auswahllisten!$E$28,1.2,1)))</f>
        <v>1</v>
      </c>
      <c r="G211" s="162" cm="1">
        <f t="array" aca="1" ref="G211" ca="1">INDIRECT("Energie!"&amp;$G$10&amp;AA211)</f>
        <v>0</v>
      </c>
      <c r="H211" s="25"/>
      <c r="I211" s="25"/>
      <c r="J211" s="25"/>
      <c r="K211" s="25"/>
      <c r="L211" s="25"/>
      <c r="M211" s="162">
        <f ca="1">ROUND(E211*F211*G211,AB211)*I12</f>
        <v>0</v>
      </c>
      <c r="Z211" s="1">
        <v>19</v>
      </c>
      <c r="AA211" s="1">
        <v>64</v>
      </c>
      <c r="AB211" s="1">
        <v>-1</v>
      </c>
    </row>
    <row r="212" spans="1:28">
      <c r="AB212" s="1">
        <v>-1</v>
      </c>
    </row>
    <row r="213" spans="1:28">
      <c r="B213" s="8" t="s">
        <v>677</v>
      </c>
      <c r="E213" s="1" t="s">
        <v>194</v>
      </c>
      <c r="F213" s="1" t="s">
        <v>348</v>
      </c>
      <c r="G213" s="1" t="s">
        <v>131</v>
      </c>
      <c r="AB213" s="1">
        <v>-1</v>
      </c>
    </row>
    <row r="214" spans="1:28">
      <c r="A214" s="55"/>
      <c r="B214" s="55"/>
      <c r="C214" s="5" t="s">
        <v>203</v>
      </c>
      <c r="D214" s="25" t="str" cm="1">
        <f t="array" aca="1" ref="D214" ca="1">INDIRECT("Vergleich!"&amp;$G$2&amp;Z214)</f>
        <v>mittel</v>
      </c>
      <c r="E214" s="25">
        <f ca="1">IF((E146+E148)&lt;=10,Standardwerte!O66,IF((E146+E148)&lt;=30,Standardwerte!O67,IF((E146+E148)&lt;=100,Standardwerte!O68,Standardwerte!O69)))</f>
        <v>0.03</v>
      </c>
      <c r="F214" s="25">
        <f ca="1">IF(D214=Auswahllisten!$E$26,0.8,IF(D214=Auswahllisten!$E$27,1,IF(D214=Auswahllisten!$E$28,1.2,1)))</f>
        <v>1</v>
      </c>
      <c r="G214" s="162" cm="1">
        <f t="array" aca="1" ref="G214" ca="1">INDIRECT("Energie!"&amp;$G$10&amp;AA214)</f>
        <v>0</v>
      </c>
      <c r="H214" s="25"/>
      <c r="I214" s="25"/>
      <c r="J214" s="25"/>
      <c r="K214" s="25"/>
      <c r="L214" s="25"/>
      <c r="M214" s="162">
        <f ca="1">ROUND(E214*F214*G214,AB214)*I13</f>
        <v>0</v>
      </c>
      <c r="Z214" s="1">
        <v>98</v>
      </c>
      <c r="AA214" s="1">
        <v>84</v>
      </c>
      <c r="AB214" s="1">
        <v>-1</v>
      </c>
    </row>
  </sheetData>
  <mergeCells count="6">
    <mergeCell ref="BX18:BY18"/>
    <mergeCell ref="AX18:AY18"/>
    <mergeCell ref="AZ18:BD18"/>
    <mergeCell ref="BE18:BF18"/>
    <mergeCell ref="BQ18:BR18"/>
    <mergeCell ref="BS18:BW18"/>
  </mergeCells>
  <pageMargins left="0.7" right="0.7" top="0.78740157499999996" bottom="0.78740157499999996"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FF0000"/>
  </sheetPr>
  <dimension ref="B2:AJ58"/>
  <sheetViews>
    <sheetView workbookViewId="0">
      <pane xSplit="3" ySplit="7" topLeftCell="R19" activePane="bottomRight" state="frozen"/>
      <selection pane="topRight" activeCell="D1" sqref="D1"/>
      <selection pane="bottomLeft" activeCell="A8" sqref="A8"/>
      <selection pane="bottomRight" activeCell="C2" sqref="C2"/>
    </sheetView>
  </sheetViews>
  <sheetFormatPr baseColWidth="10" defaultRowHeight="15"/>
  <cols>
    <col min="1" max="1" width="3.140625" customWidth="1"/>
    <col min="3" max="3" width="41.42578125" customWidth="1"/>
    <col min="4" max="4" width="8.42578125" customWidth="1"/>
    <col min="5" max="6" width="16.5703125" customWidth="1"/>
    <col min="7" max="28" width="10.140625" customWidth="1"/>
    <col min="30" max="30" width="18" customWidth="1"/>
  </cols>
  <sheetData>
    <row r="2" spans="2:36">
      <c r="C2" s="17"/>
    </row>
    <row r="3" spans="2:36">
      <c r="C3" s="17"/>
    </row>
    <row r="5" spans="2:36">
      <c r="B5" t="s">
        <v>276</v>
      </c>
      <c r="D5">
        <f ca="1">VLOOKUP(Energie!$R$3,$C$8:$G$49,D6,FALSE)</f>
        <v>555</v>
      </c>
      <c r="E5">
        <f ca="1">VLOOKUP(Energie!$R$3,$C$8:$G$49,E6,FALSE)</f>
        <v>-7</v>
      </c>
      <c r="F5">
        <f ca="1">VLOOKUP(Energie!$R$3,$C$8:$G$49,F6,FALSE)</f>
        <v>9.6</v>
      </c>
      <c r="G5">
        <f ca="1">VLOOKUP(Energie!$R$3,$C$8:$G$49,G6,FALSE)</f>
        <v>3334</v>
      </c>
    </row>
    <row r="6" spans="2:36">
      <c r="B6" t="s">
        <v>183</v>
      </c>
      <c r="D6">
        <v>2</v>
      </c>
      <c r="E6">
        <v>3</v>
      </c>
      <c r="F6">
        <v>4</v>
      </c>
      <c r="G6">
        <v>5</v>
      </c>
      <c r="H6">
        <v>6</v>
      </c>
      <c r="I6">
        <v>7</v>
      </c>
      <c r="J6">
        <v>8</v>
      </c>
      <c r="K6">
        <v>9</v>
      </c>
      <c r="L6">
        <v>10</v>
      </c>
      <c r="M6">
        <v>11</v>
      </c>
      <c r="N6">
        <v>12</v>
      </c>
      <c r="O6">
        <v>13</v>
      </c>
      <c r="P6">
        <v>14</v>
      </c>
      <c r="Q6">
        <v>15</v>
      </c>
      <c r="R6">
        <v>16</v>
      </c>
      <c r="S6">
        <v>17</v>
      </c>
      <c r="T6">
        <v>18</v>
      </c>
      <c r="U6">
        <v>19</v>
      </c>
      <c r="V6">
        <v>20</v>
      </c>
      <c r="W6">
        <v>21</v>
      </c>
      <c r="X6">
        <v>22</v>
      </c>
      <c r="Y6">
        <v>23</v>
      </c>
      <c r="Z6">
        <v>24</v>
      </c>
      <c r="AA6">
        <v>25</v>
      </c>
      <c r="AB6">
        <v>26</v>
      </c>
      <c r="AD6" s="10"/>
      <c r="AE6" s="10" t="s">
        <v>183</v>
      </c>
      <c r="AF6" s="10" t="s">
        <v>288</v>
      </c>
    </row>
    <row r="7" spans="2:36">
      <c r="B7" s="9" t="s">
        <v>7</v>
      </c>
      <c r="C7" s="15" t="s">
        <v>121</v>
      </c>
      <c r="D7" s="9" t="s">
        <v>156</v>
      </c>
      <c r="E7" s="39" t="s">
        <v>155</v>
      </c>
      <c r="F7" s="41" t="s">
        <v>144</v>
      </c>
      <c r="G7" s="41" t="s">
        <v>274</v>
      </c>
      <c r="H7" s="41" t="s">
        <v>277</v>
      </c>
      <c r="I7" s="41" t="s">
        <v>278</v>
      </c>
      <c r="J7" s="41" t="s">
        <v>279</v>
      </c>
      <c r="K7" s="41" t="s">
        <v>280</v>
      </c>
      <c r="L7" s="41" t="s">
        <v>281</v>
      </c>
      <c r="M7" s="41" t="s">
        <v>282</v>
      </c>
      <c r="N7" s="41" t="s">
        <v>283</v>
      </c>
      <c r="O7" s="41" t="s">
        <v>284</v>
      </c>
      <c r="P7" s="41" t="s">
        <v>285</v>
      </c>
      <c r="Q7" s="41" t="s">
        <v>286</v>
      </c>
      <c r="R7" s="41" t="s">
        <v>287</v>
      </c>
      <c r="S7" s="41" t="s">
        <v>662</v>
      </c>
      <c r="T7" s="41" t="s">
        <v>663</v>
      </c>
      <c r="U7" s="41" t="s">
        <v>664</v>
      </c>
      <c r="V7" s="41" t="s">
        <v>665</v>
      </c>
      <c r="W7" s="41" t="s">
        <v>1799</v>
      </c>
      <c r="X7" s="41" t="s">
        <v>1800</v>
      </c>
      <c r="Y7" s="41" t="s">
        <v>1801</v>
      </c>
      <c r="Z7" s="41" t="s">
        <v>1802</v>
      </c>
      <c r="AA7" s="41" t="s">
        <v>1803</v>
      </c>
      <c r="AB7" s="41" t="s">
        <v>1804</v>
      </c>
      <c r="AD7" s="44" t="s">
        <v>156</v>
      </c>
      <c r="AE7" s="45">
        <v>2</v>
      </c>
      <c r="AF7" s="45">
        <f ca="1">VLOOKUP(Energie!$R$3,$C$8:$AB$49,AE7,FALSE)</f>
        <v>555</v>
      </c>
    </row>
    <row r="8" spans="2:36">
      <c r="B8" s="389">
        <v>0</v>
      </c>
      <c r="C8" s="389"/>
      <c r="D8" s="389">
        <v>0</v>
      </c>
      <c r="E8" s="389">
        <v>0</v>
      </c>
      <c r="F8" s="389">
        <v>0</v>
      </c>
      <c r="G8" s="389">
        <v>0</v>
      </c>
      <c r="H8" s="389">
        <v>0</v>
      </c>
      <c r="I8" s="389">
        <v>0</v>
      </c>
      <c r="J8" s="389">
        <v>0</v>
      </c>
      <c r="K8" s="389">
        <v>0</v>
      </c>
      <c r="L8" s="389">
        <v>0</v>
      </c>
      <c r="M8" s="389">
        <v>0</v>
      </c>
      <c r="N8" s="389">
        <v>0</v>
      </c>
      <c r="O8" s="389">
        <v>0</v>
      </c>
      <c r="P8" s="389">
        <v>0</v>
      </c>
      <c r="Q8" s="389">
        <v>0</v>
      </c>
      <c r="R8" s="389">
        <v>0</v>
      </c>
      <c r="S8" s="389">
        <v>0</v>
      </c>
      <c r="T8" s="389">
        <v>0</v>
      </c>
      <c r="U8" s="389">
        <v>0</v>
      </c>
      <c r="V8" s="389">
        <v>0</v>
      </c>
      <c r="W8" s="389">
        <v>0</v>
      </c>
      <c r="X8" s="389">
        <v>0</v>
      </c>
      <c r="Y8" s="389">
        <v>0</v>
      </c>
      <c r="Z8" s="389">
        <v>0</v>
      </c>
      <c r="AA8" s="389">
        <v>0</v>
      </c>
      <c r="AB8" s="389">
        <v>0</v>
      </c>
      <c r="AD8" s="39" t="s">
        <v>155</v>
      </c>
      <c r="AE8" s="10">
        <v>3</v>
      </c>
      <c r="AF8" s="45">
        <f ca="1">VLOOKUP(Energie!$R$3,$C$8:$AB$49,AE8,FALSE)</f>
        <v>-7</v>
      </c>
    </row>
    <row r="9" spans="2:36">
      <c r="B9" s="10">
        <v>1</v>
      </c>
      <c r="C9" s="11" t="str">
        <f ca="1">Sprache!E62</f>
        <v>Bitte wählen …</v>
      </c>
      <c r="D9" s="12">
        <v>0</v>
      </c>
      <c r="E9" s="40">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D9" s="43" t="s">
        <v>144</v>
      </c>
      <c r="AE9" s="10">
        <v>4</v>
      </c>
      <c r="AF9" s="45">
        <f ca="1">VLOOKUP(Energie!$R$3,$C$8:$AB$49,AE9,FALSE)</f>
        <v>9.6</v>
      </c>
      <c r="AG9" s="42"/>
      <c r="AH9" s="42"/>
      <c r="AI9" s="42"/>
      <c r="AJ9" s="42"/>
    </row>
    <row r="10" spans="2:36">
      <c r="B10" s="10">
        <v>2</v>
      </c>
      <c r="C10" s="11" t="str">
        <f ca="1">Sprache!E63</f>
        <v>Adelboden</v>
      </c>
      <c r="D10" s="12">
        <v>1320</v>
      </c>
      <c r="E10" s="40">
        <v>-10</v>
      </c>
      <c r="F10" s="12">
        <v>6.1</v>
      </c>
      <c r="G10" s="10">
        <v>4669</v>
      </c>
      <c r="H10" s="87">
        <v>5074</v>
      </c>
      <c r="I10" s="87">
        <v>4209</v>
      </c>
      <c r="J10" s="88">
        <v>4502</v>
      </c>
      <c r="K10" s="87">
        <v>4812</v>
      </c>
      <c r="L10" s="87">
        <v>4281</v>
      </c>
      <c r="M10" s="87">
        <v>4351</v>
      </c>
      <c r="N10" s="87">
        <v>4453</v>
      </c>
      <c r="O10" s="87">
        <v>4444</v>
      </c>
      <c r="P10" s="87">
        <v>3954</v>
      </c>
      <c r="Q10" s="87">
        <v>4290</v>
      </c>
      <c r="R10" s="10">
        <v>4083</v>
      </c>
      <c r="S10" s="10">
        <v>4485</v>
      </c>
      <c r="T10" s="10">
        <v>3785</v>
      </c>
      <c r="U10">
        <v>3876</v>
      </c>
      <c r="V10" s="10">
        <v>3978</v>
      </c>
      <c r="W10" s="10">
        <v>4112</v>
      </c>
      <c r="X10" s="10"/>
      <c r="Y10" s="10"/>
      <c r="Z10" s="10"/>
      <c r="AA10" s="10"/>
      <c r="AB10" s="10"/>
      <c r="AD10" s="43" t="s">
        <v>274</v>
      </c>
      <c r="AE10" s="10">
        <v>5</v>
      </c>
      <c r="AF10" s="45">
        <f ca="1">VLOOKUP(Energie!$R$3,$C$8:$AB$49,AE10,FALSE)</f>
        <v>3334</v>
      </c>
      <c r="AG10" s="42"/>
      <c r="AH10" s="42"/>
      <c r="AJ10" s="42"/>
    </row>
    <row r="11" spans="2:36">
      <c r="B11" s="10">
        <v>3</v>
      </c>
      <c r="C11" s="11" t="str">
        <f ca="1">Sprache!E64</f>
        <v>Aigle</v>
      </c>
      <c r="D11" s="12">
        <v>381</v>
      </c>
      <c r="E11" s="40">
        <v>-6</v>
      </c>
      <c r="F11" s="12">
        <v>10.1</v>
      </c>
      <c r="G11" s="10">
        <v>3152</v>
      </c>
      <c r="H11" s="87">
        <v>3242</v>
      </c>
      <c r="I11" s="87">
        <v>2778</v>
      </c>
      <c r="J11" s="87">
        <v>2917</v>
      </c>
      <c r="K11" s="87">
        <v>3177</v>
      </c>
      <c r="L11" s="87">
        <v>2535</v>
      </c>
      <c r="M11" s="87">
        <v>2936</v>
      </c>
      <c r="N11" s="87">
        <v>3049</v>
      </c>
      <c r="O11" s="87">
        <v>3190</v>
      </c>
      <c r="P11" s="87">
        <v>2700</v>
      </c>
      <c r="Q11" s="87">
        <v>2919</v>
      </c>
      <c r="R11" s="10">
        <v>2799</v>
      </c>
      <c r="S11" s="10">
        <v>3189</v>
      </c>
      <c r="T11" s="10">
        <v>2682</v>
      </c>
      <c r="U11" s="10">
        <v>2700</v>
      </c>
      <c r="V11" s="10">
        <v>2661</v>
      </c>
      <c r="W11" s="10">
        <v>2729</v>
      </c>
      <c r="X11" s="10"/>
      <c r="Y11" s="10"/>
      <c r="Z11" s="10"/>
      <c r="AA11" s="10"/>
      <c r="AB11" s="10"/>
      <c r="AD11" s="43">
        <v>2010</v>
      </c>
      <c r="AE11" s="10">
        <v>6</v>
      </c>
      <c r="AF11" s="45">
        <f ca="1">VLOOKUP(Energie!$R$3,$C$8:$AB$49,AE11,FALSE)</f>
        <v>3315</v>
      </c>
      <c r="AG11" s="42"/>
      <c r="AH11" s="42"/>
      <c r="AJ11" s="42"/>
    </row>
    <row r="12" spans="2:36">
      <c r="B12" s="10">
        <v>4</v>
      </c>
      <c r="C12" s="11" t="str">
        <f ca="1">Sprache!E65</f>
        <v>Altdorf</v>
      </c>
      <c r="D12" s="12">
        <v>449</v>
      </c>
      <c r="E12" s="40">
        <v>-6</v>
      </c>
      <c r="F12" s="12">
        <v>9</v>
      </c>
      <c r="G12" s="10">
        <v>3201</v>
      </c>
      <c r="H12" s="87">
        <v>3310</v>
      </c>
      <c r="I12" s="87">
        <v>2766</v>
      </c>
      <c r="J12" s="88">
        <v>3132</v>
      </c>
      <c r="K12" s="87">
        <v>3302</v>
      </c>
      <c r="L12" s="87">
        <v>2601</v>
      </c>
      <c r="M12" s="87">
        <v>3059</v>
      </c>
      <c r="N12" s="87">
        <v>3029</v>
      </c>
      <c r="O12" s="87">
        <v>3169</v>
      </c>
      <c r="P12" s="87">
        <v>2635</v>
      </c>
      <c r="Q12" s="87">
        <v>2920</v>
      </c>
      <c r="R12" s="10">
        <v>2896</v>
      </c>
      <c r="S12" s="10">
        <v>3289</v>
      </c>
      <c r="T12" s="10">
        <v>2793</v>
      </c>
      <c r="U12" s="10">
        <v>2793</v>
      </c>
      <c r="V12" s="10">
        <v>2743</v>
      </c>
      <c r="W12" s="10">
        <v>2762</v>
      </c>
      <c r="X12" s="10"/>
      <c r="Y12" s="10"/>
      <c r="Z12" s="10"/>
      <c r="AA12" s="10"/>
      <c r="AB12" s="10"/>
      <c r="AD12" s="43">
        <v>2011</v>
      </c>
      <c r="AE12" s="10">
        <v>7</v>
      </c>
      <c r="AF12" s="45">
        <f ca="1">VLOOKUP(Energie!$R$3,$C$8:$AB$49,AE12,FALSE)</f>
        <v>2822</v>
      </c>
      <c r="AG12" s="42"/>
      <c r="AJ12" s="42"/>
    </row>
    <row r="13" spans="2:36">
      <c r="B13" s="10">
        <v>5</v>
      </c>
      <c r="C13" s="11" t="str">
        <f ca="1">Sprache!E66</f>
        <v>Basel-Binningen</v>
      </c>
      <c r="D13" s="12">
        <v>316</v>
      </c>
      <c r="E13" s="40">
        <v>-7</v>
      </c>
      <c r="F13" s="12">
        <v>10.5</v>
      </c>
      <c r="G13" s="10">
        <v>3034</v>
      </c>
      <c r="H13" s="87">
        <v>3275</v>
      </c>
      <c r="I13" s="87">
        <v>2604</v>
      </c>
      <c r="J13" s="88">
        <v>2927</v>
      </c>
      <c r="K13" s="87">
        <v>3112</v>
      </c>
      <c r="L13" s="87">
        <v>2399</v>
      </c>
      <c r="M13" s="87">
        <v>2678</v>
      </c>
      <c r="N13" s="87">
        <v>3025</v>
      </c>
      <c r="O13" s="87">
        <v>2870</v>
      </c>
      <c r="P13" s="87">
        <v>2620</v>
      </c>
      <c r="Q13" s="87">
        <v>2708</v>
      </c>
      <c r="R13" s="10">
        <v>2507</v>
      </c>
      <c r="S13" s="10">
        <v>3058</v>
      </c>
      <c r="T13" s="10">
        <v>2503</v>
      </c>
      <c r="U13" s="10">
        <v>2456</v>
      </c>
      <c r="V13" s="10">
        <v>2511</v>
      </c>
      <c r="W13" s="10">
        <v>2712</v>
      </c>
      <c r="X13" s="10"/>
      <c r="Y13" s="10"/>
      <c r="Z13" s="10"/>
      <c r="AA13" s="10"/>
      <c r="AB13" s="10"/>
      <c r="AD13" s="43">
        <v>2012</v>
      </c>
      <c r="AE13" s="10">
        <v>8</v>
      </c>
      <c r="AF13" s="45">
        <f ca="1">VLOOKUP(Energie!$R$3,$C$8:$AB$49,AE13,FALSE)</f>
        <v>3160</v>
      </c>
      <c r="AG13" s="42"/>
      <c r="AJ13" s="42"/>
    </row>
    <row r="14" spans="2:36">
      <c r="B14" s="10">
        <v>6</v>
      </c>
      <c r="C14" s="11" t="str">
        <f ca="1">Sprache!E67</f>
        <v>Bern-Liebefeld</v>
      </c>
      <c r="D14" s="12">
        <v>565</v>
      </c>
      <c r="E14" s="40">
        <v>-7</v>
      </c>
      <c r="F14" s="12">
        <v>9.1</v>
      </c>
      <c r="G14" s="10">
        <v>3513</v>
      </c>
      <c r="H14" s="87">
        <v>3722</v>
      </c>
      <c r="I14" s="87">
        <v>3036</v>
      </c>
      <c r="J14" s="88">
        <v>3524</v>
      </c>
      <c r="K14" s="87">
        <v>3670</v>
      </c>
      <c r="L14" s="87">
        <v>3000</v>
      </c>
      <c r="M14" s="87">
        <v>3307</v>
      </c>
      <c r="N14" s="87">
        <v>3472.1</v>
      </c>
      <c r="O14" s="87">
        <v>3491</v>
      </c>
      <c r="P14" s="87">
        <v>3083.4</v>
      </c>
      <c r="Q14" s="87">
        <v>3297.1</v>
      </c>
      <c r="R14" s="10">
        <v>3114</v>
      </c>
      <c r="S14" s="10">
        <v>3536</v>
      </c>
      <c r="T14" s="10">
        <v>2969</v>
      </c>
      <c r="U14" s="10">
        <v>3003</v>
      </c>
      <c r="V14" s="10">
        <v>3028</v>
      </c>
      <c r="W14" s="10">
        <v>3232</v>
      </c>
      <c r="X14" s="10"/>
      <c r="Y14" s="10"/>
      <c r="Z14" s="10"/>
      <c r="AA14" s="10"/>
      <c r="AB14" s="10"/>
      <c r="AD14" s="43">
        <v>2013</v>
      </c>
      <c r="AE14" s="10">
        <v>9</v>
      </c>
      <c r="AF14" s="45">
        <f ca="1">VLOOKUP(Energie!$R$3,$C$8:$AB$49,AE14,FALSE)</f>
        <v>3242</v>
      </c>
      <c r="AG14" s="42"/>
      <c r="AJ14" s="42"/>
    </row>
    <row r="15" spans="2:36">
      <c r="B15" s="10">
        <v>7</v>
      </c>
      <c r="C15" s="11" t="str">
        <f ca="1">Sprache!E68</f>
        <v>Buchs-Aarau</v>
      </c>
      <c r="D15" s="12">
        <v>387</v>
      </c>
      <c r="E15" s="40">
        <v>-7</v>
      </c>
      <c r="F15" s="12">
        <v>9.6999999999999993</v>
      </c>
      <c r="G15" s="10">
        <v>3325</v>
      </c>
      <c r="H15" s="87">
        <v>3517</v>
      </c>
      <c r="I15" s="87">
        <v>2883</v>
      </c>
      <c r="J15" s="88">
        <v>3235</v>
      </c>
      <c r="K15" s="87">
        <v>3410</v>
      </c>
      <c r="L15" s="87">
        <v>2734</v>
      </c>
      <c r="M15" s="87">
        <v>3030</v>
      </c>
      <c r="N15" s="87">
        <v>3264</v>
      </c>
      <c r="O15" s="87">
        <v>3210</v>
      </c>
      <c r="P15" s="87">
        <v>2850</v>
      </c>
      <c r="Q15" s="87">
        <v>2985</v>
      </c>
      <c r="R15" s="10">
        <v>2873</v>
      </c>
      <c r="S15" s="10">
        <v>3315</v>
      </c>
      <c r="T15" s="10">
        <v>2732</v>
      </c>
      <c r="U15" s="10">
        <v>2758</v>
      </c>
      <c r="V15" s="10">
        <v>2773</v>
      </c>
      <c r="W15" s="10">
        <v>3007</v>
      </c>
      <c r="X15" s="10"/>
      <c r="Y15" s="10"/>
      <c r="Z15" s="10"/>
      <c r="AA15" s="10"/>
      <c r="AB15" s="10"/>
      <c r="AD15" s="43">
        <v>2014</v>
      </c>
      <c r="AE15" s="10">
        <v>10</v>
      </c>
      <c r="AF15" s="45">
        <f ca="1">VLOOKUP(Energie!$R$3,$C$8:$AB$49,AE15,FALSE)</f>
        <v>2511</v>
      </c>
      <c r="AG15" s="42"/>
      <c r="AJ15" s="42"/>
    </row>
    <row r="16" spans="2:36">
      <c r="B16" s="10">
        <v>8</v>
      </c>
      <c r="C16" s="11" t="str">
        <f ca="1">Sprache!E69</f>
        <v>Chur</v>
      </c>
      <c r="D16" s="12">
        <v>555</v>
      </c>
      <c r="E16" s="40">
        <v>-7</v>
      </c>
      <c r="F16" s="12">
        <v>9.6</v>
      </c>
      <c r="G16" s="10">
        <v>3334</v>
      </c>
      <c r="H16" s="87">
        <v>3315</v>
      </c>
      <c r="I16" s="87">
        <v>2822</v>
      </c>
      <c r="J16" s="88">
        <v>3160</v>
      </c>
      <c r="K16" s="87">
        <v>3242</v>
      </c>
      <c r="L16" s="87">
        <v>2511</v>
      </c>
      <c r="M16" s="87">
        <v>2991</v>
      </c>
      <c r="N16" s="87">
        <v>3035</v>
      </c>
      <c r="O16" s="87">
        <v>3078</v>
      </c>
      <c r="P16" s="87">
        <v>2656</v>
      </c>
      <c r="Q16" s="87">
        <v>2892</v>
      </c>
      <c r="R16" s="10">
        <v>2811</v>
      </c>
      <c r="S16" s="10">
        <v>3187</v>
      </c>
      <c r="T16" s="10">
        <v>2680</v>
      </c>
      <c r="U16" s="10">
        <v>2787</v>
      </c>
      <c r="V16" s="10">
        <v>2692</v>
      </c>
      <c r="W16" s="10">
        <v>2638</v>
      </c>
      <c r="X16" s="10"/>
      <c r="Y16" s="10"/>
      <c r="Z16" s="10"/>
      <c r="AA16" s="10"/>
      <c r="AB16" s="10"/>
      <c r="AD16" s="43">
        <v>2015</v>
      </c>
      <c r="AE16" s="10">
        <v>11</v>
      </c>
      <c r="AF16" s="45">
        <f ca="1">VLOOKUP(Energie!$R$3,$C$8:$AB$49,AE16,FALSE)</f>
        <v>2991</v>
      </c>
      <c r="AG16" s="42"/>
      <c r="AJ16" s="42"/>
    </row>
    <row r="17" spans="2:36">
      <c r="B17" s="10">
        <v>9</v>
      </c>
      <c r="C17" s="11" t="str">
        <f ca="1">Sprache!E70</f>
        <v>Davos</v>
      </c>
      <c r="D17" s="12">
        <v>1590</v>
      </c>
      <c r="E17" s="40">
        <v>-13</v>
      </c>
      <c r="F17" s="12">
        <v>3.6</v>
      </c>
      <c r="G17" s="10">
        <v>5689</v>
      </c>
      <c r="H17" s="87">
        <v>6058</v>
      </c>
      <c r="I17" s="87">
        <v>5239</v>
      </c>
      <c r="J17" s="88">
        <v>5517</v>
      </c>
      <c r="K17" s="87">
        <v>5671</v>
      </c>
      <c r="L17" s="87">
        <v>5321</v>
      </c>
      <c r="M17" s="87">
        <v>5233</v>
      </c>
      <c r="N17" s="87">
        <v>5360</v>
      </c>
      <c r="O17" s="87">
        <v>5414</v>
      </c>
      <c r="P17" s="87">
        <v>4985</v>
      </c>
      <c r="Q17" s="87">
        <v>5276</v>
      </c>
      <c r="R17" s="10">
        <v>5171</v>
      </c>
      <c r="S17" s="10">
        <v>5622</v>
      </c>
      <c r="T17" s="10">
        <v>4871</v>
      </c>
      <c r="U17" s="10">
        <v>5005</v>
      </c>
      <c r="V17" s="10">
        <v>4980</v>
      </c>
      <c r="W17" s="10">
        <v>5054</v>
      </c>
      <c r="X17" s="10"/>
      <c r="Y17" s="10"/>
      <c r="Z17" s="10"/>
      <c r="AA17" s="10"/>
      <c r="AB17" s="10"/>
      <c r="AD17" s="43">
        <v>2016</v>
      </c>
      <c r="AE17" s="10">
        <v>12</v>
      </c>
      <c r="AF17" s="45">
        <f ca="1">VLOOKUP(Energie!$R$3,$C$8:$AB$49,AE17,FALSE)</f>
        <v>3035</v>
      </c>
      <c r="AG17" s="42"/>
      <c r="AJ17" s="42"/>
    </row>
    <row r="18" spans="2:36">
      <c r="B18" s="10">
        <v>10</v>
      </c>
      <c r="C18" s="11" t="str">
        <f ca="1">Sprache!E71</f>
        <v>Disentis</v>
      </c>
      <c r="D18" s="12">
        <v>1190</v>
      </c>
      <c r="E18" s="40">
        <v>-10</v>
      </c>
      <c r="F18" s="12">
        <v>6.7</v>
      </c>
      <c r="G18" s="10">
        <v>4418</v>
      </c>
      <c r="H18" s="87">
        <v>4771</v>
      </c>
      <c r="I18" s="87">
        <v>3799</v>
      </c>
      <c r="J18" s="88">
        <v>4347</v>
      </c>
      <c r="K18" s="87">
        <v>4445</v>
      </c>
      <c r="L18" s="87">
        <v>3909</v>
      </c>
      <c r="M18" s="87">
        <v>4071</v>
      </c>
      <c r="N18" s="87">
        <v>4189</v>
      </c>
      <c r="O18" s="87">
        <v>4325</v>
      </c>
      <c r="P18" s="87">
        <v>3690</v>
      </c>
      <c r="Q18" s="87">
        <v>4064</v>
      </c>
      <c r="R18" s="10">
        <v>3881</v>
      </c>
      <c r="S18" s="10">
        <v>4343</v>
      </c>
      <c r="T18" s="10">
        <v>3664</v>
      </c>
      <c r="U18" s="10">
        <v>3788</v>
      </c>
      <c r="V18" s="10">
        <v>3818</v>
      </c>
      <c r="W18" s="10">
        <v>3804</v>
      </c>
      <c r="X18" s="10"/>
      <c r="Y18" s="10"/>
      <c r="Z18" s="10"/>
      <c r="AA18" s="10"/>
      <c r="AB18" s="10"/>
      <c r="AD18" s="43">
        <v>2017</v>
      </c>
      <c r="AE18" s="10">
        <v>13</v>
      </c>
      <c r="AF18" s="45">
        <f ca="1">VLOOKUP(Energie!$R$3,$C$8:$AB$49,AE18,FALSE)</f>
        <v>3078</v>
      </c>
      <c r="AG18" s="42"/>
      <c r="AJ18" s="42"/>
    </row>
    <row r="19" spans="2:36">
      <c r="B19" s="10">
        <v>11</v>
      </c>
      <c r="C19" s="11" t="str">
        <f ca="1">Sprache!E72</f>
        <v>Engelberg</v>
      </c>
      <c r="D19" s="12">
        <v>1035</v>
      </c>
      <c r="E19" s="40">
        <v>-11</v>
      </c>
      <c r="F19" s="12">
        <v>6.4</v>
      </c>
      <c r="G19" s="10">
        <v>4511</v>
      </c>
      <c r="H19" s="87">
        <v>4866</v>
      </c>
      <c r="I19" s="87">
        <v>3996</v>
      </c>
      <c r="J19" s="88">
        <v>4347</v>
      </c>
      <c r="K19" s="87">
        <v>4561</v>
      </c>
      <c r="L19" s="87">
        <v>3989</v>
      </c>
      <c r="M19" s="87">
        <v>4147</v>
      </c>
      <c r="N19" s="87">
        <v>4178</v>
      </c>
      <c r="O19" s="87">
        <v>4320</v>
      </c>
      <c r="P19" s="87">
        <v>3774</v>
      </c>
      <c r="Q19" s="87">
        <v>4070</v>
      </c>
      <c r="R19" s="10">
        <v>3951</v>
      </c>
      <c r="S19" s="10">
        <v>4419</v>
      </c>
      <c r="T19" s="10">
        <v>3724</v>
      </c>
      <c r="U19" s="10">
        <v>3793</v>
      </c>
      <c r="V19" s="10">
        <v>3847</v>
      </c>
      <c r="W19" s="10">
        <v>3998</v>
      </c>
      <c r="X19" s="10"/>
      <c r="Y19" s="10"/>
      <c r="Z19" s="10"/>
      <c r="AA19" s="10"/>
      <c r="AB19" s="10"/>
      <c r="AD19" s="43">
        <v>2018</v>
      </c>
      <c r="AE19" s="10">
        <v>14</v>
      </c>
      <c r="AF19" s="45">
        <f ca="1">VLOOKUP(Energie!$R$3,$C$8:$AB$49,AE19,FALSE)</f>
        <v>2656</v>
      </c>
      <c r="AG19" s="42"/>
      <c r="AJ19" s="42"/>
    </row>
    <row r="20" spans="2:36">
      <c r="B20" s="10">
        <v>12</v>
      </c>
      <c r="C20" s="11" t="str">
        <f ca="1">Sprache!E73</f>
        <v>Genève Cointrin</v>
      </c>
      <c r="D20" s="12">
        <v>420</v>
      </c>
      <c r="E20" s="40">
        <v>-4</v>
      </c>
      <c r="F20" s="12">
        <v>10.7</v>
      </c>
      <c r="G20" s="10">
        <v>3007</v>
      </c>
      <c r="H20" s="87">
        <v>3217</v>
      </c>
      <c r="I20" s="87">
        <v>2673</v>
      </c>
      <c r="J20" s="88">
        <v>2936</v>
      </c>
      <c r="K20" s="87">
        <v>3162</v>
      </c>
      <c r="L20" s="87">
        <v>2428</v>
      </c>
      <c r="M20" s="87">
        <v>2795</v>
      </c>
      <c r="N20" s="87">
        <v>3008</v>
      </c>
      <c r="O20" s="87">
        <v>2902</v>
      </c>
      <c r="P20" s="87">
        <v>2570</v>
      </c>
      <c r="Q20" s="87">
        <v>2718</v>
      </c>
      <c r="R20" s="10">
        <v>2620</v>
      </c>
      <c r="S20" s="10">
        <v>3043</v>
      </c>
      <c r="T20" s="10">
        <v>2449</v>
      </c>
      <c r="U20" s="10">
        <v>2440</v>
      </c>
      <c r="V20" s="10">
        <v>2538</v>
      </c>
      <c r="W20" s="10">
        <v>2698</v>
      </c>
      <c r="X20" s="10"/>
      <c r="Y20" s="10"/>
      <c r="Z20" s="10"/>
      <c r="AA20" s="10"/>
      <c r="AB20" s="10"/>
      <c r="AD20" s="43">
        <v>2019</v>
      </c>
      <c r="AE20" s="10">
        <v>15</v>
      </c>
      <c r="AF20" s="45">
        <f ca="1">VLOOKUP(Energie!$R$3,$C$8:$AB$49,AE20,FALSE)</f>
        <v>2892</v>
      </c>
      <c r="AG20" s="42"/>
      <c r="AJ20" s="42"/>
    </row>
    <row r="21" spans="2:36">
      <c r="B21" s="10">
        <v>13</v>
      </c>
      <c r="C21" s="11" t="str">
        <f ca="1">Sprache!E74</f>
        <v>Glarus</v>
      </c>
      <c r="D21" s="12">
        <v>515</v>
      </c>
      <c r="E21" s="40">
        <v>-8</v>
      </c>
      <c r="F21" s="12">
        <v>8.8000000000000007</v>
      </c>
      <c r="G21" s="10">
        <v>3610</v>
      </c>
      <c r="H21" s="87">
        <v>3724</v>
      </c>
      <c r="I21" s="87">
        <v>3099</v>
      </c>
      <c r="J21" s="88">
        <v>3458</v>
      </c>
      <c r="K21" s="87">
        <v>3648</v>
      </c>
      <c r="L21" s="87">
        <v>2858</v>
      </c>
      <c r="M21" s="87">
        <v>3303</v>
      </c>
      <c r="N21" s="87">
        <v>3340</v>
      </c>
      <c r="O21" s="87">
        <v>3467</v>
      </c>
      <c r="P21" s="87">
        <v>2966</v>
      </c>
      <c r="Q21" s="87">
        <v>3210</v>
      </c>
      <c r="R21" s="10">
        <v>3072</v>
      </c>
      <c r="S21" s="10">
        <v>3589</v>
      </c>
      <c r="T21" s="10">
        <v>2996</v>
      </c>
      <c r="U21" s="10">
        <v>3084</v>
      </c>
      <c r="V21" s="10">
        <v>2992</v>
      </c>
      <c r="W21" s="10">
        <v>3093</v>
      </c>
      <c r="X21" s="10"/>
      <c r="Y21" s="10"/>
      <c r="Z21" s="10"/>
      <c r="AA21" s="10"/>
      <c r="AB21" s="10"/>
      <c r="AD21" s="534">
        <v>2020</v>
      </c>
      <c r="AE21" s="535">
        <v>16</v>
      </c>
      <c r="AF21" s="45">
        <f ca="1">VLOOKUP(Energie!$R$3,$C$8:$AB$49,AE21,FALSE)</f>
        <v>2811</v>
      </c>
      <c r="AG21" s="42"/>
      <c r="AJ21" s="42"/>
    </row>
    <row r="22" spans="2:36">
      <c r="B22" s="10">
        <v>14</v>
      </c>
      <c r="C22" s="11" t="str">
        <f ca="1">Sprache!E75</f>
        <v>Grand St.Bernard</v>
      </c>
      <c r="D22" s="12">
        <v>2472</v>
      </c>
      <c r="E22" s="40">
        <v>-15</v>
      </c>
      <c r="F22" s="12">
        <v>-0.5</v>
      </c>
      <c r="G22" s="10">
        <v>7413</v>
      </c>
      <c r="H22" s="87">
        <v>7775</v>
      </c>
      <c r="I22" s="87">
        <v>6950</v>
      </c>
      <c r="J22" s="88">
        <v>7241</v>
      </c>
      <c r="K22" s="87">
        <v>7484</v>
      </c>
      <c r="L22" s="87">
        <v>7180</v>
      </c>
      <c r="M22" s="87">
        <v>6764</v>
      </c>
      <c r="N22" s="87">
        <v>7159</v>
      </c>
      <c r="O22" s="87">
        <v>6997</v>
      </c>
      <c r="P22" s="87">
        <v>6982</v>
      </c>
      <c r="Q22" s="87">
        <v>6990</v>
      </c>
      <c r="R22" s="10">
        <v>6855</v>
      </c>
      <c r="S22" s="10">
        <v>7305</v>
      </c>
      <c r="T22" s="10">
        <v>6462</v>
      </c>
      <c r="U22" s="10">
        <v>6634</v>
      </c>
      <c r="V22" s="10">
        <v>6684</v>
      </c>
      <c r="W22" s="10">
        <v>6681</v>
      </c>
      <c r="X22" s="10"/>
      <c r="Y22" s="10"/>
      <c r="Z22" s="10"/>
      <c r="AA22" s="10"/>
      <c r="AB22" s="10"/>
      <c r="AD22" s="41">
        <v>2021</v>
      </c>
      <c r="AE22" s="10">
        <v>17</v>
      </c>
      <c r="AF22" s="45">
        <f ca="1">VLOOKUP(Energie!$R$3,$C$8:$AB$49,AE22,FALSE)</f>
        <v>3187</v>
      </c>
      <c r="AG22" s="42"/>
      <c r="AJ22" s="42"/>
    </row>
    <row r="23" spans="2:36">
      <c r="B23" s="10">
        <v>15</v>
      </c>
      <c r="C23" s="11" t="str">
        <f ca="1">Sprache!E76</f>
        <v>Güttingen</v>
      </c>
      <c r="D23" s="12">
        <v>440</v>
      </c>
      <c r="E23" s="40">
        <v>-7</v>
      </c>
      <c r="F23" s="12">
        <v>9.1999999999999993</v>
      </c>
      <c r="G23" s="10">
        <v>3472</v>
      </c>
      <c r="H23" s="87">
        <v>3573</v>
      </c>
      <c r="I23" s="87">
        <v>3029</v>
      </c>
      <c r="J23" s="88">
        <v>3318</v>
      </c>
      <c r="K23" s="87">
        <v>3455</v>
      </c>
      <c r="L23" s="87">
        <v>2787</v>
      </c>
      <c r="M23" s="87">
        <v>3108</v>
      </c>
      <c r="N23" s="87">
        <v>3269</v>
      </c>
      <c r="O23" s="87">
        <v>3279</v>
      </c>
      <c r="P23" s="87">
        <v>2879</v>
      </c>
      <c r="Q23" s="87">
        <v>3079</v>
      </c>
      <c r="R23" s="10">
        <v>29100</v>
      </c>
      <c r="S23" s="10">
        <v>3444</v>
      </c>
      <c r="T23" s="10">
        <v>2851</v>
      </c>
      <c r="U23" s="10">
        <v>2866</v>
      </c>
      <c r="V23" s="10">
        <v>2846</v>
      </c>
      <c r="W23" s="10">
        <v>3051</v>
      </c>
      <c r="X23" s="10"/>
      <c r="Y23" s="10"/>
      <c r="Z23" s="10"/>
      <c r="AA23" s="10"/>
      <c r="AB23" s="10"/>
      <c r="AD23" s="41">
        <v>2022</v>
      </c>
      <c r="AE23" s="10">
        <v>18</v>
      </c>
      <c r="AF23" s="45">
        <f ca="1">VLOOKUP(Energie!$R$3,$C$8:$AB$49,AE23,FALSE)</f>
        <v>2680</v>
      </c>
      <c r="AG23" s="42"/>
      <c r="AJ23" s="42"/>
    </row>
    <row r="24" spans="2:36">
      <c r="B24" s="10">
        <v>16</v>
      </c>
      <c r="C24" s="11" t="str">
        <f ca="1">Sprache!E77</f>
        <v>Interlaken</v>
      </c>
      <c r="D24" s="12">
        <v>580</v>
      </c>
      <c r="E24" s="40">
        <v>-7</v>
      </c>
      <c r="F24" s="12">
        <v>8.6999999999999993</v>
      </c>
      <c r="G24" s="10">
        <v>3630</v>
      </c>
      <c r="H24" s="87">
        <v>3675</v>
      </c>
      <c r="I24" s="87">
        <v>3040</v>
      </c>
      <c r="J24" s="88">
        <v>3476</v>
      </c>
      <c r="K24" s="87">
        <v>3566</v>
      </c>
      <c r="L24" s="87">
        <v>2904</v>
      </c>
      <c r="M24" s="87">
        <v>3309</v>
      </c>
      <c r="N24" s="87">
        <v>3407</v>
      </c>
      <c r="O24" s="87">
        <v>3523</v>
      </c>
      <c r="P24" s="87">
        <v>3026</v>
      </c>
      <c r="Q24" s="87">
        <v>3227</v>
      </c>
      <c r="R24" s="10">
        <v>3139</v>
      </c>
      <c r="S24" s="10">
        <v>3597</v>
      </c>
      <c r="T24" s="10">
        <v>2981</v>
      </c>
      <c r="U24" s="10">
        <v>3105</v>
      </c>
      <c r="V24" s="10">
        <v>3086</v>
      </c>
      <c r="W24" s="10">
        <v>3174</v>
      </c>
      <c r="X24" s="10"/>
      <c r="Y24" s="10"/>
      <c r="Z24" s="10"/>
      <c r="AA24" s="10"/>
      <c r="AB24" s="10"/>
      <c r="AD24" s="536">
        <v>2023</v>
      </c>
      <c r="AE24" s="45">
        <v>19</v>
      </c>
      <c r="AF24" s="45">
        <f ca="1">VLOOKUP(Energie!$R$3,$C$8:$AB$49,AE24,FALSE)</f>
        <v>2787</v>
      </c>
      <c r="AG24" s="42"/>
      <c r="AJ24" s="42"/>
    </row>
    <row r="25" spans="2:36">
      <c r="B25" s="10">
        <v>17</v>
      </c>
      <c r="C25" s="11" t="str">
        <f ca="1">Sprache!E78</f>
        <v>La Chaux de Fonds</v>
      </c>
      <c r="D25" s="12">
        <v>1019</v>
      </c>
      <c r="E25" s="40">
        <v>-10</v>
      </c>
      <c r="F25" s="12">
        <v>6.5</v>
      </c>
      <c r="G25" s="10">
        <v>4471</v>
      </c>
      <c r="H25" s="87">
        <v>4664</v>
      </c>
      <c r="I25" s="87">
        <v>3869</v>
      </c>
      <c r="J25" s="88">
        <v>4231</v>
      </c>
      <c r="K25" s="87">
        <v>4483</v>
      </c>
      <c r="L25" s="87">
        <v>3871</v>
      </c>
      <c r="M25" s="87">
        <v>4153</v>
      </c>
      <c r="N25" s="87">
        <v>4257</v>
      </c>
      <c r="O25" s="87">
        <v>4313</v>
      </c>
      <c r="P25" s="87">
        <v>3681</v>
      </c>
      <c r="Q25" s="87">
        <v>4034</v>
      </c>
      <c r="R25" s="10">
        <v>3804</v>
      </c>
      <c r="S25" s="10">
        <v>4368</v>
      </c>
      <c r="T25" s="10">
        <v>3638</v>
      </c>
      <c r="U25" s="10">
        <v>3743</v>
      </c>
      <c r="V25" s="10">
        <v>3860</v>
      </c>
      <c r="W25" s="661">
        <v>3913</v>
      </c>
      <c r="X25" s="10"/>
      <c r="Y25" s="10"/>
      <c r="Z25" s="10"/>
      <c r="AA25" s="10"/>
      <c r="AB25" s="10"/>
      <c r="AD25" s="41">
        <v>2024</v>
      </c>
      <c r="AE25" s="10">
        <v>20</v>
      </c>
      <c r="AF25" s="45">
        <f ca="1">VLOOKUP(Energie!$R$3,$C$8:$AB$49,AE25,FALSE)</f>
        <v>2692</v>
      </c>
      <c r="AG25" s="42"/>
      <c r="AJ25" s="42"/>
    </row>
    <row r="26" spans="2:36">
      <c r="B26" s="10">
        <v>18</v>
      </c>
      <c r="C26" s="11" t="str">
        <f ca="1">Sprache!E79</f>
        <v>La Frêtaz</v>
      </c>
      <c r="D26" s="12">
        <v>1202</v>
      </c>
      <c r="E26" s="40">
        <v>-10</v>
      </c>
      <c r="F26" s="12">
        <v>6</v>
      </c>
      <c r="G26" s="85">
        <v>4723</v>
      </c>
      <c r="H26" s="87">
        <v>5119.8999999999996</v>
      </c>
      <c r="I26" s="87">
        <v>4130.3</v>
      </c>
      <c r="J26" s="88">
        <v>4584</v>
      </c>
      <c r="K26" s="87">
        <v>4866.8</v>
      </c>
      <c r="L26" s="87">
        <v>4308</v>
      </c>
      <c r="M26" s="87">
        <v>4359.2</v>
      </c>
      <c r="N26" s="87">
        <v>4477.6000000000004</v>
      </c>
      <c r="O26" s="87">
        <v>4388.8999999999996</v>
      </c>
      <c r="P26" s="87">
        <v>3899.6</v>
      </c>
      <c r="Q26" s="87">
        <v>4310</v>
      </c>
      <c r="R26" s="10">
        <v>4310</v>
      </c>
      <c r="S26" s="10">
        <v>4310</v>
      </c>
      <c r="T26" s="10">
        <v>3763</v>
      </c>
      <c r="U26" s="10">
        <v>3924</v>
      </c>
      <c r="V26" s="10">
        <v>4048</v>
      </c>
      <c r="W26" s="661">
        <v>4147</v>
      </c>
      <c r="X26" s="10"/>
      <c r="Y26" s="10"/>
      <c r="Z26" s="10"/>
      <c r="AA26" s="10"/>
      <c r="AB26" s="10"/>
      <c r="AD26" s="41">
        <v>2025</v>
      </c>
      <c r="AE26" s="10">
        <v>21</v>
      </c>
      <c r="AF26" s="45">
        <f ca="1">VLOOKUP(Energie!$R$3,$C$8:$AB$49,AE26,FALSE)</f>
        <v>2638</v>
      </c>
      <c r="AG26" s="42"/>
      <c r="AJ26" s="42"/>
    </row>
    <row r="27" spans="2:36">
      <c r="B27" s="10">
        <v>19</v>
      </c>
      <c r="C27" s="11" t="str">
        <f ca="1">Sprache!E80</f>
        <v>Locarno Monti</v>
      </c>
      <c r="D27" s="12">
        <v>366</v>
      </c>
      <c r="E27" s="40">
        <v>-1</v>
      </c>
      <c r="F27" s="12">
        <v>12.3</v>
      </c>
      <c r="G27" s="10">
        <v>2477</v>
      </c>
      <c r="H27" s="87">
        <v>2809</v>
      </c>
      <c r="I27" s="87">
        <v>2226</v>
      </c>
      <c r="J27" s="88">
        <v>2316</v>
      </c>
      <c r="K27" s="87">
        <v>2443</v>
      </c>
      <c r="L27" s="87">
        <v>1992</v>
      </c>
      <c r="M27" s="87">
        <v>2018</v>
      </c>
      <c r="N27" s="87">
        <v>2252</v>
      </c>
      <c r="O27" s="87">
        <v>2169</v>
      </c>
      <c r="P27" s="87">
        <v>2253</v>
      </c>
      <c r="Q27" s="87">
        <v>2018</v>
      </c>
      <c r="R27" s="10">
        <v>2061</v>
      </c>
      <c r="S27" s="10">
        <v>2352</v>
      </c>
      <c r="T27" s="10">
        <v>2013</v>
      </c>
      <c r="U27" s="10">
        <v>1909</v>
      </c>
      <c r="V27" s="10">
        <v>1988</v>
      </c>
      <c r="W27" s="661">
        <v>2101</v>
      </c>
      <c r="X27" s="10"/>
      <c r="Y27" s="10"/>
      <c r="Z27" s="10"/>
      <c r="AA27" s="10"/>
      <c r="AB27" s="10"/>
      <c r="AD27" s="41">
        <v>2026</v>
      </c>
      <c r="AE27" s="10">
        <v>22</v>
      </c>
      <c r="AF27" s="45">
        <f ca="1">VLOOKUP(Energie!$R$3,$C$8:$AB$49,AE27,FALSE)</f>
        <v>0</v>
      </c>
      <c r="AG27" s="42"/>
      <c r="AJ27" s="42"/>
    </row>
    <row r="28" spans="2:36">
      <c r="B28" s="10">
        <v>20</v>
      </c>
      <c r="C28" s="11" t="str">
        <f ca="1">Sprache!E81</f>
        <v>Lugano</v>
      </c>
      <c r="D28" s="12">
        <v>273</v>
      </c>
      <c r="E28" s="40">
        <v>-1</v>
      </c>
      <c r="F28" s="12">
        <v>12.4</v>
      </c>
      <c r="G28" s="10">
        <v>2438</v>
      </c>
      <c r="H28" s="87">
        <v>2682</v>
      </c>
      <c r="I28" s="87">
        <v>2214</v>
      </c>
      <c r="J28" s="88">
        <v>2314</v>
      </c>
      <c r="K28" s="87">
        <v>2336</v>
      </c>
      <c r="L28" s="87">
        <v>1926</v>
      </c>
      <c r="M28" s="87">
        <v>2078</v>
      </c>
      <c r="N28" s="87">
        <v>2177</v>
      </c>
      <c r="O28" s="87">
        <v>2194</v>
      </c>
      <c r="P28" s="87">
        <v>2125</v>
      </c>
      <c r="Q28" s="87">
        <v>2034</v>
      </c>
      <c r="R28" s="10">
        <v>2106</v>
      </c>
      <c r="S28" s="10">
        <v>2360</v>
      </c>
      <c r="T28" s="10">
        <v>1997</v>
      </c>
      <c r="U28" s="10">
        <v>1945</v>
      </c>
      <c r="V28" s="10">
        <v>1957</v>
      </c>
      <c r="W28" s="661">
        <v>1994</v>
      </c>
      <c r="X28" s="10"/>
      <c r="Y28" s="10"/>
      <c r="Z28" s="10"/>
      <c r="AA28" s="10"/>
      <c r="AB28" s="10"/>
      <c r="AD28" s="41">
        <v>2027</v>
      </c>
      <c r="AE28" s="10">
        <v>23</v>
      </c>
      <c r="AF28" s="45">
        <f ca="1">VLOOKUP(Energie!$R$3,$C$8:$AB$49,AE28,FALSE)</f>
        <v>0</v>
      </c>
      <c r="AG28" s="42"/>
      <c r="AJ28" s="42"/>
    </row>
    <row r="29" spans="2:36">
      <c r="B29" s="10">
        <v>21</v>
      </c>
      <c r="C29" s="11" t="str">
        <f ca="1">Sprache!E82</f>
        <v>Luzern</v>
      </c>
      <c r="D29" s="12">
        <v>456</v>
      </c>
      <c r="E29" s="40">
        <v>-6</v>
      </c>
      <c r="F29" s="12">
        <v>9.6999999999999993</v>
      </c>
      <c r="G29" s="10">
        <v>3317</v>
      </c>
      <c r="H29" s="87">
        <v>3498</v>
      </c>
      <c r="I29" s="87">
        <v>2875</v>
      </c>
      <c r="J29" s="88">
        <v>3236</v>
      </c>
      <c r="K29" s="87">
        <v>3400</v>
      </c>
      <c r="L29" s="87">
        <v>2682</v>
      </c>
      <c r="M29" s="87">
        <v>2984</v>
      </c>
      <c r="N29" s="87">
        <v>3211</v>
      </c>
      <c r="O29" s="87">
        <v>3156</v>
      </c>
      <c r="P29" s="87">
        <v>2808</v>
      </c>
      <c r="Q29" s="87">
        <v>2965</v>
      </c>
      <c r="R29" s="10">
        <v>2887</v>
      </c>
      <c r="S29" s="10">
        <v>3335</v>
      </c>
      <c r="T29" s="10">
        <v>2707</v>
      </c>
      <c r="U29" s="10">
        <v>2840</v>
      </c>
      <c r="V29" s="10">
        <v>2797</v>
      </c>
      <c r="W29" s="661">
        <v>2963</v>
      </c>
      <c r="X29" s="10"/>
      <c r="Y29" s="10"/>
      <c r="Z29" s="10"/>
      <c r="AA29" s="10"/>
      <c r="AB29" s="10"/>
      <c r="AD29" s="41">
        <v>2028</v>
      </c>
      <c r="AE29" s="10">
        <v>24</v>
      </c>
      <c r="AF29" s="45">
        <f ca="1">VLOOKUP(Energie!$R$3,$C$8:$AB$49,AE29,FALSE)</f>
        <v>0</v>
      </c>
      <c r="AG29" s="42"/>
      <c r="AJ29" s="42"/>
    </row>
    <row r="30" spans="2:36">
      <c r="B30" s="10">
        <v>22</v>
      </c>
      <c r="C30" s="11" t="str">
        <f ca="1">Sprache!E83</f>
        <v>Magadino</v>
      </c>
      <c r="D30" s="12">
        <v>197</v>
      </c>
      <c r="E30" s="40">
        <v>-3</v>
      </c>
      <c r="F30" s="12">
        <v>11.7</v>
      </c>
      <c r="G30" s="86">
        <v>2736</v>
      </c>
      <c r="H30" s="87">
        <v>2923.3</v>
      </c>
      <c r="I30" s="87">
        <v>2546.8000000000002</v>
      </c>
      <c r="J30" s="88">
        <v>2729.6</v>
      </c>
      <c r="K30" s="87">
        <v>2703.3</v>
      </c>
      <c r="L30" s="87">
        <v>2301.6</v>
      </c>
      <c r="M30" s="87">
        <v>2583.8000000000002</v>
      </c>
      <c r="N30" s="87">
        <v>2653.4</v>
      </c>
      <c r="O30" s="87">
        <v>2646.1</v>
      </c>
      <c r="P30" s="87">
        <v>2423.4</v>
      </c>
      <c r="Q30" s="87">
        <v>2374.4</v>
      </c>
      <c r="R30" s="10">
        <v>2374</v>
      </c>
      <c r="S30" s="10">
        <v>2374</v>
      </c>
      <c r="T30" s="10">
        <v>2378</v>
      </c>
      <c r="U30" s="10">
        <v>2291</v>
      </c>
      <c r="V30" s="10">
        <v>2453</v>
      </c>
      <c r="W30" s="661">
        <v>2384</v>
      </c>
      <c r="X30" s="10"/>
      <c r="Y30" s="10"/>
      <c r="Z30" s="10"/>
      <c r="AA30" s="10"/>
      <c r="AB30" s="10"/>
      <c r="AD30" s="41">
        <v>2029</v>
      </c>
      <c r="AE30" s="10">
        <v>25</v>
      </c>
      <c r="AF30" s="45">
        <f ca="1">VLOOKUP(Energie!$R$3,$C$8:$AB$49,AE30,FALSE)</f>
        <v>0</v>
      </c>
      <c r="AG30" s="42"/>
      <c r="AJ30" s="42"/>
    </row>
    <row r="31" spans="2:36">
      <c r="B31" s="10">
        <v>23</v>
      </c>
      <c r="C31" s="11" t="str">
        <f ca="1">Sprache!E84</f>
        <v>Montana</v>
      </c>
      <c r="D31" s="12">
        <v>1508</v>
      </c>
      <c r="E31" s="40">
        <v>-10</v>
      </c>
      <c r="F31" s="12">
        <v>5.9</v>
      </c>
      <c r="G31" s="10">
        <v>4770</v>
      </c>
      <c r="H31" s="87">
        <v>5083</v>
      </c>
      <c r="I31" s="87">
        <v>4122</v>
      </c>
      <c r="J31" s="88">
        <v>4545</v>
      </c>
      <c r="K31" s="87">
        <v>4739</v>
      </c>
      <c r="L31" s="87">
        <v>4294</v>
      </c>
      <c r="M31" s="87">
        <v>4302</v>
      </c>
      <c r="N31" s="87">
        <v>4549</v>
      </c>
      <c r="O31" s="87">
        <v>4502</v>
      </c>
      <c r="P31" s="87">
        <v>3976</v>
      </c>
      <c r="Q31" s="87">
        <v>4385</v>
      </c>
      <c r="R31" s="10">
        <v>4190</v>
      </c>
      <c r="S31" s="10">
        <v>4625</v>
      </c>
      <c r="T31" s="10">
        <v>3899</v>
      </c>
      <c r="U31" s="10">
        <v>4076</v>
      </c>
      <c r="V31" s="10">
        <v>4151</v>
      </c>
      <c r="W31" s="661">
        <v>4168</v>
      </c>
      <c r="X31" s="10"/>
      <c r="Y31" s="10"/>
      <c r="Z31" s="10"/>
      <c r="AA31" s="10"/>
      <c r="AB31" s="10"/>
      <c r="AD31" s="41">
        <v>2030</v>
      </c>
      <c r="AE31" s="10">
        <v>26</v>
      </c>
      <c r="AF31" s="45">
        <f ca="1">VLOOKUP(Energie!$R$3,$C$8:$AB$49,AE31,FALSE)</f>
        <v>0</v>
      </c>
      <c r="AG31" s="42"/>
      <c r="AJ31" s="42"/>
    </row>
    <row r="32" spans="2:36">
      <c r="B32" s="10">
        <v>24</v>
      </c>
      <c r="C32" s="11" t="str">
        <f ca="1">Sprache!E85</f>
        <v>Neuchâtel</v>
      </c>
      <c r="D32" s="12">
        <v>485</v>
      </c>
      <c r="E32" s="40">
        <v>-5</v>
      </c>
      <c r="F32" s="12">
        <v>10.3</v>
      </c>
      <c r="G32" s="10">
        <v>3121</v>
      </c>
      <c r="H32" s="87">
        <v>3314</v>
      </c>
      <c r="I32" s="87">
        <v>2706</v>
      </c>
      <c r="J32" s="88">
        <v>3006</v>
      </c>
      <c r="K32" s="87">
        <v>3234</v>
      </c>
      <c r="L32" s="87">
        <v>2547</v>
      </c>
      <c r="M32" s="87">
        <v>2755</v>
      </c>
      <c r="N32" s="87">
        <v>3054</v>
      </c>
      <c r="O32" s="87">
        <v>2907</v>
      </c>
      <c r="P32" s="87">
        <v>2733</v>
      </c>
      <c r="Q32" s="87">
        <v>2901</v>
      </c>
      <c r="R32" s="10">
        <v>2721</v>
      </c>
      <c r="S32" s="10">
        <v>3145</v>
      </c>
      <c r="T32" s="10">
        <v>2476</v>
      </c>
      <c r="U32" s="10">
        <v>2614</v>
      </c>
      <c r="V32" s="10">
        <v>1669</v>
      </c>
      <c r="W32" s="661">
        <v>2794</v>
      </c>
      <c r="X32" s="10"/>
      <c r="Y32" s="10"/>
      <c r="Z32" s="10"/>
      <c r="AA32" s="10"/>
      <c r="AB32" s="10"/>
      <c r="AD32" s="404" t="str">
        <f ca="1">Sprache!E62</f>
        <v>Bitte wählen …</v>
      </c>
      <c r="AE32" s="10">
        <v>0</v>
      </c>
      <c r="AF32" s="10">
        <v>0</v>
      </c>
      <c r="AG32" s="42"/>
      <c r="AJ32" s="42"/>
    </row>
    <row r="33" spans="2:36">
      <c r="B33" s="10">
        <v>25</v>
      </c>
      <c r="C33" s="11" t="str">
        <f ca="1">Sprache!E86</f>
        <v>Payerne</v>
      </c>
      <c r="D33" s="12">
        <v>490</v>
      </c>
      <c r="E33" s="40">
        <v>-7</v>
      </c>
      <c r="F33" s="12">
        <v>9.4</v>
      </c>
      <c r="G33" s="10">
        <v>3413</v>
      </c>
      <c r="H33" s="87">
        <v>3555</v>
      </c>
      <c r="I33" s="87">
        <v>2942</v>
      </c>
      <c r="J33" s="88">
        <v>3276</v>
      </c>
      <c r="K33" s="87">
        <v>3475</v>
      </c>
      <c r="L33" s="87">
        <v>2794</v>
      </c>
      <c r="M33" s="87">
        <v>3114</v>
      </c>
      <c r="N33" s="87">
        <v>3346</v>
      </c>
      <c r="O33" s="87">
        <v>3243</v>
      </c>
      <c r="P33" s="87">
        <v>2903</v>
      </c>
      <c r="Q33" s="87">
        <v>3096</v>
      </c>
      <c r="R33" s="10">
        <v>2994</v>
      </c>
      <c r="S33" s="10">
        <v>3377</v>
      </c>
      <c r="T33" s="10">
        <v>2884</v>
      </c>
      <c r="U33" s="10">
        <v>2842</v>
      </c>
      <c r="V33" s="10">
        <v>2881</v>
      </c>
      <c r="W33" s="661">
        <v>3072</v>
      </c>
      <c r="X33" s="10"/>
      <c r="Y33" s="10"/>
      <c r="Z33" s="10"/>
      <c r="AA33" s="10"/>
      <c r="AB33" s="10"/>
      <c r="AD33" s="42"/>
      <c r="AE33" s="42"/>
      <c r="AF33" s="42"/>
      <c r="AG33" s="42"/>
      <c r="AJ33" s="42"/>
    </row>
    <row r="34" spans="2:36">
      <c r="B34" s="10">
        <v>26</v>
      </c>
      <c r="C34" s="11" t="str">
        <f ca="1">Sprache!E87</f>
        <v>Piotta</v>
      </c>
      <c r="D34" s="12">
        <v>1007</v>
      </c>
      <c r="E34" s="40">
        <v>-7</v>
      </c>
      <c r="F34" s="12">
        <v>7.8</v>
      </c>
      <c r="G34" s="85">
        <v>3994</v>
      </c>
      <c r="H34" s="87">
        <v>4278.6000000000004</v>
      </c>
      <c r="I34" s="87">
        <v>3479.8</v>
      </c>
      <c r="J34" s="88">
        <v>3830.6</v>
      </c>
      <c r="K34" s="87">
        <v>3994.2</v>
      </c>
      <c r="L34" s="87">
        <v>3551.1</v>
      </c>
      <c r="M34" s="87">
        <v>3732.4</v>
      </c>
      <c r="N34" s="87">
        <v>3864</v>
      </c>
      <c r="O34" s="87">
        <v>3839.6</v>
      </c>
      <c r="P34" s="87">
        <v>3558.9</v>
      </c>
      <c r="Q34" s="87">
        <v>3747.1</v>
      </c>
      <c r="R34" s="10">
        <v>3747</v>
      </c>
      <c r="S34" s="10">
        <v>3747</v>
      </c>
      <c r="T34" s="10">
        <v>3399</v>
      </c>
      <c r="U34" s="10">
        <v>3378</v>
      </c>
      <c r="V34" s="10">
        <v>3616</v>
      </c>
      <c r="W34" s="661">
        <v>3656</v>
      </c>
      <c r="X34" s="10"/>
      <c r="Y34" s="10"/>
      <c r="Z34" s="10"/>
      <c r="AA34" s="10"/>
      <c r="AB34" s="10"/>
      <c r="AD34" s="42"/>
      <c r="AE34" s="42"/>
      <c r="AF34" s="42"/>
      <c r="AG34" s="42"/>
      <c r="AJ34" s="42"/>
    </row>
    <row r="35" spans="2:36">
      <c r="B35" s="10">
        <v>27</v>
      </c>
      <c r="C35" s="11" t="str">
        <f ca="1">Sprache!E88</f>
        <v>Pully</v>
      </c>
      <c r="D35" s="12">
        <v>461</v>
      </c>
      <c r="E35" s="40">
        <v>-4</v>
      </c>
      <c r="F35" s="12">
        <v>10.9</v>
      </c>
      <c r="G35" s="10">
        <v>2902</v>
      </c>
      <c r="H35" s="87">
        <v>3116</v>
      </c>
      <c r="I35" s="87">
        <v>2415</v>
      </c>
      <c r="J35" s="88">
        <v>2715</v>
      </c>
      <c r="K35" s="87">
        <v>3089</v>
      </c>
      <c r="L35" s="87">
        <v>2323</v>
      </c>
      <c r="M35" s="87">
        <v>2586</v>
      </c>
      <c r="N35" s="87">
        <v>2865</v>
      </c>
      <c r="O35" s="87">
        <v>2751</v>
      </c>
      <c r="P35" s="87">
        <v>2548</v>
      </c>
      <c r="Q35" s="87">
        <v>2672</v>
      </c>
      <c r="R35" s="10">
        <v>2473</v>
      </c>
      <c r="S35" s="10">
        <v>2947</v>
      </c>
      <c r="T35" s="10">
        <v>2339</v>
      </c>
      <c r="U35" s="10">
        <v>2419</v>
      </c>
      <c r="V35" s="10">
        <v>2473</v>
      </c>
      <c r="W35" s="661">
        <v>2499</v>
      </c>
      <c r="X35" s="10"/>
      <c r="Y35" s="10"/>
      <c r="Z35" s="10"/>
      <c r="AA35" s="10"/>
      <c r="AB35" s="10"/>
      <c r="AD35" s="42"/>
      <c r="AE35" s="42"/>
      <c r="AF35" s="42"/>
      <c r="AG35" s="42"/>
      <c r="AJ35" s="42"/>
    </row>
    <row r="36" spans="2:36">
      <c r="B36" s="10">
        <v>28</v>
      </c>
      <c r="C36" s="11" t="str">
        <f ca="1">Sprache!E89</f>
        <v>Robbia</v>
      </c>
      <c r="D36" s="12">
        <v>1078</v>
      </c>
      <c r="E36" s="40">
        <v>-8</v>
      </c>
      <c r="F36" s="12">
        <v>7</v>
      </c>
      <c r="G36" s="10">
        <v>4233</v>
      </c>
      <c r="H36" s="87">
        <v>4362</v>
      </c>
      <c r="I36" s="87">
        <v>3599</v>
      </c>
      <c r="J36" s="88">
        <v>3925</v>
      </c>
      <c r="K36" s="87">
        <v>4105</v>
      </c>
      <c r="L36" s="87">
        <v>3673</v>
      </c>
      <c r="M36" s="87">
        <v>3723</v>
      </c>
      <c r="N36" s="87">
        <v>3916</v>
      </c>
      <c r="O36" s="87">
        <v>4011</v>
      </c>
      <c r="P36" s="87">
        <v>3634</v>
      </c>
      <c r="Q36" s="87">
        <v>3789</v>
      </c>
      <c r="R36" s="10">
        <v>3868</v>
      </c>
      <c r="S36" s="10">
        <v>4137</v>
      </c>
      <c r="T36" s="10">
        <v>3592</v>
      </c>
      <c r="U36" s="10">
        <v>3461</v>
      </c>
      <c r="V36" s="10">
        <v>3708</v>
      </c>
      <c r="W36" s="661">
        <v>3740</v>
      </c>
      <c r="X36" s="10"/>
      <c r="Y36" s="10"/>
      <c r="Z36" s="10"/>
      <c r="AA36" s="10"/>
      <c r="AB36" s="10"/>
      <c r="AD36" s="42"/>
      <c r="AE36" s="42"/>
      <c r="AF36" s="42"/>
      <c r="AG36" s="42"/>
      <c r="AJ36" s="42"/>
    </row>
    <row r="37" spans="2:36">
      <c r="B37" s="10">
        <v>29</v>
      </c>
      <c r="C37" s="11" t="str">
        <f ca="1">Sprache!E90</f>
        <v>Rünenberg</v>
      </c>
      <c r="D37" s="12">
        <v>610</v>
      </c>
      <c r="E37" s="40">
        <v>-8</v>
      </c>
      <c r="F37" s="12">
        <v>9.1</v>
      </c>
      <c r="G37" s="10">
        <v>3550</v>
      </c>
      <c r="H37" s="87">
        <v>3778</v>
      </c>
      <c r="I37" s="87">
        <v>2913</v>
      </c>
      <c r="J37" s="88">
        <v>3350</v>
      </c>
      <c r="K37" s="87">
        <v>3672</v>
      </c>
      <c r="L37" s="87">
        <v>2791</v>
      </c>
      <c r="M37" s="87">
        <v>3052</v>
      </c>
      <c r="N37" s="87">
        <v>3398</v>
      </c>
      <c r="O37" s="87">
        <v>3303</v>
      </c>
      <c r="P37" s="87">
        <v>3025</v>
      </c>
      <c r="Q37" s="87">
        <v>3180</v>
      </c>
      <c r="R37" s="10">
        <v>2931</v>
      </c>
      <c r="S37" s="10">
        <v>3450</v>
      </c>
      <c r="T37" s="10">
        <v>2809</v>
      </c>
      <c r="U37" s="10">
        <v>2930</v>
      </c>
      <c r="V37" s="10">
        <v>2954</v>
      </c>
      <c r="W37" s="661">
        <v>3062</v>
      </c>
      <c r="X37" s="10"/>
      <c r="Y37" s="10"/>
      <c r="Z37" s="10"/>
      <c r="AA37" s="10"/>
      <c r="AB37" s="10"/>
      <c r="AD37" s="42"/>
      <c r="AE37" s="42"/>
      <c r="AF37" s="42"/>
      <c r="AG37" s="42"/>
      <c r="AJ37" s="42"/>
    </row>
    <row r="38" spans="2:36">
      <c r="B38" s="10">
        <v>30</v>
      </c>
      <c r="C38" s="11" t="str">
        <f ca="1">Sprache!E91</f>
        <v>Samedan</v>
      </c>
      <c r="D38" s="12">
        <v>1705</v>
      </c>
      <c r="E38" s="40">
        <v>-18</v>
      </c>
      <c r="F38" s="12">
        <v>1.8</v>
      </c>
      <c r="G38" s="10">
        <v>6375</v>
      </c>
      <c r="H38" s="87">
        <v>6453</v>
      </c>
      <c r="I38" s="87">
        <v>5983</v>
      </c>
      <c r="J38" s="88">
        <v>6130</v>
      </c>
      <c r="K38" s="87">
        <v>6215</v>
      </c>
      <c r="L38" s="87">
        <v>5968</v>
      </c>
      <c r="M38" s="87">
        <v>5797</v>
      </c>
      <c r="N38" s="87">
        <v>5963</v>
      </c>
      <c r="O38" s="87">
        <v>5945</v>
      </c>
      <c r="P38" s="87">
        <v>5702</v>
      </c>
      <c r="Q38" s="87">
        <v>5914</v>
      </c>
      <c r="R38" s="10">
        <v>5871</v>
      </c>
      <c r="S38" s="10">
        <v>6388</v>
      </c>
      <c r="T38" s="10">
        <v>5544</v>
      </c>
      <c r="U38" s="10">
        <v>5508</v>
      </c>
      <c r="V38" s="10">
        <v>5528</v>
      </c>
      <c r="W38" s="661">
        <v>5794</v>
      </c>
      <c r="X38" s="10"/>
      <c r="Y38" s="10"/>
      <c r="Z38" s="10"/>
      <c r="AA38" s="10"/>
      <c r="AB38" s="10"/>
      <c r="AD38" s="42"/>
      <c r="AE38" s="42"/>
      <c r="AF38" s="42"/>
      <c r="AG38" s="42"/>
      <c r="AJ38" s="42"/>
    </row>
    <row r="39" spans="2:36">
      <c r="B39" s="10">
        <v>31</v>
      </c>
      <c r="C39" s="11" t="str">
        <f ca="1">Sprache!E92</f>
        <v>San Bernardino</v>
      </c>
      <c r="D39" s="12">
        <v>1639</v>
      </c>
      <c r="E39" s="40">
        <v>-11</v>
      </c>
      <c r="F39" s="12">
        <v>3.9</v>
      </c>
      <c r="G39" s="10">
        <v>5586</v>
      </c>
      <c r="H39" s="87">
        <v>5840</v>
      </c>
      <c r="I39" s="87">
        <v>4982</v>
      </c>
      <c r="J39" s="88">
        <v>5236</v>
      </c>
      <c r="K39" s="87">
        <v>5434</v>
      </c>
      <c r="L39" s="87">
        <v>5396</v>
      </c>
      <c r="M39" s="87">
        <v>5088</v>
      </c>
      <c r="N39" s="87">
        <v>5141</v>
      </c>
      <c r="O39" s="87">
        <v>5108</v>
      </c>
      <c r="P39" s="87">
        <v>4968</v>
      </c>
      <c r="Q39" s="87">
        <v>5162</v>
      </c>
      <c r="R39" s="10">
        <v>5147</v>
      </c>
      <c r="S39" s="10">
        <v>5511</v>
      </c>
      <c r="T39" s="10">
        <v>4761</v>
      </c>
      <c r="U39" s="10">
        <v>4866</v>
      </c>
      <c r="V39" s="10">
        <v>4992</v>
      </c>
      <c r="W39" s="661">
        <v>5064</v>
      </c>
      <c r="X39" s="10"/>
      <c r="Y39" s="10"/>
      <c r="Z39" s="10"/>
      <c r="AA39" s="10"/>
      <c r="AB39" s="10"/>
      <c r="AD39" s="42"/>
      <c r="AE39" s="42"/>
      <c r="AF39" s="42"/>
      <c r="AG39" s="42"/>
      <c r="AJ39" s="42"/>
    </row>
    <row r="40" spans="2:36">
      <c r="B40" s="10">
        <v>32</v>
      </c>
      <c r="C40" s="11" t="str">
        <f ca="1">Sprache!E93</f>
        <v>St.Gallen</v>
      </c>
      <c r="D40" s="12">
        <v>779</v>
      </c>
      <c r="E40" s="40">
        <v>-9</v>
      </c>
      <c r="F40" s="12">
        <v>8.1999999999999993</v>
      </c>
      <c r="G40" s="10">
        <v>3844</v>
      </c>
      <c r="H40" s="87">
        <v>4087</v>
      </c>
      <c r="I40" s="87">
        <v>3233</v>
      </c>
      <c r="J40" s="88">
        <v>3668</v>
      </c>
      <c r="K40" s="87">
        <v>3967</v>
      </c>
      <c r="L40" s="87">
        <v>3104</v>
      </c>
      <c r="M40" s="87">
        <v>3418</v>
      </c>
      <c r="N40" s="87">
        <v>3630</v>
      </c>
      <c r="O40" s="87">
        <v>3581</v>
      </c>
      <c r="P40" s="87">
        <v>3211</v>
      </c>
      <c r="Q40" s="87">
        <v>3440</v>
      </c>
      <c r="R40" s="10">
        <v>3321</v>
      </c>
      <c r="S40" s="10">
        <v>3774</v>
      </c>
      <c r="T40" s="10">
        <v>3140</v>
      </c>
      <c r="U40" s="10">
        <v>3240</v>
      </c>
      <c r="V40" s="10">
        <v>3192</v>
      </c>
      <c r="W40" s="661">
        <v>3338</v>
      </c>
      <c r="X40" s="10"/>
      <c r="Y40" s="10"/>
      <c r="Z40" s="10"/>
      <c r="AA40" s="10"/>
      <c r="AB40" s="10"/>
      <c r="AD40" s="42"/>
      <c r="AE40" s="42"/>
      <c r="AF40" s="42"/>
      <c r="AG40" s="42"/>
      <c r="AJ40" s="42"/>
    </row>
    <row r="41" spans="2:36">
      <c r="B41" s="10">
        <v>33</v>
      </c>
      <c r="C41" s="11" t="str">
        <f ca="1">Sprache!E94</f>
        <v>Schaffhausen</v>
      </c>
      <c r="D41" s="12">
        <v>437</v>
      </c>
      <c r="E41" s="40">
        <v>-8</v>
      </c>
      <c r="F41" s="12">
        <v>9.4</v>
      </c>
      <c r="G41" s="10">
        <v>3443</v>
      </c>
      <c r="H41" s="87">
        <v>3614</v>
      </c>
      <c r="I41" s="87">
        <v>2956</v>
      </c>
      <c r="J41" s="88">
        <v>3326</v>
      </c>
      <c r="K41" s="87">
        <v>3491</v>
      </c>
      <c r="L41" s="87">
        <v>2745</v>
      </c>
      <c r="M41" s="87">
        <v>3023</v>
      </c>
      <c r="N41" s="87">
        <v>3289</v>
      </c>
      <c r="O41" s="87">
        <v>3271</v>
      </c>
      <c r="P41" s="87">
        <v>2843</v>
      </c>
      <c r="Q41" s="87">
        <v>3071</v>
      </c>
      <c r="R41" s="10">
        <v>2977</v>
      </c>
      <c r="S41" s="10">
        <v>3446</v>
      </c>
      <c r="T41" s="10">
        <v>2826</v>
      </c>
      <c r="U41" s="10">
        <v>2881</v>
      </c>
      <c r="V41" s="10">
        <v>2889</v>
      </c>
      <c r="W41" s="661">
        <v>3095</v>
      </c>
      <c r="X41" s="10"/>
      <c r="Y41" s="10"/>
      <c r="Z41" s="10"/>
      <c r="AA41" s="10"/>
      <c r="AB41" s="10"/>
      <c r="AD41" s="42"/>
      <c r="AE41" s="42"/>
      <c r="AF41" s="42"/>
      <c r="AG41" s="42"/>
      <c r="AJ41" s="42"/>
    </row>
    <row r="42" spans="2:36">
      <c r="B42" s="10">
        <v>34</v>
      </c>
      <c r="C42" s="11" t="str">
        <f ca="1">Sprache!E95</f>
        <v>Scuol</v>
      </c>
      <c r="D42" s="12">
        <v>1298</v>
      </c>
      <c r="E42" s="40">
        <v>-12</v>
      </c>
      <c r="F42" s="12">
        <v>5.5</v>
      </c>
      <c r="G42" s="10">
        <v>4866</v>
      </c>
      <c r="H42" s="87">
        <v>5060</v>
      </c>
      <c r="I42" s="87">
        <v>4317</v>
      </c>
      <c r="J42" s="88">
        <v>4736</v>
      </c>
      <c r="K42" s="87">
        <v>4851</v>
      </c>
      <c r="L42" s="87">
        <v>4388</v>
      </c>
      <c r="M42" s="87">
        <v>4494</v>
      </c>
      <c r="N42" s="87">
        <v>4667</v>
      </c>
      <c r="O42" s="87">
        <v>4728</v>
      </c>
      <c r="P42" s="87">
        <v>4190</v>
      </c>
      <c r="Q42" s="87">
        <v>4702</v>
      </c>
      <c r="R42" s="10">
        <v>4476</v>
      </c>
      <c r="S42" s="10">
        <v>4799</v>
      </c>
      <c r="T42" s="10">
        <v>4250</v>
      </c>
      <c r="U42" s="10">
        <v>4202</v>
      </c>
      <c r="V42" s="10">
        <v>4318</v>
      </c>
      <c r="W42" s="661">
        <v>4394</v>
      </c>
      <c r="X42" s="10"/>
      <c r="Y42" s="10"/>
      <c r="Z42" s="10"/>
      <c r="AA42" s="10"/>
      <c r="AB42" s="10"/>
      <c r="AD42" s="42"/>
      <c r="AE42" s="42"/>
      <c r="AF42" s="42"/>
      <c r="AG42" s="42"/>
      <c r="AJ42" s="42"/>
    </row>
    <row r="43" spans="2:36">
      <c r="B43" s="10">
        <v>35</v>
      </c>
      <c r="C43" s="11" t="str">
        <f ca="1">Sprache!E96</f>
        <v>Sion</v>
      </c>
      <c r="D43" s="12">
        <v>482</v>
      </c>
      <c r="E43" s="40">
        <v>-6</v>
      </c>
      <c r="F43" s="12">
        <v>10.1</v>
      </c>
      <c r="G43" s="10">
        <v>3195</v>
      </c>
      <c r="H43" s="87">
        <v>3210</v>
      </c>
      <c r="I43" s="87">
        <v>2790</v>
      </c>
      <c r="J43" s="88">
        <v>2914</v>
      </c>
      <c r="K43" s="87">
        <v>3153</v>
      </c>
      <c r="L43" s="87">
        <v>2477</v>
      </c>
      <c r="M43" s="87">
        <v>2880</v>
      </c>
      <c r="N43" s="87">
        <v>2995</v>
      </c>
      <c r="O43" s="87">
        <v>2883</v>
      </c>
      <c r="P43" s="87">
        <v>2623</v>
      </c>
      <c r="Q43" s="87">
        <v>2764</v>
      </c>
      <c r="R43" s="10">
        <v>2820</v>
      </c>
      <c r="S43" s="10">
        <v>3184</v>
      </c>
      <c r="T43" s="10">
        <v>2629</v>
      </c>
      <c r="U43" s="10">
        <v>2836</v>
      </c>
      <c r="V43" s="10">
        <v>2716</v>
      </c>
      <c r="W43" s="661">
        <v>2749</v>
      </c>
      <c r="X43" s="10"/>
      <c r="Y43" s="10"/>
      <c r="Z43" s="10"/>
      <c r="AA43" s="10"/>
      <c r="AB43" s="10"/>
      <c r="AD43" s="42"/>
      <c r="AE43" s="42"/>
      <c r="AF43" s="42"/>
      <c r="AG43" s="42"/>
      <c r="AJ43" s="42"/>
    </row>
    <row r="44" spans="2:36">
      <c r="B44" s="10">
        <v>36</v>
      </c>
      <c r="C44" s="11" t="str">
        <f ca="1">Sprache!E97</f>
        <v>Ulrichen</v>
      </c>
      <c r="D44" s="12">
        <v>1345</v>
      </c>
      <c r="E44" s="40">
        <v>-16</v>
      </c>
      <c r="F44" s="12">
        <v>3.7</v>
      </c>
      <c r="G44" s="85">
        <v>5546</v>
      </c>
      <c r="H44" s="87">
        <v>5717.6</v>
      </c>
      <c r="I44" s="87">
        <v>5039.8999999999996</v>
      </c>
      <c r="J44" s="88">
        <v>5319.4</v>
      </c>
      <c r="K44" s="87">
        <v>5525.3</v>
      </c>
      <c r="L44" s="87">
        <v>4968.3999999999996</v>
      </c>
      <c r="M44" s="87">
        <v>5100.5</v>
      </c>
      <c r="N44" s="87">
        <v>5200.1000000000004</v>
      </c>
      <c r="O44" s="87">
        <v>5212.8</v>
      </c>
      <c r="P44" s="87">
        <v>4807.8999999999996</v>
      </c>
      <c r="Q44" s="87">
        <v>5152.8999999999996</v>
      </c>
      <c r="R44" s="10">
        <v>5153</v>
      </c>
      <c r="S44" s="10">
        <v>5153</v>
      </c>
      <c r="T44" s="10">
        <v>4726</v>
      </c>
      <c r="U44" s="10">
        <v>4678</v>
      </c>
      <c r="V44" s="10">
        <v>4995</v>
      </c>
      <c r="W44" s="661">
        <v>4822</v>
      </c>
      <c r="X44" s="10"/>
      <c r="Y44" s="10"/>
      <c r="Z44" s="10"/>
      <c r="AA44" s="10"/>
      <c r="AB44" s="10"/>
      <c r="AD44" s="42"/>
      <c r="AE44" s="42"/>
      <c r="AF44" s="42"/>
      <c r="AG44" s="42"/>
      <c r="AJ44" s="42"/>
    </row>
    <row r="45" spans="2:36">
      <c r="B45" s="10">
        <v>37</v>
      </c>
      <c r="C45" s="11" t="str">
        <f ca="1">Sprache!E98</f>
        <v>Vaduz</v>
      </c>
      <c r="D45" s="12">
        <v>460</v>
      </c>
      <c r="E45" s="40">
        <v>-8</v>
      </c>
      <c r="F45" s="12">
        <v>10</v>
      </c>
      <c r="G45" s="10">
        <v>3213</v>
      </c>
      <c r="H45" s="87">
        <v>3209</v>
      </c>
      <c r="I45" s="87">
        <v>2712</v>
      </c>
      <c r="J45" s="88">
        <v>2986</v>
      </c>
      <c r="K45" s="87">
        <v>3255</v>
      </c>
      <c r="L45" s="87">
        <v>2382</v>
      </c>
      <c r="M45" s="87">
        <v>2909</v>
      </c>
      <c r="N45" s="87">
        <v>2976</v>
      </c>
      <c r="O45" s="87">
        <v>2959</v>
      </c>
      <c r="P45" s="87">
        <v>2594</v>
      </c>
      <c r="Q45" s="87">
        <v>2767</v>
      </c>
      <c r="R45" s="10">
        <v>2708</v>
      </c>
      <c r="S45" s="10">
        <v>3101</v>
      </c>
      <c r="T45" s="10">
        <v>2603</v>
      </c>
      <c r="U45" s="10">
        <v>2651</v>
      </c>
      <c r="V45" s="10">
        <v>2600</v>
      </c>
      <c r="W45" s="661">
        <v>2669</v>
      </c>
      <c r="X45" s="10"/>
      <c r="Y45" s="10"/>
      <c r="Z45" s="10"/>
      <c r="AA45" s="10"/>
      <c r="AB45" s="10"/>
      <c r="AD45" s="42"/>
      <c r="AE45" s="42"/>
      <c r="AF45" s="42"/>
      <c r="AG45" s="42"/>
      <c r="AJ45" s="42"/>
    </row>
    <row r="46" spans="2:36">
      <c r="B46" s="10">
        <v>38</v>
      </c>
      <c r="C46" s="11" t="str">
        <f ca="1">Sprache!E99</f>
        <v>Wynau</v>
      </c>
      <c r="D46" s="12">
        <v>422</v>
      </c>
      <c r="E46" s="40">
        <v>-7</v>
      </c>
      <c r="F46" s="12">
        <v>9</v>
      </c>
      <c r="G46" s="10">
        <v>3536</v>
      </c>
      <c r="H46" s="87">
        <v>3730</v>
      </c>
      <c r="I46" s="87">
        <v>3070</v>
      </c>
      <c r="J46" s="88">
        <v>3494</v>
      </c>
      <c r="K46" s="87">
        <v>3566</v>
      </c>
      <c r="L46" s="87">
        <v>2907</v>
      </c>
      <c r="M46" s="87">
        <v>3221</v>
      </c>
      <c r="N46" s="87">
        <v>3376</v>
      </c>
      <c r="O46" s="87">
        <v>3402</v>
      </c>
      <c r="P46" s="87">
        <v>2982</v>
      </c>
      <c r="Q46" s="87">
        <v>3204</v>
      </c>
      <c r="R46" s="10">
        <v>3017</v>
      </c>
      <c r="S46" s="10">
        <v>3483</v>
      </c>
      <c r="T46" s="10">
        <v>2887</v>
      </c>
      <c r="U46" s="10">
        <v>2935</v>
      </c>
      <c r="V46" s="10">
        <v>2927</v>
      </c>
      <c r="W46" s="661">
        <v>3116</v>
      </c>
      <c r="X46" s="10"/>
      <c r="Y46" s="10"/>
      <c r="Z46" s="10"/>
      <c r="AA46" s="10"/>
      <c r="AB46" s="10"/>
      <c r="AD46" s="42"/>
      <c r="AE46" s="42"/>
      <c r="AF46" s="42"/>
      <c r="AG46" s="42"/>
      <c r="AJ46" s="42"/>
    </row>
    <row r="47" spans="2:36">
      <c r="B47" s="10">
        <v>39</v>
      </c>
      <c r="C47" s="11" t="str">
        <f ca="1">Sprache!E100</f>
        <v>Zermatt</v>
      </c>
      <c r="D47" s="12">
        <v>1638</v>
      </c>
      <c r="E47" s="40">
        <v>-11</v>
      </c>
      <c r="F47" s="12">
        <v>4.3</v>
      </c>
      <c r="G47" s="10">
        <v>5388</v>
      </c>
      <c r="H47" s="87">
        <v>5686</v>
      </c>
      <c r="I47" s="87">
        <v>4871</v>
      </c>
      <c r="J47" s="88">
        <v>5153</v>
      </c>
      <c r="K47" s="87">
        <v>5444</v>
      </c>
      <c r="L47" s="87">
        <v>5120</v>
      </c>
      <c r="M47" s="87">
        <v>4955</v>
      </c>
      <c r="N47" s="87">
        <v>5121</v>
      </c>
      <c r="O47" s="87">
        <v>5034</v>
      </c>
      <c r="P47" s="87">
        <v>4027</v>
      </c>
      <c r="Q47" s="87">
        <v>4900</v>
      </c>
      <c r="R47" s="10">
        <v>4726</v>
      </c>
      <c r="S47" s="10">
        <v>5117</v>
      </c>
      <c r="T47" s="10">
        <v>4474</v>
      </c>
      <c r="U47" s="10">
        <v>4612</v>
      </c>
      <c r="V47" s="10">
        <v>4734</v>
      </c>
      <c r="W47" s="10">
        <v>4700</v>
      </c>
      <c r="X47" s="10"/>
      <c r="Y47" s="10"/>
      <c r="Z47" s="10"/>
      <c r="AA47" s="10"/>
      <c r="AB47" s="10"/>
      <c r="AD47" s="42"/>
      <c r="AE47" s="42"/>
      <c r="AF47" s="42"/>
      <c r="AG47" s="42"/>
      <c r="AJ47" s="42"/>
    </row>
    <row r="48" spans="2:36">
      <c r="B48" s="10">
        <v>40</v>
      </c>
      <c r="C48" s="11" t="str">
        <f ca="1">Sprache!E101</f>
        <v>Zürich-Kloten</v>
      </c>
      <c r="D48" s="12">
        <v>425</v>
      </c>
      <c r="E48" s="40">
        <v>-8</v>
      </c>
      <c r="F48" s="12">
        <v>9.4</v>
      </c>
      <c r="G48" s="10">
        <v>3432</v>
      </c>
      <c r="H48" s="87">
        <v>3602</v>
      </c>
      <c r="I48" s="87">
        <v>2955</v>
      </c>
      <c r="J48" s="88">
        <v>3248</v>
      </c>
      <c r="K48" s="87">
        <v>3436</v>
      </c>
      <c r="L48" s="87">
        <v>2790</v>
      </c>
      <c r="M48" s="87">
        <v>3064</v>
      </c>
      <c r="N48" s="87">
        <v>3329</v>
      </c>
      <c r="O48" s="87">
        <v>3267</v>
      </c>
      <c r="P48" s="87">
        <v>2896</v>
      </c>
      <c r="Q48" s="87">
        <v>3062</v>
      </c>
      <c r="R48" s="10">
        <v>2934</v>
      </c>
      <c r="S48" s="10">
        <v>3403</v>
      </c>
      <c r="T48" s="10">
        <v>2835</v>
      </c>
      <c r="U48" s="10">
        <v>2801</v>
      </c>
      <c r="V48" s="10">
        <v>2821</v>
      </c>
      <c r="W48" s="10">
        <v>3058</v>
      </c>
      <c r="X48" s="10"/>
      <c r="Y48" s="10"/>
      <c r="Z48" s="10"/>
      <c r="AA48" s="10"/>
      <c r="AB48" s="10"/>
      <c r="AD48" s="42"/>
      <c r="AE48" s="42"/>
      <c r="AF48" s="42"/>
      <c r="AG48" s="42"/>
      <c r="AJ48" s="42"/>
    </row>
    <row r="49" spans="2:36">
      <c r="B49" s="10">
        <v>41</v>
      </c>
      <c r="C49" s="11" t="str">
        <f ca="1">Sprache!E102</f>
        <v>Zürich-MeteoSchweiz</v>
      </c>
      <c r="D49" s="12">
        <v>556</v>
      </c>
      <c r="E49" s="40">
        <v>-8</v>
      </c>
      <c r="F49" s="12">
        <v>9.4</v>
      </c>
      <c r="G49" s="10">
        <v>3440</v>
      </c>
      <c r="H49" s="87">
        <v>3663</v>
      </c>
      <c r="I49" s="87">
        <v>2950</v>
      </c>
      <c r="J49" s="88">
        <v>3321</v>
      </c>
      <c r="K49" s="87">
        <v>3586</v>
      </c>
      <c r="L49" s="87">
        <v>2784</v>
      </c>
      <c r="M49" s="87">
        <v>3060</v>
      </c>
      <c r="N49" s="87">
        <v>3336</v>
      </c>
      <c r="O49" s="87">
        <v>3233</v>
      </c>
      <c r="P49" s="87">
        <v>2935</v>
      </c>
      <c r="Q49" s="87">
        <v>3112</v>
      </c>
      <c r="R49" s="10">
        <v>2933</v>
      </c>
      <c r="S49" s="10">
        <v>3401</v>
      </c>
      <c r="T49" s="10">
        <v>2776</v>
      </c>
      <c r="U49" s="10">
        <v>2907</v>
      </c>
      <c r="V49" s="10">
        <v>2874</v>
      </c>
      <c r="W49" s="10">
        <v>3066</v>
      </c>
      <c r="X49" s="10"/>
      <c r="Y49" s="10"/>
      <c r="Z49" s="10"/>
      <c r="AA49" s="10"/>
      <c r="AB49" s="10"/>
      <c r="AD49" s="42"/>
      <c r="AE49" s="42"/>
      <c r="AF49" s="42"/>
      <c r="AG49" s="42"/>
      <c r="AJ49" s="42"/>
    </row>
    <row r="50" spans="2:36">
      <c r="AD50" s="42"/>
      <c r="AE50" s="42"/>
      <c r="AF50" s="42"/>
      <c r="AG50" s="42"/>
      <c r="AJ50" s="42"/>
    </row>
    <row r="51" spans="2:36">
      <c r="AD51" s="42"/>
      <c r="AE51" s="42"/>
      <c r="AF51" s="42"/>
      <c r="AG51" s="42"/>
      <c r="AJ51" s="42"/>
    </row>
    <row r="52" spans="2:36">
      <c r="E52" s="84"/>
      <c r="F52" s="84"/>
      <c r="G52" s="84"/>
      <c r="H52" s="84"/>
      <c r="I52" s="84"/>
      <c r="J52" s="84"/>
      <c r="K52" s="84"/>
      <c r="L52" s="84"/>
      <c r="M52" s="84"/>
      <c r="N52" s="84"/>
      <c r="O52" s="84"/>
      <c r="P52" s="116"/>
      <c r="Q52" s="116"/>
      <c r="R52" s="116"/>
      <c r="S52" s="116"/>
      <c r="T52" s="116"/>
      <c r="U52" s="116"/>
      <c r="V52" s="116"/>
      <c r="W52" s="116"/>
      <c r="X52" s="116"/>
      <c r="Y52" s="116"/>
      <c r="Z52" s="116"/>
      <c r="AA52" s="116"/>
      <c r="AB52" s="116"/>
      <c r="AC52" s="116"/>
      <c r="AD52" s="116"/>
      <c r="AE52" s="116"/>
      <c r="AF52" s="116"/>
      <c r="AG52" s="116"/>
      <c r="AJ52" s="42"/>
    </row>
    <row r="53" spans="2:36">
      <c r="P53" s="116"/>
      <c r="Q53" s="116"/>
      <c r="R53" s="116"/>
      <c r="S53" s="116"/>
      <c r="T53" s="116"/>
      <c r="U53" s="116"/>
      <c r="V53" s="116"/>
      <c r="W53" s="116"/>
      <c r="X53" s="116"/>
      <c r="Y53" s="116"/>
      <c r="Z53" s="116"/>
      <c r="AA53" s="116"/>
      <c r="AB53" s="116"/>
      <c r="AC53" s="116"/>
      <c r="AD53" s="116"/>
      <c r="AE53" s="116"/>
      <c r="AF53" s="116"/>
      <c r="AG53" s="116"/>
      <c r="AJ53" s="42"/>
    </row>
    <row r="54" spans="2:36">
      <c r="AD54" s="42"/>
      <c r="AE54" s="42"/>
      <c r="AF54" s="42"/>
      <c r="AG54" s="42"/>
      <c r="AJ54" s="42"/>
    </row>
    <row r="55" spans="2:36">
      <c r="AD55" s="42"/>
      <c r="AE55" s="42"/>
      <c r="AF55" s="42"/>
      <c r="AG55" s="42"/>
      <c r="AJ55" s="42"/>
    </row>
    <row r="56" spans="2:36">
      <c r="AD56" s="42"/>
      <c r="AE56" s="42"/>
      <c r="AF56" s="42"/>
      <c r="AG56" s="42"/>
      <c r="AJ56" s="42"/>
    </row>
    <row r="57" spans="2:36">
      <c r="AD57" s="42"/>
      <c r="AE57" s="42"/>
      <c r="AF57" s="42"/>
      <c r="AG57" s="42"/>
      <c r="AJ57" s="42"/>
    </row>
    <row r="58" spans="2:36">
      <c r="AD58" s="42"/>
      <c r="AE58" s="42"/>
      <c r="AF58" s="42"/>
      <c r="AG58" s="42"/>
      <c r="AJ58" s="42"/>
    </row>
  </sheetData>
  <phoneticPr fontId="28" type="noConversion"/>
  <pageMargins left="0.7" right="0.7" top="0.78740157499999996" bottom="0.78740157499999996" header="0.3" footer="0.3"/>
  <pageSetup paperSize="9"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53EBB-213D-4801-9463-5EAF38C7FC07}">
  <sheetPr codeName="Tabelle11">
    <pageSetUpPr fitToPage="1"/>
  </sheetPr>
  <dimension ref="B1:AY109"/>
  <sheetViews>
    <sheetView zoomScale="90" zoomScaleNormal="90" zoomScalePageLayoutView="40" workbookViewId="0">
      <selection activeCell="F7" sqref="F7:G7"/>
    </sheetView>
  </sheetViews>
  <sheetFormatPr baseColWidth="10" defaultColWidth="11.42578125" defaultRowHeight="12.75"/>
  <cols>
    <col min="1" max="1" width="3.42578125" style="1" customWidth="1"/>
    <col min="2" max="2" width="11.42578125" style="1"/>
    <col min="3" max="3" width="45.5703125" style="1" customWidth="1"/>
    <col min="4" max="4" width="7.5703125" style="35" customWidth="1"/>
    <col min="5" max="5" width="11.140625" style="1" customWidth="1"/>
    <col min="6" max="6" width="12.85546875" style="1" customWidth="1"/>
    <col min="7" max="7" width="14.42578125" style="1" customWidth="1"/>
    <col min="8" max="8" width="15.42578125" style="1" customWidth="1"/>
    <col min="9" max="9" width="16.85546875" style="1" customWidth="1"/>
    <col min="10" max="10" width="4.42578125" style="1" customWidth="1"/>
    <col min="11" max="14" width="15.42578125" style="1" customWidth="1"/>
    <col min="15" max="15" width="4.42578125" style="1" customWidth="1"/>
    <col min="16" max="19" width="15.42578125" style="1" customWidth="1"/>
    <col min="20" max="20" width="4.42578125" style="1" customWidth="1"/>
    <col min="21" max="24" width="15.42578125" style="1" customWidth="1"/>
    <col min="25" max="25" width="4" style="1" customWidth="1"/>
    <col min="26" max="26" width="11.42578125" style="1"/>
    <col min="27" max="27" width="10.42578125" style="508" hidden="1" customWidth="1"/>
    <col min="28" max="28" width="11.42578125" style="508" hidden="1" customWidth="1"/>
    <col min="29" max="29" width="8.85546875" style="508" hidden="1" customWidth="1"/>
    <col min="30" max="30" width="10.28515625" style="508" hidden="1" customWidth="1"/>
    <col min="31" max="32" width="8.85546875" style="508" hidden="1" customWidth="1"/>
    <col min="33" max="33" width="2.85546875" style="508" hidden="1" customWidth="1"/>
    <col min="34" max="37" width="8.85546875" style="508" hidden="1" customWidth="1"/>
    <col min="38" max="38" width="2.85546875" style="508" hidden="1" customWidth="1"/>
    <col min="39" max="42" width="8.85546875" style="508" hidden="1" customWidth="1"/>
    <col min="43" max="43" width="2.85546875" style="508" hidden="1" customWidth="1"/>
    <col min="44" max="47" width="8.85546875" style="508" hidden="1" customWidth="1"/>
    <col min="48" max="48" width="0" style="508" hidden="1" customWidth="1"/>
    <col min="49" max="51" width="11.42578125" style="508"/>
    <col min="52" max="16384" width="11.42578125" style="1"/>
  </cols>
  <sheetData>
    <row r="1" spans="2:51" ht="18">
      <c r="B1" s="121" t="str">
        <f ca="1">Sprache!E460</f>
        <v>Eingabe der Varianten</v>
      </c>
    </row>
    <row r="2" spans="2:51" ht="17.25" customHeight="1">
      <c r="B2" s="8"/>
      <c r="C2" s="7"/>
      <c r="D2" s="62"/>
      <c r="F2" s="610" t="str">
        <f ca="1">Auswahllisten!B5</f>
        <v>Variante A</v>
      </c>
      <c r="G2" s="598"/>
      <c r="H2" s="598"/>
      <c r="I2" s="611"/>
      <c r="J2" s="472"/>
      <c r="K2" s="610" t="str">
        <f ca="1">Auswahllisten!C5</f>
        <v>Variante B</v>
      </c>
      <c r="L2" s="598"/>
      <c r="M2" s="598"/>
      <c r="N2" s="611"/>
      <c r="O2" s="472"/>
      <c r="P2" s="610" t="str">
        <f ca="1">Auswahllisten!D5</f>
        <v>Variante C</v>
      </c>
      <c r="Q2" s="598"/>
      <c r="R2" s="598"/>
      <c r="S2" s="611"/>
      <c r="T2" s="472"/>
      <c r="U2" s="610" t="str">
        <f ca="1">Auswahllisten!E5</f>
        <v>Variante D</v>
      </c>
      <c r="V2" s="598"/>
      <c r="W2" s="598"/>
      <c r="X2" s="611"/>
    </row>
    <row r="3" spans="2:51" ht="17.25" customHeight="1">
      <c r="B3" s="8"/>
      <c r="C3" s="7" t="str">
        <f ca="1">Sprache!E472</f>
        <v>Bezeichnung der Variante</v>
      </c>
      <c r="D3" s="62"/>
      <c r="F3" s="603" t="str">
        <f ca="1">F2</f>
        <v>Variante A</v>
      </c>
      <c r="G3" s="612"/>
      <c r="H3" s="612"/>
      <c r="I3" s="613"/>
      <c r="J3" s="231"/>
      <c r="K3" s="603" t="str">
        <f ca="1">K2</f>
        <v>Variante B</v>
      </c>
      <c r="L3" s="604"/>
      <c r="M3" s="604"/>
      <c r="N3" s="605"/>
      <c r="O3" s="152"/>
      <c r="P3" s="603" t="str">
        <f ca="1">P2</f>
        <v>Variante C</v>
      </c>
      <c r="Q3" s="604"/>
      <c r="R3" s="604"/>
      <c r="S3" s="605"/>
      <c r="T3" s="152"/>
      <c r="U3" s="603" t="str">
        <f ca="1">U2</f>
        <v>Variante D</v>
      </c>
      <c r="V3" s="604"/>
      <c r="W3" s="604"/>
      <c r="X3" s="605"/>
      <c r="AC3" s="508" t="s">
        <v>954</v>
      </c>
      <c r="AD3" s="509"/>
      <c r="AE3" s="509"/>
      <c r="AF3" s="509"/>
      <c r="AG3" s="509"/>
      <c r="AH3" s="508" t="s">
        <v>955</v>
      </c>
      <c r="AI3" s="509"/>
      <c r="AJ3" s="509"/>
      <c r="AK3" s="509"/>
      <c r="AL3" s="509"/>
      <c r="AM3" s="508" t="s">
        <v>956</v>
      </c>
      <c r="AN3" s="509"/>
      <c r="AO3" s="509"/>
      <c r="AP3" s="509"/>
      <c r="AQ3" s="509"/>
      <c r="AR3" s="508" t="s">
        <v>957</v>
      </c>
      <c r="AS3" s="509"/>
    </row>
    <row r="4" spans="2:51" ht="46.15" customHeight="1">
      <c r="B4" s="8"/>
      <c r="C4" s="473" t="str">
        <f ca="1">Sprache!E343</f>
        <v>Validierung Eingaben</v>
      </c>
      <c r="F4" s="608" t="str">
        <f ca="1">IF(AC4=0,"",IF(AC4=1,Sprache!$E$446,IF(AC4=2,Sprache!$E$447,IF(AC4=3,Sprache!$E$457,IF(AC4=4,Sprache!$E$458,IF(AC4=5,Sprache!$E$473,""))))))</f>
        <v/>
      </c>
      <c r="G4" s="609"/>
      <c r="H4" s="608" t="str">
        <f ca="1">IF(AE4=0,"",IF(AE4=1,Sprache!$E$446,IF(AE4=2,Sprache!$E$447,IF(AE4=3,Sprache!$E$457,IF(AE4=4,Sprache!$E$458,IF(AE4=5,Sprache!$E$473,""))))))</f>
        <v/>
      </c>
      <c r="I4" s="609"/>
      <c r="J4" s="474"/>
      <c r="K4" s="608" t="str">
        <f ca="1">IF(AH4=0,"",IF(AH4=1,Sprache!$E$446,IF(AH4=2,Sprache!$E$447,IF(AH4=3,Sprache!$E$457,IF(AH4=4,Sprache!$E$458,IF(AH4=5,Sprache!$E$473,""))))))</f>
        <v/>
      </c>
      <c r="L4" s="609"/>
      <c r="M4" s="608" t="str">
        <f ca="1">IF(AJ4=0,"",IF(AJ4=1,Sprache!$E$446,IF(AJ4=2,Sprache!$E$447,IF(AJ4=3,Sprache!$E$457,IF(AJ4=4,Sprache!$E$458,IF(AJ4=5,Sprache!$E$473,""))))))</f>
        <v/>
      </c>
      <c r="N4" s="609"/>
      <c r="O4" s="474"/>
      <c r="P4" s="608" t="str">
        <f ca="1">IF(AM4=0,"",IF(AM4=1,Sprache!$E$446,IF(AM4=2,Sprache!$E$447,IF(AM4=3,Sprache!$E$457,IF(AM4=4,Sprache!$E$458,IF(AM4=5,Sprache!$E$473,""))))))</f>
        <v/>
      </c>
      <c r="Q4" s="609"/>
      <c r="R4" s="608" t="str">
        <f ca="1">IF(AO4=0,"",IF(AO4=1,Sprache!$E$446,IF(AO4=2,Sprache!$E$447,IF(AO4=3,Sprache!$E$457,IF(AO4=4,Sprache!$E$458,IF(AO4=5,Sprache!$E$473,""))))))</f>
        <v/>
      </c>
      <c r="S4" s="609"/>
      <c r="T4" s="474"/>
      <c r="U4" s="608" t="str">
        <f ca="1">IF(AR4=0,"",IF(AR4=1,Sprache!$E$446,IF(AR4=2,Sprache!$E$447,IF(AR4=3,Sprache!$E$457,IF(AR4=4,Sprache!$E$458,IF(AR4=5,Sprache!$E$473,""))))))</f>
        <v/>
      </c>
      <c r="V4" s="609"/>
      <c r="W4" s="608" t="str">
        <f ca="1">IF(AT4=0,"",IF(AT4=1,Sprache!$E$446,IF(AT4=2,Sprache!$E$447,IF(AT4=3,Sprache!$E$457,IF(AT4=4,Sprache!$E$458,IF(AT4=5,Sprache!$E$473,""))))))</f>
        <v/>
      </c>
      <c r="X4" s="609"/>
      <c r="AC4" s="510">
        <f ca="1">IF(AC6=0,0,IF(AND(AC6&lt;&gt;0,G25&gt;2000),2,IF(AND(AC6&lt;&gt;0,G25=0),3,IF(AND(AC6&lt;&gt;0,G26+G27=0),4,IF(AND(AC6=5,G25&gt;200),5,1)))))</f>
        <v>0</v>
      </c>
      <c r="AE4" s="510">
        <f ca="1">IF(AE6=0,0,IF(AND(AE6&lt;&gt;0,I25&gt;2000),2,IF(AND(AE6&lt;&gt;0,I25=0),3,IF(AND(AE6&lt;&gt;0,I26+I27=0),4,IF(AND(AE6=5,I25&gt;200),5,1)))))</f>
        <v>0</v>
      </c>
      <c r="AH4" s="510">
        <f ca="1">IF(AH6=0,0,IF(AND(AH6&lt;&gt;0,L25&gt;2000),2,IF(AND(AH6&lt;&gt;0,L25=0),3,IF(AND(AH6&lt;&gt;0,L26+L27=0),4,IF(AND(AH6=5,L25&gt;200),5,1)))))</f>
        <v>0</v>
      </c>
      <c r="AJ4" s="510">
        <f ca="1">IF(AJ6=0,0,IF(AND(AJ6&lt;&gt;0,N25&gt;2000),2,IF(AND(AJ6&lt;&gt;0,N25=0),3,IF(AND(AJ6&lt;&gt;0,N26+N27=0),4,IF(AND(AJ6=5,N25&gt;200),5,1)))))</f>
        <v>0</v>
      </c>
      <c r="AM4" s="510">
        <f ca="1">IF(AM6=0,0,IF(AND(AM6&lt;&gt;0,Q25&gt;2000),2,IF(AND(AM6&lt;&gt;0,Q25=0),3,IF(AND(AM6&lt;&gt;0,Q26+Q27=0),4,IF(AND(AM6=5,Q25&gt;200),5,1)))))</f>
        <v>0</v>
      </c>
      <c r="AO4" s="510">
        <f ca="1">IF(AO6=0,0,IF(AND(AO6&lt;&gt;0,S25&gt;2000),2,IF(AND(AO6&lt;&gt;0,S25=0),3,IF(AND(AO6&lt;&gt;0,S26+S27=0),4,IF(AND(AO6=5,S25&gt;200),5,1)))))</f>
        <v>0</v>
      </c>
      <c r="AR4" s="510">
        <f ca="1">IF(AR6=0,0,IF(AND(AR6&lt;&gt;0,V25&gt;2000),2,IF(AND(AR6&lt;&gt;0,V25=0),3,IF(AND(AR6&lt;&gt;0,V26+V27=0),4,IF(AND(AR6=5,V25&gt;200),5,1)))))</f>
        <v>0</v>
      </c>
      <c r="AT4" s="510">
        <f ca="1">IF(AT6=0,0,IF(AND(AT6&lt;&gt;0,X25&gt;2000),2,IF(AND(AT6&lt;&gt;0,X25=0),3,IF(AND(AT6&lt;&gt;0,X26+X27=0),4,IF(AND(AT6=5,X25&gt;200),5,1)))))</f>
        <v>0</v>
      </c>
    </row>
    <row r="5" spans="2:51" customFormat="1" ht="17.25" customHeight="1">
      <c r="B5" s="121"/>
      <c r="C5" s="1"/>
      <c r="D5" s="35"/>
      <c r="E5" s="1"/>
      <c r="F5" s="1"/>
      <c r="G5" s="1"/>
      <c r="H5" s="1"/>
      <c r="I5" s="1"/>
      <c r="AA5" s="509"/>
      <c r="AB5" s="509"/>
      <c r="AC5" s="508"/>
      <c r="AD5" s="509"/>
      <c r="AE5" s="509"/>
      <c r="AF5" s="509"/>
      <c r="AG5" s="509"/>
      <c r="AH5" s="508"/>
      <c r="AI5" s="509"/>
      <c r="AJ5" s="509"/>
      <c r="AK5" s="509"/>
      <c r="AL5" s="509"/>
      <c r="AM5" s="508"/>
      <c r="AN5" s="509"/>
      <c r="AO5" s="509"/>
      <c r="AP5" s="509"/>
      <c r="AQ5" s="509"/>
      <c r="AR5" s="508"/>
      <c r="AS5" s="509"/>
      <c r="AT5" s="509"/>
      <c r="AU5" s="509"/>
      <c r="AV5" s="509"/>
      <c r="AW5" s="509"/>
      <c r="AX5" s="509"/>
      <c r="AY5" s="509"/>
    </row>
    <row r="6" spans="2:51" customFormat="1" ht="17.25" customHeight="1">
      <c r="B6" s="121"/>
      <c r="C6" s="1"/>
      <c r="D6" s="35"/>
      <c r="E6" s="1"/>
      <c r="F6" s="601" t="str">
        <f ca="1">Sprache!$E$340</f>
        <v>Wärmeerzeugung 1</v>
      </c>
      <c r="G6" s="601"/>
      <c r="H6" s="602" t="str">
        <f ca="1">Sprache!$E$341</f>
        <v>Wärmeerzeugung 2</v>
      </c>
      <c r="I6" s="602"/>
      <c r="J6" s="278"/>
      <c r="K6" s="601" t="str">
        <f ca="1">Sprache!$E$340</f>
        <v>Wärmeerzeugung 1</v>
      </c>
      <c r="L6" s="601"/>
      <c r="M6" s="602" t="str">
        <f ca="1">Sprache!$E$341</f>
        <v>Wärmeerzeugung 2</v>
      </c>
      <c r="N6" s="602"/>
      <c r="P6" s="601" t="str">
        <f ca="1">Sprache!$E$340</f>
        <v>Wärmeerzeugung 1</v>
      </c>
      <c r="Q6" s="601"/>
      <c r="R6" s="602" t="str">
        <f ca="1">Sprache!$E$341</f>
        <v>Wärmeerzeugung 2</v>
      </c>
      <c r="S6" s="602"/>
      <c r="U6" s="601" t="str">
        <f ca="1">Sprache!$E$340</f>
        <v>Wärmeerzeugung 1</v>
      </c>
      <c r="V6" s="601"/>
      <c r="W6" s="602" t="str">
        <f ca="1">Sprache!$E$341</f>
        <v>Wärmeerzeugung 2</v>
      </c>
      <c r="X6" s="602"/>
      <c r="AA6" s="509"/>
      <c r="AB6" s="511" t="s">
        <v>1211</v>
      </c>
      <c r="AC6" s="510">
        <f ca="1">VLOOKUP(F7,Auswahllisten!$E$9:$F$23,2,FALSE)</f>
        <v>0</v>
      </c>
      <c r="AD6" s="510">
        <f ca="1">AC6</f>
        <v>0</v>
      </c>
      <c r="AE6" s="510">
        <f ca="1">VLOOKUP(H7,Auswahllisten!$E$9:$F$23,2,FALSE)</f>
        <v>0</v>
      </c>
      <c r="AF6" s="510">
        <f ca="1">AE6</f>
        <v>0</v>
      </c>
      <c r="AG6" s="509"/>
      <c r="AH6" s="510">
        <f ca="1">VLOOKUP(K7,Auswahllisten!$E$9:$F$23,2,FALSE)</f>
        <v>0</v>
      </c>
      <c r="AI6" s="510">
        <f ca="1">AH6</f>
        <v>0</v>
      </c>
      <c r="AJ6" s="510">
        <f ca="1">VLOOKUP(M7,Auswahllisten!$E$9:$F$23,2,FALSE)</f>
        <v>0</v>
      </c>
      <c r="AK6" s="510">
        <f ca="1">AJ6</f>
        <v>0</v>
      </c>
      <c r="AL6" s="509"/>
      <c r="AM6" s="510">
        <f ca="1">VLOOKUP(P7,Auswahllisten!$E$9:$F$23,2,FALSE)</f>
        <v>0</v>
      </c>
      <c r="AN6" s="510">
        <f ca="1">AM6</f>
        <v>0</v>
      </c>
      <c r="AO6" s="510">
        <f ca="1">VLOOKUP(R7,Auswahllisten!$E$9:$F$23,2,FALSE)</f>
        <v>0</v>
      </c>
      <c r="AP6" s="510">
        <f ca="1">AO6</f>
        <v>0</v>
      </c>
      <c r="AQ6" s="509"/>
      <c r="AR6" s="510">
        <f ca="1">VLOOKUP(U7,Auswahllisten!$E$9:$F$23,2,FALSE)</f>
        <v>0</v>
      </c>
      <c r="AS6" s="510">
        <f ca="1">AR6</f>
        <v>0</v>
      </c>
      <c r="AT6" s="510">
        <f ca="1">VLOOKUP(W7,Auswahllisten!$E$9:$F$23,2,FALSE)</f>
        <v>0</v>
      </c>
      <c r="AU6" s="510">
        <f ca="1">AT6</f>
        <v>0</v>
      </c>
      <c r="AV6" s="509"/>
      <c r="AW6" s="509"/>
      <c r="AX6" s="509"/>
      <c r="AY6" s="509"/>
    </row>
    <row r="7" spans="2:51" customFormat="1" ht="17.25" customHeight="1">
      <c r="B7" s="121"/>
      <c r="C7" s="1"/>
      <c r="D7" s="35"/>
      <c r="E7" s="82" t="str">
        <f ca="1">Sprache!E342</f>
        <v>eBKP-H</v>
      </c>
      <c r="F7" s="592" t="s">
        <v>122</v>
      </c>
      <c r="G7" s="595"/>
      <c r="H7" s="599" t="s">
        <v>122</v>
      </c>
      <c r="I7" s="600"/>
      <c r="J7" s="232"/>
      <c r="K7" s="592" t="s">
        <v>122</v>
      </c>
      <c r="L7" s="593"/>
      <c r="M7" s="594" t="s">
        <v>122</v>
      </c>
      <c r="N7" s="595"/>
      <c r="P7" s="592" t="s">
        <v>122</v>
      </c>
      <c r="Q7" s="593"/>
      <c r="R7" s="594" t="s">
        <v>122</v>
      </c>
      <c r="S7" s="595"/>
      <c r="U7" s="592" t="s">
        <v>122</v>
      </c>
      <c r="V7" s="593"/>
      <c r="W7" s="594" t="s">
        <v>122</v>
      </c>
      <c r="X7" s="595"/>
      <c r="AA7" s="509"/>
      <c r="AB7" s="509"/>
      <c r="AC7" s="512" t="b">
        <v>1</v>
      </c>
      <c r="AD7" s="512" t="b">
        <v>1</v>
      </c>
      <c r="AE7" s="512" t="b">
        <f ca="1">(AC6&lt;&gt;0)</f>
        <v>0</v>
      </c>
      <c r="AF7" s="512" t="b">
        <f ca="1">AE7</f>
        <v>0</v>
      </c>
      <c r="AG7" s="509"/>
      <c r="AH7" s="512" t="b">
        <v>1</v>
      </c>
      <c r="AI7" s="512" t="b">
        <v>1</v>
      </c>
      <c r="AJ7" s="512" t="b">
        <f ca="1">(AH6&lt;&gt;0)</f>
        <v>0</v>
      </c>
      <c r="AK7" s="512" t="b">
        <f ca="1">AJ7</f>
        <v>0</v>
      </c>
      <c r="AL7" s="509"/>
      <c r="AM7" s="512" t="b">
        <v>1</v>
      </c>
      <c r="AN7" s="512" t="b">
        <v>1</v>
      </c>
      <c r="AO7" s="512" t="b">
        <f ca="1">(AM6&lt;&gt;0)</f>
        <v>0</v>
      </c>
      <c r="AP7" s="512" t="b">
        <f ca="1">AO7</f>
        <v>0</v>
      </c>
      <c r="AQ7" s="509"/>
      <c r="AR7" s="512" t="b">
        <v>1</v>
      </c>
      <c r="AS7" s="512" t="b">
        <v>1</v>
      </c>
      <c r="AT7" s="512" t="b">
        <f ca="1">(AR6&lt;&gt;0)</f>
        <v>0</v>
      </c>
      <c r="AU7" s="512" t="b">
        <f ca="1">AT7</f>
        <v>0</v>
      </c>
      <c r="AV7" s="509"/>
      <c r="AW7" s="509"/>
      <c r="AX7" s="509"/>
      <c r="AY7" s="509"/>
    </row>
    <row r="8" spans="2:51" customFormat="1" ht="17.25" customHeight="1">
      <c r="B8" s="121"/>
      <c r="C8" s="1"/>
      <c r="D8" s="7" t="str">
        <f ca="1">Sprache!E445</f>
        <v>* Die Kosten für  Investition und Unterhalt werden ohne Korrektur übernommen.</v>
      </c>
      <c r="E8" s="1"/>
      <c r="F8" s="280"/>
      <c r="G8" s="281"/>
      <c r="H8" s="280"/>
      <c r="I8" s="281"/>
      <c r="J8" s="279"/>
      <c r="K8" s="280"/>
      <c r="L8" s="281"/>
      <c r="M8" s="280"/>
      <c r="N8" s="281"/>
      <c r="AA8" s="509"/>
      <c r="AB8" s="509"/>
      <c r="AC8" s="508"/>
      <c r="AD8" s="509"/>
      <c r="AE8" s="509"/>
      <c r="AF8" s="509"/>
      <c r="AG8" s="509"/>
      <c r="AH8" s="508"/>
      <c r="AI8" s="509"/>
      <c r="AJ8" s="509"/>
      <c r="AK8" s="509"/>
      <c r="AL8" s="509"/>
      <c r="AM8" s="508"/>
      <c r="AN8" s="509"/>
      <c r="AO8" s="509"/>
      <c r="AP8" s="509"/>
      <c r="AQ8" s="509"/>
      <c r="AR8" s="508"/>
      <c r="AS8" s="509"/>
      <c r="AT8" s="509"/>
      <c r="AU8" s="509"/>
      <c r="AV8" s="509"/>
      <c r="AW8" s="509"/>
      <c r="AX8" s="509"/>
      <c r="AY8" s="509"/>
    </row>
    <row r="9" spans="2:51" customFormat="1" ht="17.25" customHeight="1">
      <c r="B9" s="273" t="str">
        <f ca="1">Sprache!$E$239</f>
        <v>Thermische Solaranlage</v>
      </c>
      <c r="C9" s="94"/>
      <c r="D9" s="285"/>
      <c r="E9" s="94"/>
      <c r="F9" s="94"/>
      <c r="G9" s="94"/>
      <c r="H9" s="94"/>
      <c r="I9" s="94"/>
      <c r="J9" s="274"/>
      <c r="K9" s="274"/>
      <c r="L9" s="274"/>
      <c r="M9" s="274"/>
      <c r="N9" s="274"/>
      <c r="O9" s="274"/>
      <c r="P9" s="274"/>
      <c r="Q9" s="274"/>
      <c r="R9" s="274"/>
      <c r="S9" s="274"/>
      <c r="T9" s="274"/>
      <c r="U9" s="274"/>
      <c r="V9" s="274"/>
      <c r="W9" s="274"/>
      <c r="X9" s="274"/>
      <c r="AA9" s="509"/>
      <c r="AB9" s="513" t="s">
        <v>1214</v>
      </c>
      <c r="AC9" s="512">
        <f ca="1">VLOOKUP(F10,Auswahllisten!$E$105:$F$107,2,FALSE)</f>
        <v>0</v>
      </c>
      <c r="AD9" s="512">
        <f ca="1">AC9</f>
        <v>0</v>
      </c>
      <c r="AE9" s="509"/>
      <c r="AF9" s="509"/>
      <c r="AG9" s="509"/>
      <c r="AH9" s="512">
        <f ca="1">VLOOKUP(K10,Auswahllisten!$E$105:$F$107,2,FALSE)</f>
        <v>0</v>
      </c>
      <c r="AI9" s="512">
        <f ca="1">AH9</f>
        <v>0</v>
      </c>
      <c r="AJ9" s="509"/>
      <c r="AK9" s="509"/>
      <c r="AL9" s="509"/>
      <c r="AM9" s="512">
        <f ca="1">VLOOKUP(P10,Auswahllisten!$E$105:$F$107,2,FALSE)</f>
        <v>0</v>
      </c>
      <c r="AN9" s="512">
        <f ca="1">AM9</f>
        <v>0</v>
      </c>
      <c r="AO9" s="509"/>
      <c r="AP9" s="509"/>
      <c r="AQ9" s="509"/>
      <c r="AR9" s="512">
        <f ca="1">VLOOKUP(U10,Auswahllisten!$E$105:$F$107,2,FALSE)</f>
        <v>0</v>
      </c>
      <c r="AS9" s="512">
        <f ca="1">AR9</f>
        <v>0</v>
      </c>
      <c r="AT9" s="509"/>
      <c r="AU9" s="509"/>
      <c r="AV9" s="509"/>
      <c r="AW9" s="509"/>
      <c r="AX9" s="509"/>
      <c r="AY9" s="509"/>
    </row>
    <row r="10" spans="2:51" customFormat="1" ht="17.25" customHeight="1">
      <c r="B10" s="1"/>
      <c r="C10" s="7" t="str">
        <f ca="1">Sprache!$E$306&amp;":"</f>
        <v>Solarthermie für :</v>
      </c>
      <c r="D10" s="35"/>
      <c r="E10" s="277"/>
      <c r="F10" s="596" t="s">
        <v>122</v>
      </c>
      <c r="G10" s="597"/>
      <c r="H10" s="298"/>
      <c r="K10" s="596" t="s">
        <v>122</v>
      </c>
      <c r="L10" s="597"/>
      <c r="P10" s="596" t="s">
        <v>122</v>
      </c>
      <c r="Q10" s="597"/>
      <c r="U10" s="596" t="s">
        <v>122</v>
      </c>
      <c r="V10" s="597"/>
      <c r="AA10" s="509"/>
      <c r="AB10" s="509"/>
      <c r="AC10" s="510" t="b">
        <f ca="1">(AC6&lt;&gt;0)</f>
        <v>0</v>
      </c>
      <c r="AD10" s="510" t="b">
        <f ca="1">AC10</f>
        <v>0</v>
      </c>
      <c r="AE10" s="508"/>
      <c r="AF10" s="508"/>
      <c r="AG10" s="509"/>
      <c r="AH10" s="510" t="b">
        <f ca="1">(AH6&lt;&gt;0)</f>
        <v>0</v>
      </c>
      <c r="AI10" s="510" t="b">
        <f ca="1">AH10</f>
        <v>0</v>
      </c>
      <c r="AJ10" s="509"/>
      <c r="AK10" s="509"/>
      <c r="AL10" s="509"/>
      <c r="AM10" s="510" t="b">
        <f ca="1">(AM6&lt;&gt;0)</f>
        <v>0</v>
      </c>
      <c r="AN10" s="510" t="b">
        <f ca="1">AM10</f>
        <v>0</v>
      </c>
      <c r="AO10" s="509"/>
      <c r="AP10" s="509"/>
      <c r="AQ10" s="509"/>
      <c r="AR10" s="510" t="b">
        <f ca="1">(AR6&lt;&gt;0)</f>
        <v>0</v>
      </c>
      <c r="AS10" s="510" t="b">
        <f ca="1">AR10</f>
        <v>0</v>
      </c>
      <c r="AT10" s="509"/>
      <c r="AU10" s="509"/>
      <c r="AV10" s="509"/>
      <c r="AW10" s="509"/>
      <c r="AX10" s="509"/>
      <c r="AY10" s="509"/>
    </row>
    <row r="11" spans="2:51" customFormat="1" ht="17.25" customHeight="1">
      <c r="B11" s="1"/>
      <c r="C11" s="129" t="str">
        <f ca="1">Sprache!$E$316&amp;":"</f>
        <v>Kollektorfläche (für Kosten):</v>
      </c>
      <c r="D11" s="35" t="s">
        <v>695</v>
      </c>
      <c r="E11" s="35" t="s">
        <v>1254</v>
      </c>
      <c r="F11" s="291"/>
      <c r="G11" s="242" t="str">
        <f ca="1">IF(AD11,Variante_A!$M$142,"")</f>
        <v/>
      </c>
      <c r="H11" s="262"/>
      <c r="I11" s="246"/>
      <c r="K11" s="291"/>
      <c r="L11" s="242" t="str">
        <f ca="1">IF(AI11,Variante_B!$M$142,"")</f>
        <v/>
      </c>
      <c r="P11" s="291"/>
      <c r="Q11" s="242" t="str">
        <f ca="1">IF(AN11,Variante_C!$M$142,"")</f>
        <v/>
      </c>
      <c r="U11" s="291"/>
      <c r="V11" s="242" t="str">
        <f ca="1">IF(AS11,Variante_D!$M$142,"")</f>
        <v/>
      </c>
      <c r="AA11" s="509"/>
      <c r="AB11" s="509"/>
      <c r="AC11" s="510" t="b">
        <f ca="1">AND(AC6&lt;&gt;0,AC9&lt;&gt;0)</f>
        <v>0</v>
      </c>
      <c r="AD11" s="510" t="b">
        <f t="shared" ref="AD11:AD22" ca="1" si="0">AC11</f>
        <v>0</v>
      </c>
      <c r="AE11" s="508"/>
      <c r="AF11" s="508"/>
      <c r="AG11" s="509"/>
      <c r="AH11" s="510" t="b">
        <f ca="1">AND(AH6&lt;&gt;0,AH9&lt;&gt;0)</f>
        <v>0</v>
      </c>
      <c r="AI11" s="510" t="b">
        <f t="shared" ref="AI11:AI22" ca="1" si="1">AH11</f>
        <v>0</v>
      </c>
      <c r="AJ11" s="509"/>
      <c r="AK11" s="509"/>
      <c r="AL11" s="509"/>
      <c r="AM11" s="510" t="b">
        <f ca="1">AND(AM6&lt;&gt;0,AM9&lt;&gt;0)</f>
        <v>0</v>
      </c>
      <c r="AN11" s="510" t="b">
        <f t="shared" ref="AN11:AN17" ca="1" si="2">AM11</f>
        <v>0</v>
      </c>
      <c r="AO11" s="509"/>
      <c r="AP11" s="509"/>
      <c r="AQ11" s="509"/>
      <c r="AR11" s="510" t="b">
        <f ca="1">AND(AR6&lt;&gt;0,AR9&lt;&gt;0)</f>
        <v>0</v>
      </c>
      <c r="AS11" s="510" t="b">
        <f t="shared" ref="AS11:AS17" ca="1" si="3">AR11</f>
        <v>0</v>
      </c>
      <c r="AT11" s="509"/>
      <c r="AU11" s="509"/>
      <c r="AV11" s="509"/>
      <c r="AW11" s="509"/>
      <c r="AX11" s="509"/>
      <c r="AY11" s="509"/>
    </row>
    <row r="12" spans="2:51" customFormat="1" ht="17.25" customHeight="1">
      <c r="B12" s="1"/>
      <c r="C12" s="129" t="str">
        <f ca="1">Sprache!$E$315&amp;":"</f>
        <v>Aperturfläche (für Ertrag):</v>
      </c>
      <c r="D12" s="35" t="s">
        <v>695</v>
      </c>
      <c r="E12" s="1"/>
      <c r="F12" s="291"/>
      <c r="G12" s="295" t="str">
        <f ca="1">IF(AD12,Energie!E64*0.001,"")</f>
        <v/>
      </c>
      <c r="H12" s="262"/>
      <c r="I12" s="1"/>
      <c r="K12" s="291"/>
      <c r="L12" s="295" t="str">
        <f ca="1">IF(AI12,Energie!G64*0.001,"")</f>
        <v/>
      </c>
      <c r="P12" s="291"/>
      <c r="Q12" s="295" t="str">
        <f ca="1">IF(AN12,Energie!I64*0.001,"")</f>
        <v/>
      </c>
      <c r="U12" s="291"/>
      <c r="V12" s="295" t="str">
        <f ca="1">IF(AS12,Energie!K64*0.001,"")</f>
        <v/>
      </c>
      <c r="AA12" s="509"/>
      <c r="AB12" s="509"/>
      <c r="AC12" s="510" t="b">
        <f ca="1">AND(AC6&lt;&gt;0,AC9&lt;&gt;0)</f>
        <v>0</v>
      </c>
      <c r="AD12" s="510" t="b">
        <f t="shared" ca="1" si="0"/>
        <v>0</v>
      </c>
      <c r="AE12" s="508"/>
      <c r="AF12" s="508"/>
      <c r="AG12" s="509"/>
      <c r="AH12" s="510" t="b">
        <f ca="1">AND(AH6&lt;&gt;0,AH9&lt;&gt;0)</f>
        <v>0</v>
      </c>
      <c r="AI12" s="510" t="b">
        <f t="shared" ca="1" si="1"/>
        <v>0</v>
      </c>
      <c r="AJ12" s="509"/>
      <c r="AK12" s="509"/>
      <c r="AL12" s="509"/>
      <c r="AM12" s="510" t="b">
        <f ca="1">AND(AM6&lt;&gt;0,AM9&lt;&gt;0)</f>
        <v>0</v>
      </c>
      <c r="AN12" s="510" t="b">
        <f t="shared" ca="1" si="2"/>
        <v>0</v>
      </c>
      <c r="AO12" s="509"/>
      <c r="AP12" s="509"/>
      <c r="AQ12" s="509"/>
      <c r="AR12" s="510" t="b">
        <f ca="1">AND(AR6&lt;&gt;0,AR9&lt;&gt;0)</f>
        <v>0</v>
      </c>
      <c r="AS12" s="510" t="b">
        <f t="shared" ca="1" si="3"/>
        <v>0</v>
      </c>
      <c r="AT12" s="509"/>
      <c r="AU12" s="509"/>
      <c r="AV12" s="509"/>
      <c r="AW12" s="509"/>
      <c r="AX12" s="509"/>
      <c r="AY12" s="509"/>
    </row>
    <row r="13" spans="2:51" customFormat="1" ht="17.25" customHeight="1">
      <c r="B13" s="1"/>
      <c r="C13" s="7" t="str">
        <f ca="1">Sprache!$E$273&amp;":"</f>
        <v>Ausrichtung:</v>
      </c>
      <c r="D13" s="35"/>
      <c r="E13" s="1"/>
      <c r="F13" s="292" t="s">
        <v>683</v>
      </c>
      <c r="G13" s="263"/>
      <c r="H13" s="254"/>
      <c r="I13" s="1"/>
      <c r="K13" s="292" t="s">
        <v>683</v>
      </c>
      <c r="L13" s="263"/>
      <c r="P13" s="292" t="s">
        <v>683</v>
      </c>
      <c r="Q13" s="263"/>
      <c r="U13" s="292" t="s">
        <v>683</v>
      </c>
      <c r="V13" s="263"/>
      <c r="AA13" s="509"/>
      <c r="AB13" s="509"/>
      <c r="AC13" s="510" t="b">
        <f ca="1">AND(AC6&lt;&gt;0,AC9&lt;&gt;0)</f>
        <v>0</v>
      </c>
      <c r="AD13" s="510" t="b">
        <f t="shared" ca="1" si="0"/>
        <v>0</v>
      </c>
      <c r="AE13" s="508"/>
      <c r="AF13" s="508"/>
      <c r="AG13" s="509"/>
      <c r="AH13" s="510" t="b">
        <f ca="1">AND(AH6&lt;&gt;0,AH9&lt;&gt;0)</f>
        <v>0</v>
      </c>
      <c r="AI13" s="510" t="b">
        <f t="shared" ca="1" si="1"/>
        <v>0</v>
      </c>
      <c r="AJ13" s="509"/>
      <c r="AK13" s="509"/>
      <c r="AL13" s="509"/>
      <c r="AM13" s="510" t="b">
        <f ca="1">AND(AM6&lt;&gt;0,AM9&lt;&gt;0)</f>
        <v>0</v>
      </c>
      <c r="AN13" s="510" t="b">
        <f t="shared" ca="1" si="2"/>
        <v>0</v>
      </c>
      <c r="AO13" s="509"/>
      <c r="AP13" s="509"/>
      <c r="AQ13" s="509"/>
      <c r="AR13" s="510" t="b">
        <f ca="1">AND(AR6&lt;&gt;0,AR9&lt;&gt;0)</f>
        <v>0</v>
      </c>
      <c r="AS13" s="510" t="b">
        <f t="shared" ca="1" si="3"/>
        <v>0</v>
      </c>
      <c r="AT13" s="509"/>
      <c r="AU13" s="509"/>
      <c r="AV13" s="509"/>
      <c r="AW13" s="509"/>
      <c r="AX13" s="509"/>
      <c r="AY13" s="509"/>
    </row>
    <row r="14" spans="2:51" customFormat="1" ht="17.25" customHeight="1">
      <c r="B14" s="1"/>
      <c r="C14" s="7" t="str">
        <f ca="1">Sprache!$E$274&amp;":"</f>
        <v>Neigung:</v>
      </c>
      <c r="D14" s="35"/>
      <c r="E14" s="1"/>
      <c r="F14" s="292">
        <v>45</v>
      </c>
      <c r="G14" s="259"/>
      <c r="H14" s="264"/>
      <c r="I14" s="257"/>
      <c r="K14" s="292">
        <v>45</v>
      </c>
      <c r="L14" s="259"/>
      <c r="P14" s="292">
        <v>45</v>
      </c>
      <c r="Q14" s="259"/>
      <c r="U14" s="292">
        <v>45</v>
      </c>
      <c r="V14" s="259"/>
      <c r="AA14" s="509"/>
      <c r="AB14" s="509"/>
      <c r="AC14" s="510" t="b">
        <f ca="1">AND(AC6&lt;&gt;0,AC9&lt;&gt;0)</f>
        <v>0</v>
      </c>
      <c r="AD14" s="510" t="b">
        <f t="shared" ca="1" si="0"/>
        <v>0</v>
      </c>
      <c r="AE14" s="508"/>
      <c r="AF14" s="508"/>
      <c r="AG14" s="509"/>
      <c r="AH14" s="510" t="b">
        <f ca="1">AND(AH6&lt;&gt;0,AH9&lt;&gt;0)</f>
        <v>0</v>
      </c>
      <c r="AI14" s="510" t="b">
        <f t="shared" ca="1" si="1"/>
        <v>0</v>
      </c>
      <c r="AJ14" s="509"/>
      <c r="AK14" s="509"/>
      <c r="AL14" s="509"/>
      <c r="AM14" s="510" t="b">
        <f ca="1">AND(AM6&lt;&gt;0,AM9&lt;&gt;0)</f>
        <v>0</v>
      </c>
      <c r="AN14" s="510" t="b">
        <f t="shared" ca="1" si="2"/>
        <v>0</v>
      </c>
      <c r="AO14" s="509"/>
      <c r="AP14" s="509"/>
      <c r="AQ14" s="509"/>
      <c r="AR14" s="510" t="b">
        <f ca="1">AND(AR6&lt;&gt;0,AR9&lt;&gt;0)</f>
        <v>0</v>
      </c>
      <c r="AS14" s="510" t="b">
        <f t="shared" ca="1" si="3"/>
        <v>0</v>
      </c>
      <c r="AT14" s="509"/>
      <c r="AU14" s="509"/>
      <c r="AV14" s="509"/>
      <c r="AW14" s="509"/>
      <c r="AX14" s="509"/>
      <c r="AY14" s="509"/>
    </row>
    <row r="15" spans="2:51" customFormat="1" ht="17.25" customHeight="1">
      <c r="B15" s="1"/>
      <c r="C15" s="7" t="str">
        <f ca="1">Sprache!$E$265&amp;":"</f>
        <v>Subventionsbeitrag:</v>
      </c>
      <c r="D15" s="35"/>
      <c r="E15" s="1"/>
      <c r="F15" s="588"/>
      <c r="G15" s="589"/>
      <c r="H15" s="260"/>
      <c r="I15" s="246"/>
      <c r="K15" s="588"/>
      <c r="L15" s="589"/>
      <c r="P15" s="588"/>
      <c r="Q15" s="589"/>
      <c r="U15" s="588"/>
      <c r="V15" s="589"/>
      <c r="AA15" s="509"/>
      <c r="AB15" s="509"/>
      <c r="AC15" s="510" t="b">
        <f ca="1">AND(AC6&lt;&gt;0,AC9&lt;&gt;0)</f>
        <v>0</v>
      </c>
      <c r="AD15" s="510" t="b">
        <f t="shared" ca="1" si="0"/>
        <v>0</v>
      </c>
      <c r="AE15" s="508"/>
      <c r="AF15" s="508"/>
      <c r="AG15" s="509"/>
      <c r="AH15" s="510" t="b">
        <f ca="1">AND(AH6&lt;&gt;0,AH9&lt;&gt;0)</f>
        <v>0</v>
      </c>
      <c r="AI15" s="510" t="b">
        <f t="shared" ca="1" si="1"/>
        <v>0</v>
      </c>
      <c r="AJ15" s="509"/>
      <c r="AK15" s="509"/>
      <c r="AL15" s="509"/>
      <c r="AM15" s="510" t="b">
        <f ca="1">AND(AM6&lt;&gt;0,AM9&lt;&gt;0)</f>
        <v>0</v>
      </c>
      <c r="AN15" s="510" t="b">
        <f t="shared" ca="1" si="2"/>
        <v>0</v>
      </c>
      <c r="AO15" s="509"/>
      <c r="AP15" s="509"/>
      <c r="AQ15" s="509"/>
      <c r="AR15" s="510" t="b">
        <f ca="1">AND(AR6&lt;&gt;0,AR9&lt;&gt;0)</f>
        <v>0</v>
      </c>
      <c r="AS15" s="510" t="b">
        <f t="shared" ca="1" si="3"/>
        <v>0</v>
      </c>
      <c r="AT15" s="509"/>
      <c r="AU15" s="509"/>
      <c r="AV15" s="509"/>
      <c r="AW15" s="509"/>
      <c r="AX15" s="509"/>
      <c r="AY15" s="509"/>
    </row>
    <row r="16" spans="2:51" customFormat="1" ht="17.25" customHeight="1">
      <c r="B16" s="1"/>
      <c r="C16" s="129" t="str">
        <f ca="1">Sprache!$E$47&amp;":"</f>
        <v>Heizwärmebedarf:</v>
      </c>
      <c r="D16" s="35"/>
      <c r="E16" s="1"/>
      <c r="F16" s="265"/>
      <c r="G16" s="295" t="str">
        <f ca="1">IF(AD16,Energie!E62*0.001,"")</f>
        <v/>
      </c>
      <c r="H16" s="266"/>
      <c r="I16" s="151"/>
      <c r="K16" s="265"/>
      <c r="L16" s="295" t="str">
        <f ca="1">IF(AI16,Energie!G62*0.001,"")</f>
        <v/>
      </c>
      <c r="P16" s="265"/>
      <c r="Q16" s="295" t="str">
        <f ca="1">IF(AN16,Energie!I62*0.001,"")</f>
        <v/>
      </c>
      <c r="U16" s="265"/>
      <c r="V16" s="295" t="str">
        <f ca="1">IF(AS16,Energie!K62*0.001,"")</f>
        <v/>
      </c>
      <c r="AA16" s="509"/>
      <c r="AB16" s="509"/>
      <c r="AC16" s="510" t="b">
        <f ca="1">AND(AC6&lt;&gt;0,AC9&lt;&gt;0)</f>
        <v>0</v>
      </c>
      <c r="AD16" s="510" t="b">
        <f t="shared" ca="1" si="0"/>
        <v>0</v>
      </c>
      <c r="AE16" s="508"/>
      <c r="AF16" s="508"/>
      <c r="AG16" s="509"/>
      <c r="AH16" s="510" t="b">
        <f ca="1">AND(AH6&lt;&gt;0,AH9&lt;&gt;0)</f>
        <v>0</v>
      </c>
      <c r="AI16" s="510" t="b">
        <f t="shared" ca="1" si="1"/>
        <v>0</v>
      </c>
      <c r="AJ16" s="509"/>
      <c r="AK16" s="509"/>
      <c r="AL16" s="509"/>
      <c r="AM16" s="510" t="b">
        <f ca="1">AND(AM6&lt;&gt;0,AM9&lt;&gt;0)</f>
        <v>0</v>
      </c>
      <c r="AN16" s="510" t="b">
        <f t="shared" ca="1" si="2"/>
        <v>0</v>
      </c>
      <c r="AO16" s="509"/>
      <c r="AP16" s="509"/>
      <c r="AQ16" s="509"/>
      <c r="AR16" s="510" t="b">
        <f ca="1">AND(AR6&lt;&gt;0,AR9&lt;&gt;0)</f>
        <v>0</v>
      </c>
      <c r="AS16" s="510" t="b">
        <f t="shared" ca="1" si="3"/>
        <v>0</v>
      </c>
      <c r="AT16" s="509"/>
      <c r="AU16" s="509"/>
      <c r="AV16" s="509"/>
      <c r="AW16" s="509"/>
      <c r="AX16" s="509"/>
      <c r="AY16" s="509"/>
    </row>
    <row r="17" spans="2:51" customFormat="1" ht="17.25" customHeight="1">
      <c r="B17" s="1"/>
      <c r="C17" s="129" t="str">
        <f ca="1">Sprache!$E$328&amp;":"</f>
        <v>Wärmebedarf für Warmwasser:</v>
      </c>
      <c r="D17" s="35"/>
      <c r="E17" s="1"/>
      <c r="F17" s="265"/>
      <c r="G17" s="295" t="str">
        <f ca="1">IF(AD17,Energie!E63*0.001,"")</f>
        <v/>
      </c>
      <c r="H17" s="266"/>
      <c r="I17" s="151"/>
      <c r="K17" s="265"/>
      <c r="L17" s="295" t="str">
        <f ca="1">IF(AI17,Energie!G63*0.001,"")</f>
        <v/>
      </c>
      <c r="P17" s="265"/>
      <c r="Q17" s="295" t="str">
        <f ca="1">IF(AN17,Energie!I63*0.001,"")</f>
        <v/>
      </c>
      <c r="U17" s="265"/>
      <c r="V17" s="295" t="str">
        <f ca="1">IF(AS17,Energie!K63*0.001,"")</f>
        <v/>
      </c>
      <c r="AA17" s="509"/>
      <c r="AB17" s="509"/>
      <c r="AC17" s="510" t="b">
        <f ca="1">AND(AC6&lt;&gt;0,AC9&lt;&gt;0)</f>
        <v>0</v>
      </c>
      <c r="AD17" s="510" t="b">
        <f t="shared" ca="1" si="0"/>
        <v>0</v>
      </c>
      <c r="AE17" s="508"/>
      <c r="AF17" s="508"/>
      <c r="AG17" s="509"/>
      <c r="AH17" s="510" t="b">
        <f ca="1">AND(AH6&lt;&gt;0,AH9&lt;&gt;0)</f>
        <v>0</v>
      </c>
      <c r="AI17" s="510" t="b">
        <f t="shared" ca="1" si="1"/>
        <v>0</v>
      </c>
      <c r="AJ17" s="509"/>
      <c r="AK17" s="509"/>
      <c r="AL17" s="509"/>
      <c r="AM17" s="510" t="b">
        <f ca="1">AND(AM6&lt;&gt;0,AM9&lt;&gt;0)</f>
        <v>0</v>
      </c>
      <c r="AN17" s="510" t="b">
        <f t="shared" ca="1" si="2"/>
        <v>0</v>
      </c>
      <c r="AO17" s="509"/>
      <c r="AP17" s="509"/>
      <c r="AQ17" s="509"/>
      <c r="AR17" s="510" t="b">
        <f ca="1">AND(AR6&lt;&gt;0,AR9&lt;&gt;0)</f>
        <v>0</v>
      </c>
      <c r="AS17" s="510" t="b">
        <f t="shared" ca="1" si="3"/>
        <v>0</v>
      </c>
      <c r="AT17" s="509"/>
      <c r="AU17" s="509"/>
      <c r="AV17" s="509"/>
      <c r="AW17" s="509"/>
      <c r="AX17" s="509"/>
      <c r="AY17" s="509"/>
    </row>
    <row r="18" spans="2:51" customFormat="1" ht="6.75" customHeight="1">
      <c r="B18" s="1"/>
      <c r="C18" s="168"/>
      <c r="D18" s="35"/>
      <c r="E18" s="1"/>
      <c r="F18" s="300"/>
      <c r="G18" s="261"/>
      <c r="H18" s="257"/>
      <c r="I18" s="151"/>
      <c r="K18" s="300"/>
      <c r="L18" s="261"/>
      <c r="P18" s="300"/>
      <c r="Q18" s="261"/>
      <c r="U18" s="300"/>
      <c r="V18" s="261"/>
      <c r="AA18" s="509"/>
      <c r="AB18" s="509"/>
      <c r="AC18" s="510"/>
      <c r="AD18" s="510"/>
      <c r="AE18" s="508"/>
      <c r="AF18" s="508"/>
      <c r="AG18" s="509"/>
      <c r="AH18" s="510"/>
      <c r="AI18" s="510"/>
      <c r="AJ18" s="509"/>
      <c r="AK18" s="509"/>
      <c r="AL18" s="509"/>
      <c r="AM18" s="510"/>
      <c r="AN18" s="510"/>
      <c r="AO18" s="509"/>
      <c r="AP18" s="509"/>
      <c r="AQ18" s="509"/>
      <c r="AR18" s="510"/>
      <c r="AS18" s="510"/>
      <c r="AT18" s="509"/>
      <c r="AU18" s="509"/>
      <c r="AV18" s="509"/>
      <c r="AW18" s="509"/>
      <c r="AX18" s="509"/>
      <c r="AY18" s="509"/>
    </row>
    <row r="19" spans="2:51" customFormat="1" ht="17.25" customHeight="1">
      <c r="B19" s="1"/>
      <c r="C19" s="129" t="str">
        <f ca="1">Sprache!$E$344&amp;":"</f>
        <v>Unterhalt:</v>
      </c>
      <c r="D19" s="35" t="s">
        <v>225</v>
      </c>
      <c r="E19" s="1"/>
      <c r="F19" s="293" t="s">
        <v>941</v>
      </c>
      <c r="G19" s="242" t="str">
        <f ca="1">IF(AD19,Variante_A!$M$211,"")</f>
        <v/>
      </c>
      <c r="H19" s="1"/>
      <c r="I19" s="1"/>
      <c r="K19" s="293" t="s">
        <v>941</v>
      </c>
      <c r="L19" s="242" t="str">
        <f ca="1">IF(AI19,Variante_B!$M$211,"")</f>
        <v/>
      </c>
      <c r="P19" s="293" t="s">
        <v>941</v>
      </c>
      <c r="Q19" s="242" t="str">
        <f ca="1">IF(AN19,Variante_C!$M$211,"")</f>
        <v/>
      </c>
      <c r="U19" s="293" t="s">
        <v>941</v>
      </c>
      <c r="V19" s="242" t="str">
        <f ca="1">IF(AS19,Variante_D!$M$211,"")</f>
        <v/>
      </c>
      <c r="AA19" s="509"/>
      <c r="AB19" s="509"/>
      <c r="AC19" s="510" t="b">
        <f ca="1">AND(AC6&lt;&gt;0,AC9&lt;&gt;0)</f>
        <v>0</v>
      </c>
      <c r="AD19" s="510" t="b">
        <f t="shared" ca="1" si="0"/>
        <v>0</v>
      </c>
      <c r="AE19" s="508"/>
      <c r="AF19" s="508"/>
      <c r="AG19" s="509"/>
      <c r="AH19" s="510" t="b">
        <f ca="1">AND(AH6&lt;&gt;0,AH9&lt;&gt;0)</f>
        <v>0</v>
      </c>
      <c r="AI19" s="510" t="b">
        <f t="shared" ca="1" si="1"/>
        <v>0</v>
      </c>
      <c r="AJ19" s="509"/>
      <c r="AK19" s="509"/>
      <c r="AL19" s="509"/>
      <c r="AM19" s="510" t="b">
        <f ca="1">AND(AM6&lt;&gt;0,AM9&lt;&gt;0)</f>
        <v>0</v>
      </c>
      <c r="AN19" s="510" t="b">
        <f t="shared" ref="AN19" ca="1" si="4">AM19</f>
        <v>0</v>
      </c>
      <c r="AO19" s="509"/>
      <c r="AP19" s="509"/>
      <c r="AQ19" s="509"/>
      <c r="AR19" s="510" t="b">
        <f ca="1">AND(AR6&lt;&gt;0,AR9&lt;&gt;0)</f>
        <v>0</v>
      </c>
      <c r="AS19" s="510" t="b">
        <f t="shared" ref="AS19" ca="1" si="5">AR19</f>
        <v>0</v>
      </c>
      <c r="AT19" s="509"/>
      <c r="AU19" s="509"/>
      <c r="AV19" s="509"/>
      <c r="AW19" s="509"/>
      <c r="AX19" s="509"/>
      <c r="AY19" s="509"/>
    </row>
    <row r="20" spans="2:51" customFormat="1" ht="6.75" customHeight="1">
      <c r="B20" s="1"/>
      <c r="C20" s="168"/>
      <c r="D20" s="35"/>
      <c r="E20" s="1"/>
      <c r="F20" s="257"/>
      <c r="G20" s="246"/>
      <c r="H20" s="1"/>
      <c r="I20" s="1"/>
      <c r="AA20" s="509"/>
      <c r="AB20" s="509"/>
      <c r="AC20" s="510"/>
      <c r="AD20" s="510"/>
      <c r="AE20" s="508"/>
      <c r="AF20" s="508"/>
      <c r="AG20" s="509"/>
      <c r="AH20" s="510"/>
      <c r="AI20" s="510"/>
      <c r="AJ20" s="509"/>
      <c r="AK20" s="509"/>
      <c r="AL20" s="509"/>
      <c r="AM20" s="510"/>
      <c r="AN20" s="510"/>
      <c r="AO20" s="509"/>
      <c r="AP20" s="509"/>
      <c r="AQ20" s="509"/>
      <c r="AR20" s="510"/>
      <c r="AS20" s="510"/>
      <c r="AT20" s="509"/>
      <c r="AU20" s="509"/>
      <c r="AV20" s="509"/>
      <c r="AW20" s="509"/>
      <c r="AX20" s="509"/>
      <c r="AY20" s="509"/>
    </row>
    <row r="21" spans="2:51" customFormat="1" ht="17.25" customHeight="1">
      <c r="B21" s="1"/>
      <c r="C21" s="129" t="str">
        <f ca="1">Sprache!E346&amp;":"</f>
        <v>Aufteilung auf Wärmeerzeuger, Anteil Heizwärme:</v>
      </c>
      <c r="D21" s="35" t="s">
        <v>201</v>
      </c>
      <c r="E21" s="1"/>
      <c r="F21" s="282"/>
      <c r="G21" s="470" t="str">
        <f ca="1">IF(AD21,Energie!E66*0.001,"")</f>
        <v/>
      </c>
      <c r="H21" s="233" t="str">
        <f ca="1">IF(AE21,1-F21,"")</f>
        <v/>
      </c>
      <c r="I21" s="470" t="str">
        <f ca="1">IF(AF21,Energie!F66*0.001,"")</f>
        <v/>
      </c>
      <c r="J21" s="465"/>
      <c r="K21" s="282"/>
      <c r="L21" s="470" t="str">
        <f ca="1">IF(AI21,Energie!G66*0.001,"")</f>
        <v/>
      </c>
      <c r="M21" s="233" t="str">
        <f ca="1">IF(AJ21,1-K21,"")</f>
        <v/>
      </c>
      <c r="N21" s="470" t="str">
        <f ca="1">IF(AK21,Energie!H66*0.001,"")</f>
        <v/>
      </c>
      <c r="O21" s="465"/>
      <c r="P21" s="282"/>
      <c r="Q21" s="470" t="str">
        <f ca="1">IF(AN21,Energie!I66*0.001,"")</f>
        <v/>
      </c>
      <c r="R21" s="233" t="str">
        <f ca="1">IF(AO21,1-P21,"")</f>
        <v/>
      </c>
      <c r="S21" s="470" t="str">
        <f ca="1">IF(AP21,Energie!L66*0.001,"")</f>
        <v/>
      </c>
      <c r="T21" s="465"/>
      <c r="U21" s="282"/>
      <c r="V21" s="470" t="str">
        <f ca="1">IF(AS21,Energie!Q66*0.001,"")</f>
        <v/>
      </c>
      <c r="W21" s="233" t="str">
        <f ca="1">IF(AT21,1-U21,"")</f>
        <v/>
      </c>
      <c r="X21" s="470" t="str">
        <f ca="1">IF(AU21,Energie!R66*0.001,"")</f>
        <v/>
      </c>
      <c r="AA21" s="509"/>
      <c r="AB21" s="509"/>
      <c r="AC21" s="510" t="b">
        <f ca="1">AND(AC6&lt;&gt;0,AC9=2)</f>
        <v>0</v>
      </c>
      <c r="AD21" s="510" t="b">
        <f t="shared" ca="1" si="0"/>
        <v>0</v>
      </c>
      <c r="AE21" s="510" t="b">
        <f ca="1">AND(AE6&lt;&gt;0,AC9=2)</f>
        <v>0</v>
      </c>
      <c r="AF21" s="510" t="b">
        <f ca="1">AE21</f>
        <v>0</v>
      </c>
      <c r="AG21" s="509"/>
      <c r="AH21" s="510" t="b">
        <f ca="1">AND(AH6&lt;&gt;0,AH9=2)</f>
        <v>0</v>
      </c>
      <c r="AI21" s="510" t="b">
        <f t="shared" ca="1" si="1"/>
        <v>0</v>
      </c>
      <c r="AJ21" s="510" t="b">
        <f ca="1">AND(AJ6&lt;&gt;0,AH9=2)</f>
        <v>0</v>
      </c>
      <c r="AK21" s="510" t="b">
        <f ca="1">AJ21</f>
        <v>0</v>
      </c>
      <c r="AL21" s="509"/>
      <c r="AM21" s="510" t="b">
        <f ca="1">AND(AM6&lt;&gt;0,AM9=2)</f>
        <v>0</v>
      </c>
      <c r="AN21" s="510" t="b">
        <f t="shared" ref="AN21:AN22" ca="1" si="6">AM21</f>
        <v>0</v>
      </c>
      <c r="AO21" s="510" t="b">
        <f ca="1">AND(AO6&lt;&gt;0,AM9=2)</f>
        <v>0</v>
      </c>
      <c r="AP21" s="510" t="b">
        <f ca="1">AO21</f>
        <v>0</v>
      </c>
      <c r="AQ21" s="509"/>
      <c r="AR21" s="510" t="b">
        <f ca="1">AND(AR6&lt;&gt;0,AR9=2)</f>
        <v>0</v>
      </c>
      <c r="AS21" s="510" t="b">
        <f t="shared" ref="AS21:AS22" ca="1" si="7">AR21</f>
        <v>0</v>
      </c>
      <c r="AT21" s="510" t="b">
        <f ca="1">AND(AT6&lt;&gt;0,AR9=2)</f>
        <v>0</v>
      </c>
      <c r="AU21" s="510" t="b">
        <f ca="1">AT21</f>
        <v>0</v>
      </c>
      <c r="AV21" s="509"/>
      <c r="AW21" s="509"/>
      <c r="AX21" s="509"/>
      <c r="AY21" s="509"/>
    </row>
    <row r="22" spans="2:51" customFormat="1" ht="17.25" customHeight="1">
      <c r="B22" s="1"/>
      <c r="C22" s="129" t="str">
        <f ca="1">Sprache!E347&amp;":"</f>
        <v>Aufteilung auf Wärmeerzeuger, Anteil Warmwasser:</v>
      </c>
      <c r="D22" s="35" t="s">
        <v>201</v>
      </c>
      <c r="E22" s="1"/>
      <c r="F22" s="282"/>
      <c r="G22" s="295" t="str">
        <f ca="1">IF(AD22,Energie!E67*0.001,"")</f>
        <v/>
      </c>
      <c r="H22" s="233" t="str">
        <f ca="1">IF(AE22,1-F22,"")</f>
        <v/>
      </c>
      <c r="I22" s="295" t="str">
        <f ca="1">IF(AF22,Energie!F67*0.001,"")</f>
        <v/>
      </c>
      <c r="J22" s="1"/>
      <c r="K22" s="282"/>
      <c r="L22" s="295" t="str">
        <f ca="1">IF(AI22,Energie!G67*0.001,"")</f>
        <v/>
      </c>
      <c r="M22" s="233" t="str">
        <f ca="1">IF(AJ22,1-K22,"")</f>
        <v/>
      </c>
      <c r="N22" s="295" t="str">
        <f ca="1">IF(AK22,Energie!H67*0.001,"")</f>
        <v/>
      </c>
      <c r="O22" s="1"/>
      <c r="P22" s="282"/>
      <c r="Q22" s="295" t="str">
        <f ca="1">IF(AN22,Energie!I67*0.001,"")</f>
        <v/>
      </c>
      <c r="R22" s="233" t="str">
        <f ca="1">IF(AO22,1-P22,"")</f>
        <v/>
      </c>
      <c r="S22" s="295" t="str">
        <f ca="1">IF(AP22,Energie!J67*0.001,"")</f>
        <v/>
      </c>
      <c r="T22" s="1"/>
      <c r="U22" s="282"/>
      <c r="V22" s="295" t="str">
        <f ca="1">IF(AS22,Energie!K67*0.001,"")</f>
        <v/>
      </c>
      <c r="W22" s="233" t="str">
        <f ca="1">IF(AT22,1-U22,"")</f>
        <v/>
      </c>
      <c r="X22" s="295" t="str">
        <f ca="1">IF(AU22,Energie!L67*0.001,"")</f>
        <v/>
      </c>
      <c r="AA22" s="509"/>
      <c r="AB22" s="509"/>
      <c r="AC22" s="510" t="b">
        <f ca="1">AND(AC6&lt;&gt;0,AC9&lt;&gt;0)</f>
        <v>0</v>
      </c>
      <c r="AD22" s="510" t="b">
        <f t="shared" ca="1" si="0"/>
        <v>0</v>
      </c>
      <c r="AE22" s="510" t="b">
        <f ca="1">AND(AE6&lt;&gt;0,AC9&lt;&gt;0)</f>
        <v>0</v>
      </c>
      <c r="AF22" s="510" t="b">
        <f ca="1">AE22</f>
        <v>0</v>
      </c>
      <c r="AG22" s="509"/>
      <c r="AH22" s="510" t="b">
        <f ca="1">AND(AH6&lt;&gt;0,AH9&lt;&gt;0)</f>
        <v>0</v>
      </c>
      <c r="AI22" s="510" t="b">
        <f t="shared" ca="1" si="1"/>
        <v>0</v>
      </c>
      <c r="AJ22" s="510" t="b">
        <f ca="1">AND(AJ6&lt;&gt;0,AH9&lt;&gt;0)</f>
        <v>0</v>
      </c>
      <c r="AK22" s="510" t="b">
        <f ca="1">AJ22</f>
        <v>0</v>
      </c>
      <c r="AL22" s="509"/>
      <c r="AM22" s="510" t="b">
        <f ca="1">AND(AM6&lt;&gt;0,AM9&lt;&gt;0)</f>
        <v>0</v>
      </c>
      <c r="AN22" s="510" t="b">
        <f t="shared" ca="1" si="6"/>
        <v>0</v>
      </c>
      <c r="AO22" s="510" t="b">
        <f ca="1">AND(AO6&lt;&gt;0,AM9&lt;&gt;0)</f>
        <v>0</v>
      </c>
      <c r="AP22" s="510" t="b">
        <f ca="1">AO22</f>
        <v>0</v>
      </c>
      <c r="AQ22" s="509"/>
      <c r="AR22" s="510" t="b">
        <f ca="1">AND(AR6&lt;&gt;0,AR9&lt;&gt;0)</f>
        <v>0</v>
      </c>
      <c r="AS22" s="510" t="b">
        <f t="shared" ca="1" si="7"/>
        <v>0</v>
      </c>
      <c r="AT22" s="510" t="b">
        <f ca="1">AND(AT6&lt;&gt;0,AR9&lt;&gt;0)</f>
        <v>0</v>
      </c>
      <c r="AU22" s="510" t="b">
        <f ca="1">AT22</f>
        <v>0</v>
      </c>
      <c r="AV22" s="509"/>
      <c r="AW22" s="509"/>
      <c r="AX22" s="509"/>
      <c r="AY22" s="509"/>
    </row>
    <row r="23" spans="2:51" customFormat="1" ht="17.25" customHeight="1">
      <c r="D23" s="21"/>
      <c r="AA23" s="509"/>
      <c r="AB23" s="509"/>
      <c r="AC23" s="508"/>
      <c r="AD23" s="509"/>
      <c r="AE23" s="509"/>
      <c r="AF23" s="509"/>
      <c r="AG23" s="509"/>
      <c r="AH23" s="508"/>
      <c r="AI23" s="509"/>
      <c r="AJ23" s="509"/>
      <c r="AK23" s="509"/>
      <c r="AL23" s="509"/>
      <c r="AM23" s="508"/>
      <c r="AN23" s="509"/>
      <c r="AO23" s="509"/>
      <c r="AP23" s="509"/>
      <c r="AQ23" s="509"/>
      <c r="AR23" s="508"/>
      <c r="AS23" s="509"/>
      <c r="AT23" s="509"/>
      <c r="AU23" s="509"/>
      <c r="AV23" s="509"/>
      <c r="AW23" s="509"/>
      <c r="AX23" s="509"/>
      <c r="AY23" s="509"/>
    </row>
    <row r="24" spans="2:51" ht="17.25" customHeight="1">
      <c r="B24" s="321" t="str">
        <f ca="1">Sprache!E345</f>
        <v>Wärmeerzeugung</v>
      </c>
      <c r="C24" s="275"/>
      <c r="D24" s="276"/>
      <c r="E24" s="94"/>
      <c r="F24" s="606"/>
      <c r="G24" s="606"/>
      <c r="H24" s="591"/>
      <c r="I24" s="591"/>
      <c r="J24" s="270"/>
      <c r="K24" s="606"/>
      <c r="L24" s="607"/>
      <c r="M24" s="591"/>
      <c r="N24" s="598"/>
      <c r="O24" s="270"/>
      <c r="P24" s="606"/>
      <c r="Q24" s="607"/>
      <c r="R24" s="591"/>
      <c r="S24" s="598"/>
      <c r="T24" s="270"/>
      <c r="U24" s="606"/>
      <c r="V24" s="607"/>
      <c r="W24" s="591"/>
      <c r="X24" s="598"/>
      <c r="AC24" s="508" t="s">
        <v>1079</v>
      </c>
      <c r="AE24" s="508" t="s">
        <v>1080</v>
      </c>
      <c r="AH24" s="508" t="s">
        <v>1079</v>
      </c>
      <c r="AJ24" s="508" t="s">
        <v>1080</v>
      </c>
      <c r="AM24" s="508" t="s">
        <v>1079</v>
      </c>
      <c r="AO24" s="508" t="s">
        <v>1080</v>
      </c>
      <c r="AR24" s="508" t="s">
        <v>1079</v>
      </c>
      <c r="AT24" s="508" t="s">
        <v>1080</v>
      </c>
    </row>
    <row r="25" spans="2:51" ht="17.25" customHeight="1">
      <c r="C25" s="129" t="str">
        <f ca="1">Sprache!E107&amp;":"</f>
        <v>Wärmeerzeugerleistung:</v>
      </c>
      <c r="D25" s="35" t="s">
        <v>201</v>
      </c>
      <c r="E25" s="35"/>
      <c r="F25" s="329"/>
      <c r="G25" s="235" t="str">
        <f ca="1">IF(AD25,F25*Energie!$K$3,"")</f>
        <v/>
      </c>
      <c r="H25" s="329"/>
      <c r="I25" s="235" t="str">
        <f ca="1">IF(AF25,H25*Energie!$K$3,"")</f>
        <v/>
      </c>
      <c r="J25" s="234"/>
      <c r="K25" s="329"/>
      <c r="L25" s="235" t="str">
        <f ca="1">IF(AI25,K25*Energie!$K$3,"")</f>
        <v/>
      </c>
      <c r="M25" s="329"/>
      <c r="N25" s="235" t="str">
        <f ca="1">IF(AK25,M25*Energie!$K$3,"")</f>
        <v/>
      </c>
      <c r="O25" s="234"/>
      <c r="P25" s="329"/>
      <c r="Q25" s="235" t="str">
        <f ca="1">IF(AN25,P25*Energie!$K$3,"")</f>
        <v/>
      </c>
      <c r="R25" s="329"/>
      <c r="S25" s="235" t="str">
        <f ca="1">IF(AP25,R25*Energie!$K$3,"")</f>
        <v/>
      </c>
      <c r="T25" s="234"/>
      <c r="U25" s="329"/>
      <c r="V25" s="235" t="str">
        <f ca="1">IF(AS25,U25*Energie!$K$3,"")</f>
        <v/>
      </c>
      <c r="W25" s="329"/>
      <c r="X25" s="235" t="str">
        <f ca="1">IF(AU25,W25*Energie!$K$3,"")</f>
        <v/>
      </c>
      <c r="AC25" s="510" t="b">
        <f ca="1">(AC6&lt;&gt;0)</f>
        <v>0</v>
      </c>
      <c r="AD25" s="510" t="b">
        <f ca="1">(AD6&lt;&gt;0)</f>
        <v>0</v>
      </c>
      <c r="AE25" s="510" t="b">
        <f ca="1">(AE6&lt;&gt;0)</f>
        <v>0</v>
      </c>
      <c r="AF25" s="510" t="b">
        <f ca="1">(AF6&lt;&gt;0)</f>
        <v>0</v>
      </c>
      <c r="AH25" s="510" t="b">
        <f ca="1">(AH6&lt;&gt;0)</f>
        <v>0</v>
      </c>
      <c r="AI25" s="510" t="b">
        <f ca="1">(AI6&lt;&gt;0)</f>
        <v>0</v>
      </c>
      <c r="AJ25" s="510" t="b">
        <f ca="1">(AJ6&lt;&gt;0)</f>
        <v>0</v>
      </c>
      <c r="AK25" s="510" t="b">
        <f ca="1">(AK6&lt;&gt;0)</f>
        <v>0</v>
      </c>
      <c r="AM25" s="510" t="b">
        <f ca="1">(AM6&lt;&gt;0)</f>
        <v>0</v>
      </c>
      <c r="AN25" s="510" t="b">
        <f ca="1">(AN6&lt;&gt;0)</f>
        <v>0</v>
      </c>
      <c r="AO25" s="510" t="b">
        <f ca="1">(AO6&lt;&gt;0)</f>
        <v>0</v>
      </c>
      <c r="AP25" s="510" t="b">
        <f ca="1">(AP6&lt;&gt;0)</f>
        <v>0</v>
      </c>
      <c r="AR25" s="510" t="b">
        <f ca="1">(AR6&lt;&gt;0)</f>
        <v>0</v>
      </c>
      <c r="AS25" s="510" t="b">
        <f ca="1">(AS6&lt;&gt;0)</f>
        <v>0</v>
      </c>
      <c r="AT25" s="510" t="b">
        <f ca="1">(AT6&lt;&gt;0)</f>
        <v>0</v>
      </c>
      <c r="AU25" s="510" t="b">
        <f ca="1">(AU6&lt;&gt;0)</f>
        <v>0</v>
      </c>
    </row>
    <row r="26" spans="2:51" ht="17.25" customHeight="1">
      <c r="C26" s="129" t="str">
        <f ca="1">Sprache!E348&amp;":"</f>
        <v>Anteil Heizwärme:</v>
      </c>
      <c r="D26" s="35" t="s">
        <v>201</v>
      </c>
      <c r="E26" s="35"/>
      <c r="F26" s="329"/>
      <c r="G26" s="237" t="str">
        <f ca="1">IF(AD26,Energie!E69*0.001,"")</f>
        <v/>
      </c>
      <c r="H26" s="233" t="str">
        <f ca="1">IF(AE26,1-F26,"")</f>
        <v/>
      </c>
      <c r="I26" s="237" t="str">
        <f ca="1">IF(AF26,Energie!F69*0.001,"")</f>
        <v/>
      </c>
      <c r="J26" s="234"/>
      <c r="K26" s="329"/>
      <c r="L26" s="237" t="str">
        <f ca="1">IF(AI26,Energie!G69*0.001,"")</f>
        <v/>
      </c>
      <c r="M26" s="233" t="str">
        <f ca="1">IF(AJ26,1-K26,"")</f>
        <v/>
      </c>
      <c r="N26" s="237" t="str">
        <f ca="1">IF(AK26,Energie!H69*0.001,"")</f>
        <v/>
      </c>
      <c r="O26" s="234"/>
      <c r="P26" s="329"/>
      <c r="Q26" s="237" t="str">
        <f ca="1">IF(AN26,Energie!I69*0.001,"")</f>
        <v/>
      </c>
      <c r="R26" s="233" t="str">
        <f ca="1">IF(AO26,1-P26,"")</f>
        <v/>
      </c>
      <c r="S26" s="237" t="str">
        <f ca="1">IF(AP26,Energie!J69*0.001,"")</f>
        <v/>
      </c>
      <c r="T26" s="234"/>
      <c r="U26" s="329"/>
      <c r="V26" s="237" t="str">
        <f ca="1">IF(AS26,Energie!K69*0.001,"")</f>
        <v/>
      </c>
      <c r="W26" s="233" t="str">
        <f ca="1">IF(AT26,1-U26,"")</f>
        <v/>
      </c>
      <c r="X26" s="237" t="str">
        <f ca="1">IF(AU26,Energie!L69*0.001,"")</f>
        <v/>
      </c>
      <c r="AC26" s="510" t="b">
        <f ca="1">(AC6&lt;&gt;0)</f>
        <v>0</v>
      </c>
      <c r="AD26" s="510" t="b">
        <f ca="1">(AD6&lt;&gt;0)</f>
        <v>0</v>
      </c>
      <c r="AE26" s="510" t="b">
        <f ca="1">(AE6&lt;&gt;0)</f>
        <v>0</v>
      </c>
      <c r="AF26" s="510" t="b">
        <f ca="1">(AF6&lt;&gt;0)</f>
        <v>0</v>
      </c>
      <c r="AH26" s="510" t="b">
        <f ca="1">(AH6&lt;&gt;0)</f>
        <v>0</v>
      </c>
      <c r="AI26" s="510" t="b">
        <f ca="1">(AI6&lt;&gt;0)</f>
        <v>0</v>
      </c>
      <c r="AJ26" s="510" t="b">
        <f ca="1">(AJ6&lt;&gt;0)</f>
        <v>0</v>
      </c>
      <c r="AK26" s="510" t="b">
        <f ca="1">(AK6&lt;&gt;0)</f>
        <v>0</v>
      </c>
      <c r="AM26" s="510" t="b">
        <f ca="1">(AM6&lt;&gt;0)</f>
        <v>0</v>
      </c>
      <c r="AN26" s="510" t="b">
        <f ca="1">(AN6&lt;&gt;0)</f>
        <v>0</v>
      </c>
      <c r="AO26" s="510" t="b">
        <f ca="1">(AO6&lt;&gt;0)</f>
        <v>0</v>
      </c>
      <c r="AP26" s="510" t="b">
        <f ca="1">(AP6&lt;&gt;0)</f>
        <v>0</v>
      </c>
      <c r="AR26" s="510" t="b">
        <f ca="1">(AR6&lt;&gt;0)</f>
        <v>0</v>
      </c>
      <c r="AS26" s="510" t="b">
        <f ca="1">(AS6&lt;&gt;0)</f>
        <v>0</v>
      </c>
      <c r="AT26" s="510" t="b">
        <f ca="1">(AT6&lt;&gt;0)</f>
        <v>0</v>
      </c>
      <c r="AU26" s="510" t="b">
        <f ca="1">(AU6&lt;&gt;0)</f>
        <v>0</v>
      </c>
    </row>
    <row r="27" spans="2:51" ht="17.25" customHeight="1">
      <c r="C27" s="129" t="str">
        <f ca="1">Sprache!E349&amp;":"</f>
        <v>Anteil Wassererwärmung:</v>
      </c>
      <c r="D27" s="35" t="s">
        <v>201</v>
      </c>
      <c r="E27" s="35"/>
      <c r="F27" s="329"/>
      <c r="G27" s="237" t="str">
        <f ca="1">IF(AD27,Energie!E70*0.001,"")</f>
        <v/>
      </c>
      <c r="H27" s="233" t="str">
        <f ca="1">IF(AE27,1-F27,"")</f>
        <v/>
      </c>
      <c r="I27" s="237" t="str">
        <f ca="1">IF(AF27,0.001*Energie!F70,"")</f>
        <v/>
      </c>
      <c r="J27" s="236"/>
      <c r="K27" s="329"/>
      <c r="L27" s="237" t="str">
        <f ca="1">IF(AI27,Energie!G70*0.001,"")</f>
        <v/>
      </c>
      <c r="M27" s="233" t="str">
        <f ca="1">IF(AJ27,1-K27,"")</f>
        <v/>
      </c>
      <c r="N27" s="237" t="str">
        <f ca="1">IF(AK27,0.001*Energie!H70,"")</f>
        <v/>
      </c>
      <c r="O27" s="236"/>
      <c r="P27" s="329"/>
      <c r="Q27" s="237" t="str">
        <f ca="1">IF(AN27,Energie!I70*0.001,"")</f>
        <v/>
      </c>
      <c r="R27" s="233" t="str">
        <f ca="1">IF(AO27,1-P27,"")</f>
        <v/>
      </c>
      <c r="S27" s="237" t="str">
        <f ca="1">IF(AP27,0.001*Energie!J70,"")</f>
        <v/>
      </c>
      <c r="T27" s="236"/>
      <c r="U27" s="329"/>
      <c r="V27" s="237" t="str">
        <f ca="1">IF(AS27,Energie!K70*0.001,"")</f>
        <v/>
      </c>
      <c r="W27" s="233" t="str">
        <f ca="1">IF(AT27,1-U27,"")</f>
        <v/>
      </c>
      <c r="X27" s="237" t="str">
        <f ca="1">IF(AU27,0.001*Energie!L70,"")</f>
        <v/>
      </c>
      <c r="AC27" s="510" t="b">
        <f ca="1">(AC6&lt;&gt;0)</f>
        <v>0</v>
      </c>
      <c r="AD27" s="510" t="b">
        <f ca="1">(AD6&lt;&gt;0)</f>
        <v>0</v>
      </c>
      <c r="AE27" s="510" t="b">
        <f ca="1">(AE6&lt;&gt;0)</f>
        <v>0</v>
      </c>
      <c r="AF27" s="510" t="b">
        <f ca="1">(AF6&lt;&gt;0)</f>
        <v>0</v>
      </c>
      <c r="AH27" s="510" t="b">
        <f ca="1">(AH6&lt;&gt;0)</f>
        <v>0</v>
      </c>
      <c r="AI27" s="510" t="b">
        <f ca="1">(AI6&lt;&gt;0)</f>
        <v>0</v>
      </c>
      <c r="AJ27" s="510" t="b">
        <f ca="1">(AJ6&lt;&gt;0)</f>
        <v>0</v>
      </c>
      <c r="AK27" s="510" t="b">
        <f ca="1">(AK6&lt;&gt;0)</f>
        <v>0</v>
      </c>
      <c r="AM27" s="510" t="b">
        <f ca="1">(AM6&lt;&gt;0)</f>
        <v>0</v>
      </c>
      <c r="AN27" s="510" t="b">
        <f ca="1">(AN6&lt;&gt;0)</f>
        <v>0</v>
      </c>
      <c r="AO27" s="510" t="b">
        <f ca="1">(AO6&lt;&gt;0)</f>
        <v>0</v>
      </c>
      <c r="AP27" s="510" t="b">
        <f ca="1">(AP6&lt;&gt;0)</f>
        <v>0</v>
      </c>
      <c r="AR27" s="510" t="b">
        <f ca="1">(AR6&lt;&gt;0)</f>
        <v>0</v>
      </c>
      <c r="AS27" s="510" t="b">
        <f ca="1">(AS6&lt;&gt;0)</f>
        <v>0</v>
      </c>
      <c r="AT27" s="510" t="b">
        <f ca="1">(AT6&lt;&gt;0)</f>
        <v>0</v>
      </c>
      <c r="AU27" s="510" t="b">
        <f ca="1">(AU6&lt;&gt;0)</f>
        <v>0</v>
      </c>
    </row>
    <row r="28" spans="2:51" ht="17.25" customHeight="1">
      <c r="C28" s="129" t="str">
        <f ca="1">Sprache!E350&amp;":"</f>
        <v>Anteil Biogas (Anteil im Energieträger):</v>
      </c>
      <c r="D28" s="35" t="s">
        <v>201</v>
      </c>
      <c r="E28" s="35"/>
      <c r="F28" s="329"/>
      <c r="G28" s="237" t="str">
        <f ca="1">IF(AD28,(G26+G27)*F28,"")</f>
        <v/>
      </c>
      <c r="H28" s="329"/>
      <c r="I28" s="237" t="str">
        <f ca="1">IF(AF28,(I26+I27)*H28,"")</f>
        <v/>
      </c>
      <c r="J28" s="236"/>
      <c r="K28" s="329"/>
      <c r="L28" s="237" t="str">
        <f ca="1">IF(AI28,(L26+L27)*K28,"")</f>
        <v/>
      </c>
      <c r="M28" s="329"/>
      <c r="N28" s="237" t="str">
        <f ca="1">IF(AK28,(N26+N27)*M28,"")</f>
        <v/>
      </c>
      <c r="O28" s="236"/>
      <c r="P28" s="329"/>
      <c r="Q28" s="237" t="str">
        <f ca="1">IF(AN28,(Q26+Q27)*P28,"")</f>
        <v/>
      </c>
      <c r="R28" s="329"/>
      <c r="S28" s="237" t="str">
        <f ca="1">IF(AP28,(S26+S27)*R28,"")</f>
        <v/>
      </c>
      <c r="T28" s="236"/>
      <c r="U28" s="329"/>
      <c r="V28" s="237" t="str">
        <f ca="1">IF(AS28,(V26+V27)*U28,"")</f>
        <v/>
      </c>
      <c r="W28" s="329"/>
      <c r="X28" s="237" t="str">
        <f ca="1">IF(AU28,(X26+X27)*W28,"")</f>
        <v/>
      </c>
      <c r="AC28" s="510" t="b">
        <f ca="1">OR(AC6=2,AC6=8)</f>
        <v>0</v>
      </c>
      <c r="AD28" s="510" t="b">
        <f ca="1">OR(AD6=2,AD6=8)</f>
        <v>0</v>
      </c>
      <c r="AE28" s="510" t="b">
        <f ca="1">OR(AE6=2,AE6=8)</f>
        <v>0</v>
      </c>
      <c r="AF28" s="510" t="b">
        <f ca="1">OR(AF6=2,AF6=8)</f>
        <v>0</v>
      </c>
      <c r="AH28" s="510" t="b">
        <f ca="1">OR(AH6=2,AH6=8)</f>
        <v>0</v>
      </c>
      <c r="AI28" s="510" t="b">
        <f ca="1">OR(AI6=2,AI6=8)</f>
        <v>0</v>
      </c>
      <c r="AJ28" s="510" t="b">
        <f ca="1">OR(AJ6=2,AJ6=8)</f>
        <v>0</v>
      </c>
      <c r="AK28" s="510" t="b">
        <f ca="1">OR(AK6=2,AK6=8)</f>
        <v>0</v>
      </c>
      <c r="AM28" s="510" t="b">
        <f ca="1">OR(AM6=2,AM6=8)</f>
        <v>0</v>
      </c>
      <c r="AN28" s="510" t="b">
        <f ca="1">OR(AN6=2,AN6=8)</f>
        <v>0</v>
      </c>
      <c r="AO28" s="510" t="b">
        <f ca="1">OR(AO6=2,AO6=8)</f>
        <v>0</v>
      </c>
      <c r="AP28" s="510" t="b">
        <f ca="1">OR(AP6=2,AP6=8)</f>
        <v>0</v>
      </c>
      <c r="AR28" s="510" t="b">
        <f ca="1">OR(AR6=2,AR6=8)</f>
        <v>0</v>
      </c>
      <c r="AS28" s="510" t="b">
        <f ca="1">OR(AS6=2,AS6=8)</f>
        <v>0</v>
      </c>
      <c r="AT28" s="510" t="b">
        <f ca="1">OR(AT6=2,AT6=8)</f>
        <v>0</v>
      </c>
      <c r="AU28" s="510" t="b">
        <f ca="1">OR(AU6=2,AU6=8)</f>
        <v>0</v>
      </c>
    </row>
    <row r="29" spans="2:51" ht="17.25" customHeight="1">
      <c r="C29" s="129" t="str">
        <f ca="1">Sprache!E351&amp;":"</f>
        <v>Eigenstromverbrauch:</v>
      </c>
      <c r="D29" s="35" t="s">
        <v>201</v>
      </c>
      <c r="E29" s="35"/>
      <c r="F29" s="329"/>
      <c r="G29" s="239" t="str">
        <f ca="1">IF(AC29,Energie!E101*0.001,"")</f>
        <v/>
      </c>
      <c r="H29" s="329"/>
      <c r="I29" s="283" t="str">
        <f ca="1">IF(AF29,Energie!F101*0.001,"")</f>
        <v/>
      </c>
      <c r="J29" s="236"/>
      <c r="K29" s="329"/>
      <c r="L29" s="239" t="str">
        <f ca="1">IF(AH29,Energie!G101*0.001,"")</f>
        <v/>
      </c>
      <c r="M29" s="329"/>
      <c r="N29" s="283" t="str">
        <f ca="1">IF(AK29,Energie!H101*0.001,"")</f>
        <v/>
      </c>
      <c r="O29" s="236"/>
      <c r="P29" s="329"/>
      <c r="Q29" s="239" t="str">
        <f ca="1">IF(AM29,Energie!I101*0.001,"")</f>
        <v/>
      </c>
      <c r="R29" s="329"/>
      <c r="S29" s="283" t="str">
        <f ca="1">IF(AP29,Energie!J101*0.001,"")</f>
        <v/>
      </c>
      <c r="T29" s="236"/>
      <c r="U29" s="329"/>
      <c r="V29" s="239" t="str">
        <f ca="1">IF(AR29,Energie!K101*0.001,"")</f>
        <v/>
      </c>
      <c r="W29" s="329"/>
      <c r="X29" s="239" t="str">
        <f ca="1">IF(AU29,Energie!L101*0.001,"")</f>
        <v/>
      </c>
      <c r="AC29" s="510" t="b">
        <f ca="1">(AC6=8)</f>
        <v>0</v>
      </c>
      <c r="AD29" s="510" t="b">
        <f ca="1">(AD6=8)</f>
        <v>0</v>
      </c>
      <c r="AE29" s="510" t="b">
        <f ca="1">(AE6=8)</f>
        <v>0</v>
      </c>
      <c r="AF29" s="510" t="b">
        <f ca="1">(AF6=8)</f>
        <v>0</v>
      </c>
      <c r="AH29" s="510" t="b">
        <f ca="1">(AH6=8)</f>
        <v>0</v>
      </c>
      <c r="AI29" s="510" t="b">
        <f ca="1">(AI6=8)</f>
        <v>0</v>
      </c>
      <c r="AJ29" s="510" t="b">
        <f ca="1">(AJ6=8)</f>
        <v>0</v>
      </c>
      <c r="AK29" s="510" t="b">
        <f ca="1">(AK6=8)</f>
        <v>0</v>
      </c>
      <c r="AM29" s="510" t="b">
        <f ca="1">(AM6=8)</f>
        <v>0</v>
      </c>
      <c r="AN29" s="510" t="b">
        <f ca="1">(AN6=8)</f>
        <v>0</v>
      </c>
      <c r="AO29" s="510" t="b">
        <f ca="1">(AO6=8)</f>
        <v>0</v>
      </c>
      <c r="AP29" s="510" t="b">
        <f ca="1">(AP6=8)</f>
        <v>0</v>
      </c>
      <c r="AR29" s="510" t="b">
        <f ca="1">(AR6=8)</f>
        <v>0</v>
      </c>
      <c r="AS29" s="510" t="b">
        <f ca="1">(AS6=8)</f>
        <v>0</v>
      </c>
      <c r="AT29" s="510" t="b">
        <f ca="1">(AT6=8)</f>
        <v>0</v>
      </c>
      <c r="AU29" s="510" t="b">
        <f ca="1">(AU6=8)</f>
        <v>0</v>
      </c>
    </row>
    <row r="30" spans="2:51" ht="6.75" customHeight="1">
      <c r="C30" s="168"/>
      <c r="E30" s="35"/>
      <c r="F30" s="238"/>
      <c r="G30" s="239"/>
      <c r="H30" s="240"/>
      <c r="I30" s="241"/>
      <c r="J30" s="236"/>
      <c r="K30" s="238"/>
      <c r="L30" s="239"/>
      <c r="M30" s="240"/>
      <c r="N30" s="241"/>
      <c r="O30" s="236"/>
      <c r="P30" s="238"/>
      <c r="Q30" s="239"/>
      <c r="R30" s="238"/>
      <c r="S30" s="239"/>
      <c r="T30" s="236"/>
      <c r="U30" s="238"/>
      <c r="V30" s="239"/>
      <c r="W30" s="238"/>
      <c r="X30" s="239"/>
    </row>
    <row r="31" spans="2:51" ht="17.25" customHeight="1">
      <c r="C31" s="129" t="str">
        <f ca="1">Sprache!E184&amp;":"</f>
        <v>Erdsondenbohrungen/Absorber:</v>
      </c>
      <c r="D31" s="35" t="s">
        <v>175</v>
      </c>
      <c r="E31" s="35" t="s">
        <v>1217</v>
      </c>
      <c r="F31" s="330" t="s">
        <v>941</v>
      </c>
      <c r="G31" s="242" t="str">
        <f ca="1">IF(AD31,Variante_A!$M$72+Variante_A!$M$82,"")</f>
        <v/>
      </c>
      <c r="H31" s="330" t="s">
        <v>985</v>
      </c>
      <c r="I31" s="243" t="str">
        <f ca="1">IF(AF31,Variante_A!$X$72+Variante_A!$X$82,"")</f>
        <v/>
      </c>
      <c r="J31" s="244"/>
      <c r="K31" s="330" t="s">
        <v>941</v>
      </c>
      <c r="L31" s="242" t="str">
        <f ca="1">IF(AI31,Variante_B!$M$72+Variante_B!$M$82,"")</f>
        <v/>
      </c>
      <c r="M31" s="330" t="s">
        <v>985</v>
      </c>
      <c r="N31" s="243" t="str">
        <f ca="1">IF(AK31,Variante_B!$X$72+Variante_B!$X$82,"")</f>
        <v/>
      </c>
      <c r="O31" s="244"/>
      <c r="P31" s="330" t="s">
        <v>941</v>
      </c>
      <c r="Q31" s="242" t="str">
        <f ca="1">IF(AN31,Variante_C!$M$72+Variante_C!$M$82,"")</f>
        <v/>
      </c>
      <c r="R31" s="330" t="s">
        <v>985</v>
      </c>
      <c r="S31" s="243" t="str">
        <f ca="1">IF(AP31,Variante_C!$X$72+Variante_C!$X$82,"")</f>
        <v/>
      </c>
      <c r="T31" s="244"/>
      <c r="U31" s="330" t="s">
        <v>941</v>
      </c>
      <c r="V31" s="242" t="str">
        <f ca="1">IF(AS31,Variante_D!$M$72+Variante_D!$M$82,"")</f>
        <v/>
      </c>
      <c r="W31" s="330" t="s">
        <v>985</v>
      </c>
      <c r="X31" s="242" t="str">
        <f ca="1">IF(AU31,Variante_D!$X$72+Variante_D!$X$82,"")</f>
        <v/>
      </c>
      <c r="AC31" s="514" t="b">
        <f ca="1">OR(AC6=7,AC6=14)</f>
        <v>0</v>
      </c>
      <c r="AD31" s="514" t="b">
        <f ca="1">AC31</f>
        <v>0</v>
      </c>
      <c r="AE31" s="510" t="b">
        <f ca="1">AND(AE7,OR(AE6=7,AE6=14))</f>
        <v>0</v>
      </c>
      <c r="AF31" s="510" t="b">
        <f ca="1">AE31</f>
        <v>0</v>
      </c>
      <c r="AH31" s="514" t="b">
        <f ca="1">OR(AH6=7,AH6=14)</f>
        <v>0</v>
      </c>
      <c r="AI31" s="514" t="b">
        <f ca="1">AH31</f>
        <v>0</v>
      </c>
      <c r="AJ31" s="510" t="b">
        <f ca="1">AND(AJ7,OR(AJ6=7,AJ6=14))</f>
        <v>0</v>
      </c>
      <c r="AK31" s="510" t="b">
        <f ca="1">AJ31</f>
        <v>0</v>
      </c>
      <c r="AM31" s="514" t="b">
        <f ca="1">OR(AM6=7,AM6=14)</f>
        <v>0</v>
      </c>
      <c r="AN31" s="514" t="b">
        <f ca="1">AM31</f>
        <v>0</v>
      </c>
      <c r="AO31" s="510" t="b">
        <f ca="1">AND(AO7,OR(AO6=7,AO6=14))</f>
        <v>0</v>
      </c>
      <c r="AP31" s="510" t="b">
        <f ca="1">AO31</f>
        <v>0</v>
      </c>
      <c r="AR31" s="514" t="b">
        <f ca="1">OR(AR6=7,AR6=14)</f>
        <v>0</v>
      </c>
      <c r="AS31" s="514" t="b">
        <f ca="1">AR31</f>
        <v>0</v>
      </c>
      <c r="AT31" s="510" t="b">
        <f ca="1">AND(AT7,OR(AT6=7,AT6=14))</f>
        <v>0</v>
      </c>
      <c r="AU31" s="510" t="b">
        <f ca="1">AT31</f>
        <v>0</v>
      </c>
    </row>
    <row r="32" spans="2:51" ht="17.25" customHeight="1">
      <c r="C32" s="129" t="str">
        <f ca="1">Sprache!E160&amp;":"</f>
        <v>Grundwasserschacht:</v>
      </c>
      <c r="D32" s="35" t="s">
        <v>175</v>
      </c>
      <c r="E32" s="35" t="s">
        <v>1217</v>
      </c>
      <c r="F32" s="330" t="s">
        <v>941</v>
      </c>
      <c r="G32" s="242" t="str">
        <f ca="1">IF(AD32,Variante_A!$M$61,"")</f>
        <v/>
      </c>
      <c r="H32" s="330" t="s">
        <v>985</v>
      </c>
      <c r="I32" s="243" t="str">
        <f ca="1">IF(AF32,Variante_A!$X$61,"")</f>
        <v/>
      </c>
      <c r="J32" s="244"/>
      <c r="K32" s="330" t="s">
        <v>941</v>
      </c>
      <c r="L32" s="242" t="str">
        <f ca="1">IF(AI32,Variante_B!$M$61,"")</f>
        <v/>
      </c>
      <c r="M32" s="330" t="s">
        <v>985</v>
      </c>
      <c r="N32" s="243" t="str">
        <f ca="1">IF(AK32,Variante_B!$X$61,"")</f>
        <v/>
      </c>
      <c r="O32" s="244"/>
      <c r="P32" s="330" t="s">
        <v>941</v>
      </c>
      <c r="Q32" s="242" t="str">
        <f ca="1">IF(AN32,Variante_C!$M$61,"")</f>
        <v/>
      </c>
      <c r="R32" s="330" t="s">
        <v>985</v>
      </c>
      <c r="S32" s="243" t="str">
        <f ca="1">IF(AP32,Variante_C!$X$61,"")</f>
        <v/>
      </c>
      <c r="T32" s="244"/>
      <c r="U32" s="330" t="s">
        <v>941</v>
      </c>
      <c r="V32" s="242" t="str">
        <f ca="1">IF(AS32,Variante_D!$M$61,"")</f>
        <v/>
      </c>
      <c r="W32" s="330" t="s">
        <v>985</v>
      </c>
      <c r="X32" s="242" t="str">
        <f ca="1">IF(AU32,Variante_D!$X$61,"")</f>
        <v/>
      </c>
      <c r="AC32" s="514" t="b">
        <f ca="1">(AC6=6)</f>
        <v>0</v>
      </c>
      <c r="AD32" s="514" t="b">
        <f t="shared" ref="AD32:AD51" ca="1" si="8">AC32</f>
        <v>0</v>
      </c>
      <c r="AE32" s="510" t="b">
        <f ca="1">AND(AE7,AE6=6)</f>
        <v>0</v>
      </c>
      <c r="AF32" s="510" t="b">
        <f t="shared" ref="AF32:AF51" ca="1" si="9">AE32</f>
        <v>0</v>
      </c>
      <c r="AH32" s="514" t="b">
        <f ca="1">(AH6=6)</f>
        <v>0</v>
      </c>
      <c r="AI32" s="514" t="b">
        <f t="shared" ref="AI32:AI51" ca="1" si="10">AH32</f>
        <v>0</v>
      </c>
      <c r="AJ32" s="510" t="b">
        <f ca="1">AND(AJ7,AJ6=6)</f>
        <v>0</v>
      </c>
      <c r="AK32" s="510" t="b">
        <f t="shared" ref="AK32:AK51" ca="1" si="11">AJ32</f>
        <v>0</v>
      </c>
      <c r="AM32" s="514" t="b">
        <f ca="1">(AM6=6)</f>
        <v>0</v>
      </c>
      <c r="AN32" s="514" t="b">
        <f t="shared" ref="AN32:AN43" ca="1" si="12">AM32</f>
        <v>0</v>
      </c>
      <c r="AO32" s="510" t="b">
        <f ca="1">AND(AO7,AO6=6)</f>
        <v>0</v>
      </c>
      <c r="AP32" s="510" t="b">
        <f t="shared" ref="AP32:AP43" ca="1" si="13">AO32</f>
        <v>0</v>
      </c>
      <c r="AR32" s="514" t="b">
        <f ca="1">(AR6=6)</f>
        <v>0</v>
      </c>
      <c r="AS32" s="514" t="b">
        <f t="shared" ref="AS32:AS43" ca="1" si="14">AR32</f>
        <v>0</v>
      </c>
      <c r="AT32" s="510" t="b">
        <f ca="1">AND(AT7,AT6=6)</f>
        <v>0</v>
      </c>
      <c r="AU32" s="510" t="b">
        <f t="shared" ref="AU32:AU43" ca="1" si="15">AT32</f>
        <v>0</v>
      </c>
    </row>
    <row r="33" spans="3:47" ht="17.25" customHeight="1">
      <c r="C33" s="129" t="str">
        <f ca="1">Sprache!E370&amp;":"</f>
        <v>Luftkanal (Innenaufstellung):</v>
      </c>
      <c r="D33" s="35" t="s">
        <v>175</v>
      </c>
      <c r="E33" s="35" t="s">
        <v>1217</v>
      </c>
      <c r="F33" s="330" t="s">
        <v>941</v>
      </c>
      <c r="G33" s="242" t="str">
        <f ca="1">IF(AD33,Variante_A!$M$51,"")</f>
        <v/>
      </c>
      <c r="H33" s="330" t="s">
        <v>985</v>
      </c>
      <c r="I33" s="243" t="str">
        <f ca="1">IF(AF33,Variante_A!$X$51,"")</f>
        <v/>
      </c>
      <c r="J33" s="244"/>
      <c r="K33" s="330" t="s">
        <v>941</v>
      </c>
      <c r="L33" s="242" t="str">
        <f ca="1">IF(AI33,Variante_B!$M$51,"")</f>
        <v/>
      </c>
      <c r="M33" s="330" t="s">
        <v>985</v>
      </c>
      <c r="N33" s="243" t="str">
        <f ca="1">IF(AK33,Variante_B!$X$51,"")</f>
        <v/>
      </c>
      <c r="O33" s="244"/>
      <c r="P33" s="330" t="s">
        <v>941</v>
      </c>
      <c r="Q33" s="242" t="str">
        <f ca="1">IF(AN33,Variante_C!$M$51,"")</f>
        <v/>
      </c>
      <c r="R33" s="330" t="s">
        <v>985</v>
      </c>
      <c r="S33" s="243" t="str">
        <f ca="1">IF(AP33,Variante_C!$X$51,"")</f>
        <v/>
      </c>
      <c r="T33" s="244"/>
      <c r="U33" s="330" t="s">
        <v>941</v>
      </c>
      <c r="V33" s="242" t="str">
        <f ca="1">IF(AS33,Variante_D!$M$51,"")</f>
        <v/>
      </c>
      <c r="W33" s="330" t="s">
        <v>985</v>
      </c>
      <c r="X33" s="242" t="str">
        <f ca="1">IF(AU33,Variante_D!$X$51,"")</f>
        <v/>
      </c>
      <c r="AC33" s="514" t="b">
        <f ca="1">(AC6=5)</f>
        <v>0</v>
      </c>
      <c r="AD33" s="514" t="b">
        <f t="shared" ca="1" si="8"/>
        <v>0</v>
      </c>
      <c r="AE33" s="510" t="b">
        <f ca="1">AND(AE7,AE6=5)</f>
        <v>0</v>
      </c>
      <c r="AF33" s="510" t="b">
        <f t="shared" ca="1" si="9"/>
        <v>0</v>
      </c>
      <c r="AH33" s="514" t="b">
        <f ca="1">(AH6=5)</f>
        <v>0</v>
      </c>
      <c r="AI33" s="514" t="b">
        <f t="shared" ca="1" si="10"/>
        <v>0</v>
      </c>
      <c r="AJ33" s="510" t="b">
        <f ca="1">AND(AJ7,AJ6=5)</f>
        <v>0</v>
      </c>
      <c r="AK33" s="510" t="b">
        <f t="shared" ca="1" si="11"/>
        <v>0</v>
      </c>
      <c r="AM33" s="514" t="b">
        <f ca="1">(AM6=5)</f>
        <v>0</v>
      </c>
      <c r="AN33" s="514" t="b">
        <f t="shared" ca="1" si="12"/>
        <v>0</v>
      </c>
      <c r="AO33" s="510" t="b">
        <f ca="1">AND(AO7,AO6=5)</f>
        <v>0</v>
      </c>
      <c r="AP33" s="510" t="b">
        <f t="shared" ca="1" si="13"/>
        <v>0</v>
      </c>
      <c r="AR33" s="514" t="b">
        <f ca="1">(AR6=5)</f>
        <v>0</v>
      </c>
      <c r="AS33" s="514" t="b">
        <f t="shared" ca="1" si="14"/>
        <v>0</v>
      </c>
      <c r="AT33" s="510" t="b">
        <f ca="1">AND(AT7,AT6=5)</f>
        <v>0</v>
      </c>
      <c r="AU33" s="510" t="b">
        <f t="shared" ca="1" si="15"/>
        <v>0</v>
      </c>
    </row>
    <row r="34" spans="3:47" ht="17.25" customHeight="1">
      <c r="C34" s="129" t="str">
        <f ca="1">Sprache!E371&amp;":"</f>
        <v>Pelletslager (Technik):</v>
      </c>
      <c r="D34" s="35" t="s">
        <v>175</v>
      </c>
      <c r="E34" s="35" t="s">
        <v>1217</v>
      </c>
      <c r="F34" s="330" t="s">
        <v>941</v>
      </c>
      <c r="G34" s="242" t="str">
        <f ca="1">IF(AD34,Variante_A!$M$33,"")</f>
        <v/>
      </c>
      <c r="H34" s="330" t="s">
        <v>985</v>
      </c>
      <c r="I34" s="243" t="str">
        <f ca="1">IF(AF34,Variante_A!$X$33,"")</f>
        <v/>
      </c>
      <c r="J34" s="244"/>
      <c r="K34" s="330" t="s">
        <v>941</v>
      </c>
      <c r="L34" s="242" t="str">
        <f ca="1">IF(AI34,Variante_B!$M$33,"")</f>
        <v/>
      </c>
      <c r="M34" s="330" t="s">
        <v>985</v>
      </c>
      <c r="N34" s="243" t="str">
        <f ca="1">IF(AK34,Variante_B!$X$33,"")</f>
        <v/>
      </c>
      <c r="O34" s="244"/>
      <c r="P34" s="330" t="s">
        <v>941</v>
      </c>
      <c r="Q34" s="242" t="str">
        <f ca="1">IF(AN34,Variante_C!$M$33,"")</f>
        <v/>
      </c>
      <c r="R34" s="330" t="s">
        <v>985</v>
      </c>
      <c r="S34" s="242" t="str">
        <f ca="1">IF(AP34,Variante_C!$X$33,"")</f>
        <v/>
      </c>
      <c r="T34" s="246"/>
      <c r="U34" s="330" t="s">
        <v>941</v>
      </c>
      <c r="V34" s="242" t="str">
        <f ca="1">IF(AS34,Variante_D!$M$33,"")</f>
        <v/>
      </c>
      <c r="W34" s="330" t="s">
        <v>985</v>
      </c>
      <c r="X34" s="242" t="str">
        <f ca="1">IF(AU34,Variante_D!$X$33,"")</f>
        <v/>
      </c>
      <c r="AC34" s="514" t="b">
        <f ca="1">(AC6=3)</f>
        <v>0</v>
      </c>
      <c r="AD34" s="514" t="b">
        <f t="shared" ca="1" si="8"/>
        <v>0</v>
      </c>
      <c r="AE34" s="510" t="b">
        <f ca="1">AND(AE7,AE6=3)</f>
        <v>0</v>
      </c>
      <c r="AF34" s="510" t="b">
        <f t="shared" ca="1" si="9"/>
        <v>0</v>
      </c>
      <c r="AH34" s="514" t="b">
        <f ca="1">(AH6=3)</f>
        <v>0</v>
      </c>
      <c r="AI34" s="514" t="b">
        <f t="shared" ca="1" si="10"/>
        <v>0</v>
      </c>
      <c r="AJ34" s="510" t="b">
        <f ca="1">AND(AJ7,AJ6=3)</f>
        <v>0</v>
      </c>
      <c r="AK34" s="510" t="b">
        <f t="shared" ca="1" si="11"/>
        <v>0</v>
      </c>
      <c r="AM34" s="514" t="b">
        <f ca="1">(AM6=3)</f>
        <v>0</v>
      </c>
      <c r="AN34" s="514" t="b">
        <f t="shared" ca="1" si="12"/>
        <v>0</v>
      </c>
      <c r="AO34" s="510" t="b">
        <f ca="1">AND(AO7,AO6=3)</f>
        <v>0</v>
      </c>
      <c r="AP34" s="510" t="b">
        <f t="shared" ca="1" si="13"/>
        <v>0</v>
      </c>
      <c r="AR34" s="514" t="b">
        <f ca="1">(AR6=3)</f>
        <v>0</v>
      </c>
      <c r="AS34" s="514" t="b">
        <f t="shared" ca="1" si="14"/>
        <v>0</v>
      </c>
      <c r="AT34" s="510" t="b">
        <f ca="1">AND(AT7,AT6=3)</f>
        <v>0</v>
      </c>
      <c r="AU34" s="510" t="b">
        <f t="shared" ca="1" si="15"/>
        <v>0</v>
      </c>
    </row>
    <row r="35" spans="3:47" ht="17.25" customHeight="1">
      <c r="C35" s="129" t="str">
        <f ca="1">Sprache!E372&amp;":"</f>
        <v>Pellets Austragung:</v>
      </c>
      <c r="D35" s="35" t="s">
        <v>175</v>
      </c>
      <c r="E35" s="35" t="s">
        <v>1217</v>
      </c>
      <c r="F35" s="330" t="s">
        <v>941</v>
      </c>
      <c r="G35" s="242" t="str">
        <f ca="1">IF(AD35,Variante_A!$M$34,"")</f>
        <v/>
      </c>
      <c r="H35" s="330" t="s">
        <v>985</v>
      </c>
      <c r="I35" s="243" t="str">
        <f ca="1">IF(AF35,Variante_A!$X$34,"")</f>
        <v/>
      </c>
      <c r="J35" s="244"/>
      <c r="K35" s="330" t="s">
        <v>941</v>
      </c>
      <c r="L35" s="242" t="str">
        <f ca="1">IF(AI35,Variante_B!$M$34,"")</f>
        <v/>
      </c>
      <c r="M35" s="330" t="s">
        <v>985</v>
      </c>
      <c r="N35" s="243" t="str">
        <f ca="1">IF(AK35,Variante_B!$X$34,"")</f>
        <v/>
      </c>
      <c r="O35" s="244"/>
      <c r="P35" s="330" t="s">
        <v>941</v>
      </c>
      <c r="Q35" s="242" t="str">
        <f ca="1">IF(AN35,Variante_C!$M$34,"")</f>
        <v/>
      </c>
      <c r="R35" s="330" t="s">
        <v>985</v>
      </c>
      <c r="S35" s="243" t="str">
        <f ca="1">IF(AP35,Variante_C!$X$34,"")</f>
        <v/>
      </c>
      <c r="T35" s="244"/>
      <c r="U35" s="330" t="s">
        <v>941</v>
      </c>
      <c r="V35" s="242" t="str">
        <f ca="1">IF(AS35,Variante_D!$M$34,"")</f>
        <v/>
      </c>
      <c r="W35" s="330" t="s">
        <v>985</v>
      </c>
      <c r="X35" s="242" t="str">
        <f ca="1">IF(AU35,Variante_D!$X$34,"")</f>
        <v/>
      </c>
      <c r="AC35" s="514" t="b">
        <f ca="1">(AC6=3)</f>
        <v>0</v>
      </c>
      <c r="AD35" s="514" t="b">
        <f t="shared" ca="1" si="8"/>
        <v>0</v>
      </c>
      <c r="AE35" s="510" t="b">
        <f ca="1">AND(AE7,AE6=3)</f>
        <v>0</v>
      </c>
      <c r="AF35" s="510" t="b">
        <f t="shared" ca="1" si="9"/>
        <v>0</v>
      </c>
      <c r="AH35" s="514" t="b">
        <f ca="1">(AH6=3)</f>
        <v>0</v>
      </c>
      <c r="AI35" s="514" t="b">
        <f t="shared" ca="1" si="10"/>
        <v>0</v>
      </c>
      <c r="AJ35" s="510" t="b">
        <f ca="1">AND(AJ7,AJ6=3)</f>
        <v>0</v>
      </c>
      <c r="AK35" s="510" t="b">
        <f t="shared" ca="1" si="11"/>
        <v>0</v>
      </c>
      <c r="AM35" s="514" t="b">
        <f ca="1">(AM6=3)</f>
        <v>0</v>
      </c>
      <c r="AN35" s="514" t="b">
        <f t="shared" ca="1" si="12"/>
        <v>0</v>
      </c>
      <c r="AO35" s="510" t="b">
        <f ca="1">AND(AO7,AO6=3)</f>
        <v>0</v>
      </c>
      <c r="AP35" s="510" t="b">
        <f t="shared" ca="1" si="13"/>
        <v>0</v>
      </c>
      <c r="AR35" s="514" t="b">
        <f ca="1">(AR6=3)</f>
        <v>0</v>
      </c>
      <c r="AS35" s="514" t="b">
        <f t="shared" ca="1" si="14"/>
        <v>0</v>
      </c>
      <c r="AT35" s="510" t="b">
        <f ca="1">AND(AT7,AT6=3)</f>
        <v>0</v>
      </c>
      <c r="AU35" s="510" t="b">
        <f t="shared" ca="1" si="15"/>
        <v>0</v>
      </c>
    </row>
    <row r="36" spans="3:47" ht="17.25" customHeight="1">
      <c r="C36" s="129" t="str">
        <f ca="1">Sprache!E373&amp;":"</f>
        <v>Hackschnitzelsilo:</v>
      </c>
      <c r="D36" s="35" t="s">
        <v>175</v>
      </c>
      <c r="E36" s="35" t="s">
        <v>1217</v>
      </c>
      <c r="F36" s="330" t="s">
        <v>941</v>
      </c>
      <c r="G36" s="242" t="str">
        <f ca="1">IF(AD36,Variante_A!$M$42,"")</f>
        <v/>
      </c>
      <c r="H36" s="330" t="s">
        <v>985</v>
      </c>
      <c r="I36" s="243" t="str">
        <f ca="1">IF(AF36,Variante_A!$X$42,"")</f>
        <v/>
      </c>
      <c r="J36" s="244"/>
      <c r="K36" s="330" t="s">
        <v>941</v>
      </c>
      <c r="L36" s="242" t="str">
        <f ca="1">IF(AI36,Variante_B!$M$42,"")</f>
        <v/>
      </c>
      <c r="M36" s="330" t="s">
        <v>985</v>
      </c>
      <c r="N36" s="243" t="str">
        <f ca="1">IF(AK36,Variante_B!$X$42,"")</f>
        <v/>
      </c>
      <c r="O36" s="244"/>
      <c r="P36" s="330" t="s">
        <v>941</v>
      </c>
      <c r="Q36" s="242" t="str">
        <f ca="1">IF(AN36,Variante_C!$M$42,"")</f>
        <v/>
      </c>
      <c r="R36" s="330" t="s">
        <v>985</v>
      </c>
      <c r="S36" s="243" t="str">
        <f ca="1">IF(AP36,Variante_C!$X$42,"")</f>
        <v/>
      </c>
      <c r="T36" s="244"/>
      <c r="U36" s="330" t="s">
        <v>941</v>
      </c>
      <c r="V36" s="242" t="str">
        <f ca="1">IF(AS36,Variante_D!$M$42,"")</f>
        <v/>
      </c>
      <c r="W36" s="330" t="s">
        <v>985</v>
      </c>
      <c r="X36" s="242" t="str">
        <f ca="1">IF(AU36,Variante_D!$X$42,"")</f>
        <v/>
      </c>
      <c r="AC36" s="514" t="b">
        <f ca="1">(AC6=4)</f>
        <v>0</v>
      </c>
      <c r="AD36" s="514" t="b">
        <f t="shared" ca="1" si="8"/>
        <v>0</v>
      </c>
      <c r="AE36" s="510" t="b">
        <f ca="1">AND(AE7,AE6=4)</f>
        <v>0</v>
      </c>
      <c r="AF36" s="510" t="b">
        <f t="shared" ca="1" si="9"/>
        <v>0</v>
      </c>
      <c r="AH36" s="514" t="b">
        <f ca="1">(AH6=4)</f>
        <v>0</v>
      </c>
      <c r="AI36" s="514" t="b">
        <f t="shared" ca="1" si="10"/>
        <v>0</v>
      </c>
      <c r="AJ36" s="510" t="b">
        <f ca="1">AND(AJ7,AJ6=4)</f>
        <v>0</v>
      </c>
      <c r="AK36" s="510" t="b">
        <f t="shared" ca="1" si="11"/>
        <v>0</v>
      </c>
      <c r="AM36" s="514" t="b">
        <f ca="1">(AM6=4)</f>
        <v>0</v>
      </c>
      <c r="AN36" s="514" t="b">
        <f t="shared" ca="1" si="12"/>
        <v>0</v>
      </c>
      <c r="AO36" s="510" t="b">
        <f ca="1">AND(AO7,AO6=4)</f>
        <v>0</v>
      </c>
      <c r="AP36" s="510" t="b">
        <f t="shared" ca="1" si="13"/>
        <v>0</v>
      </c>
      <c r="AR36" s="514" t="b">
        <f ca="1">(AR6=4)</f>
        <v>0</v>
      </c>
      <c r="AS36" s="514" t="b">
        <f t="shared" ca="1" si="14"/>
        <v>0</v>
      </c>
      <c r="AT36" s="510" t="b">
        <f ca="1">AND(AT7,AT6=4)</f>
        <v>0</v>
      </c>
      <c r="AU36" s="510" t="b">
        <f t="shared" ca="1" si="15"/>
        <v>0</v>
      </c>
    </row>
    <row r="37" spans="3:47" ht="17.25" customHeight="1">
      <c r="C37" s="129" t="str">
        <f ca="1">Sprache!E374&amp;":"</f>
        <v>Hackschnitzelsilo (Bestückung):</v>
      </c>
      <c r="D37" s="35" t="s">
        <v>175</v>
      </c>
      <c r="E37" s="35" t="s">
        <v>1217</v>
      </c>
      <c r="F37" s="330" t="s">
        <v>941</v>
      </c>
      <c r="G37" s="242" t="str">
        <f ca="1">IF(AD37,Variante_A!$M$43,"")</f>
        <v/>
      </c>
      <c r="H37" s="330" t="s">
        <v>985</v>
      </c>
      <c r="I37" s="243" t="str">
        <f ca="1">IF(AF37,Variante_A!$X$43,"")</f>
        <v/>
      </c>
      <c r="J37" s="244"/>
      <c r="K37" s="330" t="s">
        <v>941</v>
      </c>
      <c r="L37" s="242" t="str">
        <f ca="1">IF(AI37,Variante_B!$M$43,"")</f>
        <v/>
      </c>
      <c r="M37" s="330" t="s">
        <v>985</v>
      </c>
      <c r="N37" s="243" t="str">
        <f ca="1">IF(AK37,Variante_B!$X$43,"")</f>
        <v/>
      </c>
      <c r="O37" s="244"/>
      <c r="P37" s="330" t="s">
        <v>941</v>
      </c>
      <c r="Q37" s="242" t="str">
        <f ca="1">IF(AN37,Variante_C!$M$43,"")</f>
        <v/>
      </c>
      <c r="R37" s="330" t="s">
        <v>985</v>
      </c>
      <c r="S37" s="243" t="str">
        <f ca="1">IF(AP37,Variante_C!$X$43,"")</f>
        <v/>
      </c>
      <c r="T37" s="244"/>
      <c r="U37" s="330" t="s">
        <v>941</v>
      </c>
      <c r="V37" s="242" t="str">
        <f ca="1">IF(AS37,Variante_D!$M$43,"")</f>
        <v/>
      </c>
      <c r="W37" s="330" t="s">
        <v>985</v>
      </c>
      <c r="X37" s="242" t="str">
        <f ca="1">IF(AU37,Variante_D!$X$43,"")</f>
        <v/>
      </c>
      <c r="AC37" s="514" t="b">
        <f ca="1">(AC6=4)</f>
        <v>0</v>
      </c>
      <c r="AD37" s="514" t="b">
        <f t="shared" ca="1" si="8"/>
        <v>0</v>
      </c>
      <c r="AE37" s="510" t="b">
        <f ca="1">AND(AE7,AE6=4)</f>
        <v>0</v>
      </c>
      <c r="AF37" s="510" t="b">
        <f t="shared" ca="1" si="9"/>
        <v>0</v>
      </c>
      <c r="AH37" s="514" t="b">
        <f ca="1">(AH6=4)</f>
        <v>0</v>
      </c>
      <c r="AI37" s="514" t="b">
        <f t="shared" ca="1" si="10"/>
        <v>0</v>
      </c>
      <c r="AJ37" s="510" t="b">
        <f ca="1">AND(AJ7,AJ6=4)</f>
        <v>0</v>
      </c>
      <c r="AK37" s="510" t="b">
        <f t="shared" ca="1" si="11"/>
        <v>0</v>
      </c>
      <c r="AM37" s="514" t="b">
        <f ca="1">(AM6=4)</f>
        <v>0</v>
      </c>
      <c r="AN37" s="514" t="b">
        <f t="shared" ca="1" si="12"/>
        <v>0</v>
      </c>
      <c r="AO37" s="510" t="b">
        <f ca="1">AND(AO7,AO6=4)</f>
        <v>0</v>
      </c>
      <c r="AP37" s="510" t="b">
        <f t="shared" ca="1" si="13"/>
        <v>0</v>
      </c>
      <c r="AR37" s="514" t="b">
        <f ca="1">(AR6=4)</f>
        <v>0</v>
      </c>
      <c r="AS37" s="514" t="b">
        <f t="shared" ca="1" si="14"/>
        <v>0</v>
      </c>
      <c r="AT37" s="510" t="b">
        <f ca="1">AND(AT7,AT6=4)</f>
        <v>0</v>
      </c>
      <c r="AU37" s="510" t="b">
        <f t="shared" ca="1" si="15"/>
        <v>0</v>
      </c>
    </row>
    <row r="38" spans="3:47" ht="17.25" customHeight="1">
      <c r="C38" s="129" t="str">
        <f ca="1">Sprache!E375&amp;":"</f>
        <v>Anschlussgebühren (Wärmenetz, Gas):</v>
      </c>
      <c r="D38" s="35" t="s">
        <v>175</v>
      </c>
      <c r="E38" s="35" t="s">
        <v>1217</v>
      </c>
      <c r="F38" s="330" t="s">
        <v>941</v>
      </c>
      <c r="G38" s="242" t="str">
        <f ca="1">IF(AD38,Variante_A!$M$26+Variante_A!$M$92+Variante_A!$M$97,"")</f>
        <v/>
      </c>
      <c r="H38" s="330" t="s">
        <v>985</v>
      </c>
      <c r="I38" s="243" t="str">
        <f ca="1">IF(AF38,Variante_A!$X$26+Variante_A!$X$92+Variante_A!$X$97,"")</f>
        <v/>
      </c>
      <c r="J38" s="244"/>
      <c r="K38" s="330" t="s">
        <v>941</v>
      </c>
      <c r="L38" s="242" t="str">
        <f ca="1">IF(AI38,Variante_B!$M$26+Variante_B!$M$92+Variante_B!$M$97,"")</f>
        <v/>
      </c>
      <c r="M38" s="330" t="s">
        <v>985</v>
      </c>
      <c r="N38" s="243" t="str">
        <f ca="1">IF(AK38,Variante_B!$X$26+Variante_B!$X$92+Variante_B!$X$97,"")</f>
        <v/>
      </c>
      <c r="O38" s="244"/>
      <c r="P38" s="330" t="s">
        <v>941</v>
      </c>
      <c r="Q38" s="242" t="str">
        <f ca="1">IF(AN38,Variante_C!$M$26+Variante_C!$M$92+Variante_C!$M$97,"")</f>
        <v/>
      </c>
      <c r="R38" s="330" t="s">
        <v>985</v>
      </c>
      <c r="S38" s="243" t="str">
        <f ca="1">IF(AP38,Variante_C!$X$26+Variante_C!$X$92+Variante_C!$X$97,"")</f>
        <v/>
      </c>
      <c r="T38" s="244"/>
      <c r="U38" s="330" t="s">
        <v>941</v>
      </c>
      <c r="V38" s="242" t="str">
        <f ca="1">IF(AS38,Variante_D!$M$26+Variante_D!$M$92+Variante_D!$M$97,"")</f>
        <v/>
      </c>
      <c r="W38" s="330" t="s">
        <v>985</v>
      </c>
      <c r="X38" s="242" t="str">
        <f ca="1">IF(AU38,Variante_D!$X$26+Variante_D!$X$92+Variante_D!$X$97,"")</f>
        <v/>
      </c>
      <c r="AC38" s="514" t="b">
        <f ca="1">OR(AC6=2,AC6=8,AC6=10,AC6=11,AC6=12,AC6=13)</f>
        <v>0</v>
      </c>
      <c r="AD38" s="514" t="b">
        <f t="shared" ca="1" si="8"/>
        <v>0</v>
      </c>
      <c r="AE38" s="510" t="b">
        <f ca="1">AND(AE7,OR(AE6=2,AE6=8,AE6=10,AE6=11,AE6=12,AE6=13))</f>
        <v>0</v>
      </c>
      <c r="AF38" s="510" t="b">
        <f t="shared" ca="1" si="9"/>
        <v>0</v>
      </c>
      <c r="AH38" s="514" t="b">
        <f ca="1">OR(AH6=2,AH6=8,AH6=10,AH6=11,AH6=12,AH6=13)</f>
        <v>0</v>
      </c>
      <c r="AI38" s="514" t="b">
        <f t="shared" ca="1" si="10"/>
        <v>0</v>
      </c>
      <c r="AJ38" s="510" t="b">
        <f ca="1">AND(AJ7,OR(AJ6=2,AJ6=8,AJ6=10,AJ6=11,AJ6=12,AJ6=13))</f>
        <v>0</v>
      </c>
      <c r="AK38" s="510" t="b">
        <f t="shared" ca="1" si="11"/>
        <v>0</v>
      </c>
      <c r="AM38" s="514" t="b">
        <f ca="1">OR(AM6=2,AM6=8,AM6=10,AM6=11,AM6=12,AM6=13)</f>
        <v>0</v>
      </c>
      <c r="AN38" s="514" t="b">
        <f t="shared" ca="1" si="12"/>
        <v>0</v>
      </c>
      <c r="AO38" s="510" t="b">
        <f ca="1">AND(AO7,OR(AO6=2,AO6=8,AO6=10,AO6=11,AO6=12,AO6=13))</f>
        <v>0</v>
      </c>
      <c r="AP38" s="510" t="b">
        <f t="shared" ca="1" si="13"/>
        <v>0</v>
      </c>
      <c r="AR38" s="514" t="b">
        <f ca="1">OR(AR6=2,AR6=8,AR6=10,AR6=11,AR6=12,AR6=13)</f>
        <v>0</v>
      </c>
      <c r="AS38" s="514" t="b">
        <f t="shared" ca="1" si="14"/>
        <v>0</v>
      </c>
      <c r="AT38" s="510" t="b">
        <f ca="1">AND(AT7,OR(AT6=2,AT6=8,AT6=10,AT6=11,AT6=12,AT6=13))</f>
        <v>0</v>
      </c>
      <c r="AU38" s="510" t="b">
        <f t="shared" ca="1" si="15"/>
        <v>0</v>
      </c>
    </row>
    <row r="39" spans="3:47" ht="17.25" customHeight="1">
      <c r="C39" s="129" t="str">
        <f ca="1">Sprache!E376&amp;":"</f>
        <v>Tankanlage (Öl):</v>
      </c>
      <c r="D39" s="35" t="s">
        <v>175</v>
      </c>
      <c r="E39" s="35" t="s">
        <v>1217</v>
      </c>
      <c r="F39" s="330" t="s">
        <v>941</v>
      </c>
      <c r="G39" s="242" t="str">
        <f ca="1">IF(AD39,Variante_A!$M$19,"")</f>
        <v/>
      </c>
      <c r="H39" s="330" t="s">
        <v>985</v>
      </c>
      <c r="I39" s="243" t="str">
        <f ca="1">IF(AF39,Variante_A!$X$19,"")</f>
        <v/>
      </c>
      <c r="J39" s="244"/>
      <c r="K39" s="330" t="s">
        <v>941</v>
      </c>
      <c r="L39" s="242" t="str">
        <f ca="1">IF(AI39,Variante_B!$M$19,"")</f>
        <v/>
      </c>
      <c r="M39" s="330" t="s">
        <v>985</v>
      </c>
      <c r="N39" s="243" t="str">
        <f ca="1">IF(AK39,Variante_B!$X$19,"")</f>
        <v/>
      </c>
      <c r="O39" s="244"/>
      <c r="P39" s="330" t="s">
        <v>941</v>
      </c>
      <c r="Q39" s="242" t="str">
        <f ca="1">IF(AN39,Variante_C!$M$19,"")</f>
        <v/>
      </c>
      <c r="R39" s="330" t="s">
        <v>985</v>
      </c>
      <c r="S39" s="243" t="str">
        <f ca="1">IF(AP39,Variante_C!$X$19,"")</f>
        <v/>
      </c>
      <c r="T39" s="244"/>
      <c r="U39" s="330" t="s">
        <v>941</v>
      </c>
      <c r="V39" s="242" t="str">
        <f ca="1">IF(AS39,Variante_D!$M$19,"")</f>
        <v/>
      </c>
      <c r="W39" s="330" t="s">
        <v>985</v>
      </c>
      <c r="X39" s="242" t="str">
        <f ca="1">IF(AU39,Variante_D!$X$19,"")</f>
        <v/>
      </c>
      <c r="AA39" s="515"/>
      <c r="AC39" s="516" t="b">
        <f ca="1">(AC6=1)</f>
        <v>0</v>
      </c>
      <c r="AD39" s="514" t="b">
        <f t="shared" ca="1" si="8"/>
        <v>0</v>
      </c>
      <c r="AE39" s="510" t="b">
        <f ca="1">AND(AE7,AE6=1)</f>
        <v>0</v>
      </c>
      <c r="AF39" s="510" t="b">
        <f t="shared" ca="1" si="9"/>
        <v>0</v>
      </c>
      <c r="AH39" s="516" t="b">
        <f ca="1">(AH6=1)</f>
        <v>0</v>
      </c>
      <c r="AI39" s="514" t="b">
        <f t="shared" ca="1" si="10"/>
        <v>0</v>
      </c>
      <c r="AJ39" s="510" t="b">
        <f ca="1">AND(AJ7,AJ6=1)</f>
        <v>0</v>
      </c>
      <c r="AK39" s="510" t="b">
        <f t="shared" ca="1" si="11"/>
        <v>0</v>
      </c>
      <c r="AM39" s="516" t="b">
        <f ca="1">(AM6=1)</f>
        <v>0</v>
      </c>
      <c r="AN39" s="514" t="b">
        <f t="shared" ca="1" si="12"/>
        <v>0</v>
      </c>
      <c r="AO39" s="510" t="b">
        <f ca="1">AND(AO7,AO6=1)</f>
        <v>0</v>
      </c>
      <c r="AP39" s="510" t="b">
        <f t="shared" ca="1" si="13"/>
        <v>0</v>
      </c>
      <c r="AR39" s="516" t="b">
        <f ca="1">(AR6=1)</f>
        <v>0</v>
      </c>
      <c r="AS39" s="514" t="b">
        <f t="shared" ca="1" si="14"/>
        <v>0</v>
      </c>
      <c r="AT39" s="510" t="b">
        <f ca="1">AND(AT7,AT6=1)</f>
        <v>0</v>
      </c>
      <c r="AU39" s="510" t="b">
        <f t="shared" ca="1" si="15"/>
        <v>0</v>
      </c>
    </row>
    <row r="40" spans="3:47" ht="17.25" customHeight="1">
      <c r="C40" s="129" t="str">
        <f ca="1">Sprache!E377&amp;":"</f>
        <v>Wärmeerzeugung:</v>
      </c>
      <c r="D40" s="35" t="s">
        <v>175</v>
      </c>
      <c r="E40" s="35" t="s">
        <v>1215</v>
      </c>
      <c r="F40" s="330" t="s">
        <v>941</v>
      </c>
      <c r="G40" s="242" t="str">
        <f ca="1">IF(AD40,Variante_A!$M$20+Variante_A!$M$27+Variante_A!$M$35+Variante_A!$M$44+Variante_A!$M$52+Variante_A!$M$62+Variante_A!$M$73+Variante_A!$M$83+Variante_A!$M$98,"")</f>
        <v/>
      </c>
      <c r="H40" s="330" t="s">
        <v>985</v>
      </c>
      <c r="I40" s="243" t="str">
        <f ca="1">IF(AF40,Variante_A!$X$20+Variante_A!$X$27+Variante_A!$X$35+Variante_A!$X$44+Variante_A!$X$52+Variante_A!$X$62+Variante_A!$X$73+Variante_A!$X$83+Variante_A!$X$98,"")</f>
        <v/>
      </c>
      <c r="J40" s="244"/>
      <c r="K40" s="330" t="s">
        <v>941</v>
      </c>
      <c r="L40" s="242" t="str">
        <f ca="1">IF(AI40,Variante_B!$M$20+Variante_B!$M$27+Variante_B!$M$35+Variante_B!$M$44+Variante_B!$M$52+Variante_B!$M$62+Variante_B!$M$73+Variante_B!$M$83+Variante_B!$M$98,"")</f>
        <v/>
      </c>
      <c r="M40" s="330" t="s">
        <v>985</v>
      </c>
      <c r="N40" s="243" t="str">
        <f ca="1">IF(AK40,Variante_B!$X$20+Variante_B!$X$27+Variante_B!$X$35+Variante_B!$X$44+Variante_B!$X$52+Variante_B!$X$62+Variante_B!$X$73+Variante_B!$X$83+Variante_B!$X$98,"")</f>
        <v/>
      </c>
      <c r="O40" s="244"/>
      <c r="P40" s="330" t="s">
        <v>941</v>
      </c>
      <c r="Q40" s="242" t="str">
        <f ca="1">IF(AN40,Variante_C!$M$20+Variante_C!$M$27+Variante_C!$M$35+Variante_C!$M$44+Variante_C!$M$52+Variante_C!$M$62+Variante_C!$M$73+Variante_C!$M$83+Variante_C!$M$98,"")</f>
        <v/>
      </c>
      <c r="R40" s="330" t="s">
        <v>985</v>
      </c>
      <c r="S40" s="243" t="str">
        <f ca="1">IF(AP40,Variante_C!$X$20+Variante_C!$X$27+Variante_C!$X$35+Variante_C!$X$44+Variante_C!$X$52+Variante_C!$X$62+Variante_C!$X$73+Variante_C!$X$83+Variante_C!$X$98,"")</f>
        <v/>
      </c>
      <c r="T40" s="244"/>
      <c r="U40" s="330" t="s">
        <v>941</v>
      </c>
      <c r="V40" s="242" t="str">
        <f ca="1">IF(AS40,Variante_D!$M$20+Variante_D!$M$27+Variante_D!$M$35+Variante_D!$M$44+Variante_D!$M$52+Variante_D!$M$62+Variante_D!$M$73+Variante_D!$M$83+Variante_D!$M$98,"")</f>
        <v/>
      </c>
      <c r="W40" s="330" t="s">
        <v>985</v>
      </c>
      <c r="X40" s="242" t="str">
        <f ca="1">IF(AU40,Variante_D!$X$20+Variante_D!$X$27+Variante_D!$X$35+Variante_D!$X$44+Variante_D!$X$52+Variante_D!$X$62+Variante_D!$X$73+Variante_D!$X$83+Variante_D!$X$98,"")</f>
        <v/>
      </c>
      <c r="AA40" s="517"/>
      <c r="AC40" s="516" t="b">
        <f ca="1">OR(AC6=1,AC6=2,AC6=3,AC6=4,AC6=5,AC6=6,AC6=7,AC6=8,AC6=14)</f>
        <v>0</v>
      </c>
      <c r="AD40" s="514" t="b">
        <f t="shared" ca="1" si="8"/>
        <v>0</v>
      </c>
      <c r="AE40" s="510" t="b">
        <f ca="1">AND(AE7,OR(AE6=1,AE6=2,AE6=3,AE6=4,AE6=5,AE6=6,AE6=7,AE6=8,AE6=14))</f>
        <v>0</v>
      </c>
      <c r="AF40" s="510" t="b">
        <f t="shared" ca="1" si="9"/>
        <v>0</v>
      </c>
      <c r="AH40" s="516" t="b">
        <f ca="1">OR(AH6=1,AH6=2,AH6=3,AH6=4,AH6=5,AH6=6,AH6=7,AH6=8,AH6=14)</f>
        <v>0</v>
      </c>
      <c r="AI40" s="514" t="b">
        <f t="shared" ca="1" si="10"/>
        <v>0</v>
      </c>
      <c r="AJ40" s="510" t="b">
        <f ca="1">AND(AJ7,OR(AJ6=1,AJ6=2,AJ6=3,AJ6=4,AJ6=5,AJ6=6,AJ6=7,AJ6=8,AJ6=14))</f>
        <v>0</v>
      </c>
      <c r="AK40" s="510" t="b">
        <f t="shared" ca="1" si="11"/>
        <v>0</v>
      </c>
      <c r="AM40" s="516" t="b">
        <f ca="1">OR(AM6=1,AM6=2,AM6=3,AM6=4,AM6=5,AM6=6,AM6=7,AM6=8,AM6=14)</f>
        <v>0</v>
      </c>
      <c r="AN40" s="514" t="b">
        <f t="shared" ca="1" si="12"/>
        <v>0</v>
      </c>
      <c r="AO40" s="510" t="b">
        <f ca="1">AND(AO7,OR(AO6=1,AO6=2,AO6=3,AO6=4,AO6=5,AO6=6,AO6=7,AO6=8,AO6=14))</f>
        <v>0</v>
      </c>
      <c r="AP40" s="510" t="b">
        <f t="shared" ca="1" si="13"/>
        <v>0</v>
      </c>
      <c r="AR40" s="516" t="b">
        <f ca="1">OR(AR6=1,AR6=2,AR6=3,AR6=4,AR6=5,AR6=6,AR6=7,AR6=8,AR6=14)</f>
        <v>0</v>
      </c>
      <c r="AS40" s="514" t="b">
        <f t="shared" ca="1" si="14"/>
        <v>0</v>
      </c>
      <c r="AT40" s="510" t="b">
        <f ca="1">AND(AT7,OR(AT6=1,AT6=2,AT6=3,AT6=4,AT6=5,AT6=6,AT6=7,AT6=8,AT6=14))</f>
        <v>0</v>
      </c>
      <c r="AU40" s="510" t="b">
        <f t="shared" ca="1" si="15"/>
        <v>0</v>
      </c>
    </row>
    <row r="41" spans="3:47" ht="17.25" customHeight="1">
      <c r="C41" s="129" t="str">
        <f ca="1">Sprache!E378&amp;":"</f>
        <v>Heizungsspeicher:</v>
      </c>
      <c r="D41" s="35" t="s">
        <v>175</v>
      </c>
      <c r="E41" s="35" t="s">
        <v>1218</v>
      </c>
      <c r="F41" s="330" t="s">
        <v>941</v>
      </c>
      <c r="G41" s="242" t="str">
        <f ca="1">IF(AD41,Variante_A!$M$37+Variante_A!$M$46+Variante_A!$M$54+Variante_A!$M$64+Variante_A!$M$75+Variante_A!$M$85+Variante_A!$M$100,"")</f>
        <v/>
      </c>
      <c r="H41" s="330" t="s">
        <v>985</v>
      </c>
      <c r="I41" s="243" t="str">
        <f ca="1">IF(AF41,Variante_A!$X$37+Variante_A!$X$46+Variante_A!$X$54+Variante_A!$X$64+Variante_A!$X$75+Variante_A!$X$85+Variante_A!$X$100,"")</f>
        <v/>
      </c>
      <c r="J41" s="244"/>
      <c r="K41" s="330" t="s">
        <v>941</v>
      </c>
      <c r="L41" s="242" t="str">
        <f ca="1">IF(AI41,Variante_B!$M$37+Variante_B!$M$46+Variante_B!$M$54+Variante_B!$M$64+Variante_B!$M$75+Variante_B!$M$85+Variante_B!$M$100,"")</f>
        <v/>
      </c>
      <c r="M41" s="330" t="s">
        <v>985</v>
      </c>
      <c r="N41" s="243" t="str">
        <f ca="1">IF(AK41,Variante_B!$X$37+Variante_B!$X$46+Variante_B!$X$54+Variante_B!$X$64+Variante_B!$X$75+Variante_B!$X$85+Variante_B!$X$100,"")</f>
        <v/>
      </c>
      <c r="O41" s="244"/>
      <c r="P41" s="330" t="s">
        <v>941</v>
      </c>
      <c r="Q41" s="242" t="str">
        <f ca="1">IF(AN41,Variante_C!$M$37+Variante_C!$M$46+Variante_C!$M$54+Variante_C!$M$64+Variante_C!$M$75+Variante_C!$M$85+Variante_C!$M$100,"")</f>
        <v/>
      </c>
      <c r="R41" s="330" t="s">
        <v>985</v>
      </c>
      <c r="S41" s="243" t="str">
        <f ca="1">IF(AP41,Variante_C!$X$37+Variante_C!$X$46+Variante_C!$X$54+Variante_C!$X$64+Variante_C!$X$75+Variante_C!$X$85+Variante_C!$X$100,"")</f>
        <v/>
      </c>
      <c r="T41" s="244"/>
      <c r="U41" s="330" t="s">
        <v>941</v>
      </c>
      <c r="V41" s="242" t="str">
        <f ca="1">IF(AS41,Variante_D!$M$37+Variante_D!$M$46+Variante_D!$M$54+Variante_D!$M$64+Variante_D!$M$75+Variante_D!$M$85+Variante_D!$M$100,"")</f>
        <v/>
      </c>
      <c r="W41" s="330" t="s">
        <v>985</v>
      </c>
      <c r="X41" s="242" t="str">
        <f ca="1">IF(AU41,Variante_D!$X$37+Variante_D!$X$46+Variante_D!$X$54+Variante_D!$X$64+Variante_D!$X$75+Variante_D!$X$85+Variante_D!$X$100,"")</f>
        <v/>
      </c>
      <c r="AA41" s="517"/>
      <c r="AC41" s="516" t="b">
        <f ca="1">OR(AC6=3,AC6=4,AC6=5,AC6=6,AC6=7,AC6=8, AC6=14)</f>
        <v>0</v>
      </c>
      <c r="AD41" s="514" t="b">
        <f t="shared" ca="1" si="8"/>
        <v>0</v>
      </c>
      <c r="AE41" s="510" t="b">
        <f ca="1">AND(AE7,OR(AE6=3,AE6=4,AE6=5,AE6=6,AE6=7,AE6=8,AE6=14))</f>
        <v>0</v>
      </c>
      <c r="AF41" s="510" t="b">
        <f t="shared" ca="1" si="9"/>
        <v>0</v>
      </c>
      <c r="AH41" s="516" t="b">
        <f ca="1">OR(AH6=3,AH6=4,AH6=5,AH6=6,AH6=7,AH6=8, AH6=14)</f>
        <v>0</v>
      </c>
      <c r="AI41" s="514" t="b">
        <f t="shared" ca="1" si="10"/>
        <v>0</v>
      </c>
      <c r="AJ41" s="510" t="b">
        <f ca="1">AND(AJ7,OR(AJ6=3,AJ6=4,AJ6=5,AJ6=6,AJ6=7,AJ6=8,AJ6=14))</f>
        <v>0</v>
      </c>
      <c r="AK41" s="510" t="b">
        <f t="shared" ca="1" si="11"/>
        <v>0</v>
      </c>
      <c r="AM41" s="516" t="b">
        <f ca="1">OR(AM6=3,AM6=4,AM6=5,AM6=6,AM6=7,AM6=8, AM6=14)</f>
        <v>0</v>
      </c>
      <c r="AN41" s="514" t="b">
        <f t="shared" ca="1" si="12"/>
        <v>0</v>
      </c>
      <c r="AO41" s="510" t="b">
        <f ca="1">AND(AO7,OR(AO6=3,AO6=4,AO6=5,AO6=6,AO6=7,AO6=8,AO6=14))</f>
        <v>0</v>
      </c>
      <c r="AP41" s="510" t="b">
        <f t="shared" ca="1" si="13"/>
        <v>0</v>
      </c>
      <c r="AR41" s="516" t="b">
        <f ca="1">OR(AR6=3,AR6=4,AR6=5,AR6=6,AR6=7,AR6=8, AR6=14)</f>
        <v>0</v>
      </c>
      <c r="AS41" s="514" t="b">
        <f t="shared" ca="1" si="14"/>
        <v>0</v>
      </c>
      <c r="AT41" s="510" t="b">
        <f ca="1">AND(AT7,OR(AT6=3,AT6=4,AT6=5,AT6=6,AT6=7,AT6=8,AT6=14))</f>
        <v>0</v>
      </c>
      <c r="AU41" s="510" t="b">
        <f t="shared" ca="1" si="15"/>
        <v>0</v>
      </c>
    </row>
    <row r="42" spans="3:47" ht="17.25" customHeight="1">
      <c r="C42" s="129" t="str">
        <f ca="1">Sprache!E379&amp;":"</f>
        <v>Armaturen, Apparate, Rohrleitungen, Dämmung:</v>
      </c>
      <c r="D42" s="35" t="s">
        <v>175</v>
      </c>
      <c r="E42" s="35" t="s">
        <v>1215</v>
      </c>
      <c r="F42" s="330" t="s">
        <v>941</v>
      </c>
      <c r="G42" s="242" t="str">
        <f ca="1">IF(AD42,Variante_A!$M$21+Variante_A!$M$28+Variante_A!$M$36+Variante_A!$M$45+Variante_A!$M$53+Variante_A!$M$63+Variante_A!$M$74+Variante_A!$M$84+Variante_A!$M$99,"")</f>
        <v/>
      </c>
      <c r="H42" s="330" t="s">
        <v>985</v>
      </c>
      <c r="I42" s="243" t="str">
        <f ca="1">IF(AF42,Variante_A!$X$21+Variante_A!$X$28+Variante_A!$X$36+Variante_A!$X$45+Variante_A!$X$53+Variante_A!$X$63+Variante_A!$X$74+Variante_A!$X$84+Variante_A!$X$99,"")</f>
        <v/>
      </c>
      <c r="J42" s="244"/>
      <c r="K42" s="330" t="s">
        <v>941</v>
      </c>
      <c r="L42" s="242" t="str">
        <f ca="1">IF(AI42,Variante_B!$M$21+Variante_B!$M$28+Variante_B!$M$36+Variante_B!$M$45+Variante_B!$M$53+Variante_B!$M$63+Variante_B!$M$74+Variante_B!$M$84+Variante_B!$M$99,"")</f>
        <v/>
      </c>
      <c r="M42" s="330" t="s">
        <v>985</v>
      </c>
      <c r="N42" s="243" t="str">
        <f ca="1">IF(AK42,Variante_B!$X$21+Variante_B!$X$28+Variante_B!$X$36+Variante_B!$X$45+Variante_B!$X$53+Variante_B!$X$63+Variante_B!$X$74+Variante_B!$X$84+Variante_B!$X$99,"")</f>
        <v/>
      </c>
      <c r="O42" s="244"/>
      <c r="P42" s="330" t="s">
        <v>941</v>
      </c>
      <c r="Q42" s="242" t="str">
        <f ca="1">IF(AN42,Variante_C!$M$21+Variante_C!$M$28+Variante_C!$M$36+Variante_C!$M$45+Variante_C!$M$53+Variante_C!$M$63+Variante_C!$M$74+Variante_C!$M$84+Variante_C!$M$99,"")</f>
        <v/>
      </c>
      <c r="R42" s="330" t="s">
        <v>985</v>
      </c>
      <c r="S42" s="243" t="str">
        <f ca="1">IF(AP42,Variante_C!$X$21+Variante_C!$X$28+Variante_C!$X$36+Variante_C!$X$45+Variante_C!$X$53+Variante_C!$X$63+Variante_C!$X$74+Variante_C!$X$84+Variante_C!$X$99,"")</f>
        <v/>
      </c>
      <c r="T42" s="244"/>
      <c r="U42" s="330" t="s">
        <v>941</v>
      </c>
      <c r="V42" s="242" t="str">
        <f ca="1">IF(AS42,Variante_D!$M$21+Variante_D!$M$28+Variante_D!$M$36+Variante_D!$M$45+Variante_D!$M$53+Variante_D!$M$63+Variante_D!$M$74+Variante_D!$M$84+Variante_D!$M$99,"")</f>
        <v/>
      </c>
      <c r="W42" s="330" t="s">
        <v>985</v>
      </c>
      <c r="X42" s="242" t="str">
        <f ca="1">IF(AU42,Variante_D!$X$21+Variante_D!$X$28+Variante_D!$X$36+Variante_D!$X$45+Variante_D!$X$53+Variante_D!$X$63+Variante_D!$X$74+Variante_D!$X$84+Variante_D!$X$99,"")</f>
        <v/>
      </c>
      <c r="AA42" s="517"/>
      <c r="AC42" s="516" t="b">
        <f ca="1">OR(AC6=1,AC6=2,AC6=3,AC6=4,AC6=5,AC6=6,AC6=7,AC6=8,AC6=14)</f>
        <v>0</v>
      </c>
      <c r="AD42" s="514" t="b">
        <f t="shared" ca="1" si="8"/>
        <v>0</v>
      </c>
      <c r="AE42" s="510" t="b">
        <f ca="1">AND(AE7,OR(AE6=1,AE6=2,AE6=3,AE6=4,AE6=5,AE6=6,AE6=7,AE6=8,AE6=14))</f>
        <v>0</v>
      </c>
      <c r="AF42" s="510" t="b">
        <f t="shared" ca="1" si="9"/>
        <v>0</v>
      </c>
      <c r="AH42" s="516" t="b">
        <f ca="1">OR(AH6=1,AH6=2,AH6=3,AH6=4,AH6=5,AH6=6,AH6=7,AH6=8,AH6=14)</f>
        <v>0</v>
      </c>
      <c r="AI42" s="514" t="b">
        <f t="shared" ca="1" si="10"/>
        <v>0</v>
      </c>
      <c r="AJ42" s="510" t="b">
        <f ca="1">AND(AJ7,OR(AJ6=1,AJ6=2,AJ6=3,AJ6=4,AJ6=5,AJ6=6,AJ6=7,AJ6=8,AJ6=14))</f>
        <v>0</v>
      </c>
      <c r="AK42" s="510" t="b">
        <f t="shared" ca="1" si="11"/>
        <v>0</v>
      </c>
      <c r="AM42" s="516" t="b">
        <f ca="1">OR(AM6=1,AM6=2,AM6=3,AM6=4,AM6=5,AM6=6,AM6=7,AM6=8,AM6=14)</f>
        <v>0</v>
      </c>
      <c r="AN42" s="514" t="b">
        <f t="shared" ca="1" si="12"/>
        <v>0</v>
      </c>
      <c r="AO42" s="510" t="b">
        <f ca="1">AND(AO7,OR(AO6=1,AO6=2,AO6=3,AO6=4,AO6=5,AO6=6,AO6=7,AO6=8,AO6=14))</f>
        <v>0</v>
      </c>
      <c r="AP42" s="510" t="b">
        <f t="shared" ca="1" si="13"/>
        <v>0</v>
      </c>
      <c r="AR42" s="516" t="b">
        <f ca="1">OR(AR6=1,AR6=2,AR6=3,AR6=4,AR6=5,AR6=6,AR6=7,AR6=8,AR6=14)</f>
        <v>0</v>
      </c>
      <c r="AS42" s="514" t="b">
        <f t="shared" ca="1" si="14"/>
        <v>0</v>
      </c>
      <c r="AT42" s="510" t="b">
        <f ca="1">AND(AT7,OR(AT6=1,AT6=2,AT6=3,AT6=4,AT6=5,AT6=6,AT6=7,AT6=8,AT6=14))</f>
        <v>0</v>
      </c>
      <c r="AU42" s="510" t="b">
        <f t="shared" ca="1" si="15"/>
        <v>0</v>
      </c>
    </row>
    <row r="43" spans="3:47" ht="17.25" customHeight="1">
      <c r="C43" s="129" t="str">
        <f ca="1">Sprache!E380&amp;":"</f>
        <v>Übergabestation:</v>
      </c>
      <c r="D43" s="35" t="s">
        <v>175</v>
      </c>
      <c r="E43" s="35" t="s">
        <v>1215</v>
      </c>
      <c r="F43" s="330" t="s">
        <v>941</v>
      </c>
      <c r="G43" s="242" t="str">
        <f ca="1">IF(AD43,Variante_A!$M$93,"")</f>
        <v/>
      </c>
      <c r="H43" s="330" t="s">
        <v>985</v>
      </c>
      <c r="I43" s="243" t="str">
        <f ca="1">IF(AF43,Variante_A!$X$93,"")</f>
        <v/>
      </c>
      <c r="J43" s="244"/>
      <c r="K43" s="330" t="s">
        <v>941</v>
      </c>
      <c r="L43" s="242" t="str">
        <f ca="1">IF(AI43,Variante_B!$M$93,"")</f>
        <v/>
      </c>
      <c r="M43" s="330" t="s">
        <v>985</v>
      </c>
      <c r="N43" s="243" t="str">
        <f ca="1">IF(AK43,Variante_B!$X$93,"")</f>
        <v/>
      </c>
      <c r="O43" s="244"/>
      <c r="P43" s="330" t="s">
        <v>941</v>
      </c>
      <c r="Q43" s="242" t="str">
        <f ca="1">IF(AN43,Variante_C!$M$93,"")</f>
        <v/>
      </c>
      <c r="R43" s="330" t="s">
        <v>985</v>
      </c>
      <c r="S43" s="243" t="str">
        <f ca="1">IF(AP43,Variante_C!$X$93,"")</f>
        <v/>
      </c>
      <c r="T43" s="244"/>
      <c r="U43" s="330" t="s">
        <v>941</v>
      </c>
      <c r="V43" s="242" t="str">
        <f ca="1">IF(AS43,Variante_D!$M$93,"")</f>
        <v/>
      </c>
      <c r="W43" s="330" t="s">
        <v>985</v>
      </c>
      <c r="X43" s="242" t="str">
        <f ca="1">IF(AU43,Variante_D!$X$93,"")</f>
        <v/>
      </c>
      <c r="AA43" s="517"/>
      <c r="AC43" s="516" t="b">
        <f ca="1">OR(AC6=10,AC6=11,AC6=12,AC6=13)</f>
        <v>0</v>
      </c>
      <c r="AD43" s="514" t="b">
        <f t="shared" ca="1" si="8"/>
        <v>0</v>
      </c>
      <c r="AE43" s="510" t="b">
        <f ca="1">AND(AE7,OR(AE6=10,AE6=11,AE6=12,AE6=13))</f>
        <v>0</v>
      </c>
      <c r="AF43" s="510" t="b">
        <f t="shared" ca="1" si="9"/>
        <v>0</v>
      </c>
      <c r="AH43" s="516" t="b">
        <f ca="1">OR(AH6=10,AH6=11,AH6=12,AH6=13)</f>
        <v>0</v>
      </c>
      <c r="AI43" s="514" t="b">
        <f t="shared" ca="1" si="10"/>
        <v>0</v>
      </c>
      <c r="AJ43" s="510" t="b">
        <f ca="1">AND(AJ7,OR(AJ6=10,AJ6=11,AJ6=12,AJ6=13))</f>
        <v>0</v>
      </c>
      <c r="AK43" s="510" t="b">
        <f t="shared" ca="1" si="11"/>
        <v>0</v>
      </c>
      <c r="AM43" s="516" t="b">
        <f ca="1">OR(AM6=10,AM6=11,AM6=12,AM6=13)</f>
        <v>0</v>
      </c>
      <c r="AN43" s="514" t="b">
        <f t="shared" ca="1" si="12"/>
        <v>0</v>
      </c>
      <c r="AO43" s="510" t="b">
        <f ca="1">AND(AO7,OR(AO6=10,AO6=11,AO6=12,AO6=13))</f>
        <v>0</v>
      </c>
      <c r="AP43" s="510" t="b">
        <f t="shared" ca="1" si="13"/>
        <v>0</v>
      </c>
      <c r="AR43" s="516" t="b">
        <f ca="1">OR(AR6=10,AR6=11,AR6=12,AR6=13)</f>
        <v>0</v>
      </c>
      <c r="AS43" s="514" t="b">
        <f t="shared" ca="1" si="14"/>
        <v>0</v>
      </c>
      <c r="AT43" s="510" t="b">
        <f ca="1">AND(AT7,OR(AT6=10,AT6=11,AT6=12,AT6=13))</f>
        <v>0</v>
      </c>
      <c r="AU43" s="510" t="b">
        <f t="shared" ca="1" si="15"/>
        <v>0</v>
      </c>
    </row>
    <row r="44" spans="3:47" ht="17.25" customHeight="1">
      <c r="C44" s="129" t="str">
        <f ca="1">Sprache!E453&amp;":"</f>
        <v>Hydraulische Einbindung:</v>
      </c>
      <c r="D44" s="35" t="s">
        <v>175</v>
      </c>
      <c r="E44" s="35" t="s">
        <v>1215</v>
      </c>
      <c r="F44" s="330" t="s">
        <v>941</v>
      </c>
      <c r="G44" s="242" t="str">
        <f ca="1">IF(AD44,Variante_A!$M$103,"")</f>
        <v/>
      </c>
      <c r="H44" s="330" t="s">
        <v>985</v>
      </c>
      <c r="I44" s="243" t="str">
        <f ca="1">IF(AF44,Variante_A!$X$103,"")</f>
        <v/>
      </c>
      <c r="J44" s="244"/>
      <c r="K44" s="330" t="s">
        <v>941</v>
      </c>
      <c r="L44" s="242" t="str">
        <f ca="1">IF(AI44,Variante_B!$M$103,"")</f>
        <v/>
      </c>
      <c r="M44" s="330" t="s">
        <v>985</v>
      </c>
      <c r="N44" s="243" t="str">
        <f ca="1">IF(AK44,Variante_B!$X$103,"")</f>
        <v/>
      </c>
      <c r="O44" s="244"/>
      <c r="P44" s="330" t="s">
        <v>941</v>
      </c>
      <c r="Q44" s="242" t="str">
        <f ca="1">IF(AN44,Variante_C!$M$103,"")</f>
        <v/>
      </c>
      <c r="R44" s="330" t="s">
        <v>985</v>
      </c>
      <c r="S44" s="243" t="str">
        <f ca="1">IF(AP44,Variante_C!$X$103,"")</f>
        <v/>
      </c>
      <c r="T44" s="244"/>
      <c r="U44" s="330" t="s">
        <v>941</v>
      </c>
      <c r="V44" s="242" t="str">
        <f ca="1">IF(AS44,Variante_D!$M$103,"")</f>
        <v/>
      </c>
      <c r="W44" s="330" t="s">
        <v>985</v>
      </c>
      <c r="X44" s="242" t="str">
        <f ca="1">IF(AU44,Variante_D!$X$103,"")</f>
        <v/>
      </c>
      <c r="AA44" s="517"/>
      <c r="AC44" s="516" t="b">
        <f ca="1">AC6=8</f>
        <v>0</v>
      </c>
      <c r="AD44" s="516" t="b">
        <f ca="1">AC44</f>
        <v>0</v>
      </c>
      <c r="AE44" s="510" t="b">
        <f ca="1">AE6=8</f>
        <v>0</v>
      </c>
      <c r="AF44" s="510" t="b">
        <f ca="1">AE44</f>
        <v>0</v>
      </c>
      <c r="AH44" s="516" t="b">
        <f ca="1">AH6=8</f>
        <v>0</v>
      </c>
      <c r="AI44" s="516" t="b">
        <f ca="1">AH44</f>
        <v>0</v>
      </c>
      <c r="AJ44" s="510" t="b">
        <f ca="1">AJ6=8</f>
        <v>0</v>
      </c>
      <c r="AK44" s="510" t="b">
        <f ca="1">AJ44</f>
        <v>0</v>
      </c>
      <c r="AM44" s="516" t="b">
        <f ca="1">AM6=8</f>
        <v>0</v>
      </c>
      <c r="AN44" s="516" t="b">
        <f ca="1">AM44</f>
        <v>0</v>
      </c>
      <c r="AO44" s="510" t="b">
        <f ca="1">AO6=8</f>
        <v>0</v>
      </c>
      <c r="AP44" s="510" t="b">
        <f ca="1">AO44</f>
        <v>0</v>
      </c>
      <c r="AR44" s="516" t="b">
        <f ca="1">AR6=8</f>
        <v>0</v>
      </c>
      <c r="AS44" s="516" t="b">
        <f ca="1">AR44</f>
        <v>0</v>
      </c>
      <c r="AT44" s="510" t="b">
        <f ca="1">AT6=8</f>
        <v>0</v>
      </c>
      <c r="AU44" s="510" t="b">
        <f ca="1">AT44</f>
        <v>0</v>
      </c>
    </row>
    <row r="45" spans="3:47" ht="17.25" customHeight="1">
      <c r="C45" s="129" t="str">
        <f ca="1">Sprache!E454&amp;":"</f>
        <v>Lüftungsanlage:</v>
      </c>
      <c r="D45" s="35" t="s">
        <v>175</v>
      </c>
      <c r="E45" s="35" t="s">
        <v>1215</v>
      </c>
      <c r="F45" s="330" t="s">
        <v>941</v>
      </c>
      <c r="G45" s="242" t="str">
        <f ca="1">IF(AD45,Variante_A!$M$104,"")</f>
        <v/>
      </c>
      <c r="H45" s="330" t="s">
        <v>985</v>
      </c>
      <c r="I45" s="243" t="str">
        <f ca="1">IF(AF45,Variante_A!$X$104,"")</f>
        <v/>
      </c>
      <c r="J45" s="244"/>
      <c r="K45" s="330" t="s">
        <v>941</v>
      </c>
      <c r="L45" s="242" t="str">
        <f ca="1">IF(AI45,Variante_B!$M$104,"")</f>
        <v/>
      </c>
      <c r="M45" s="330" t="s">
        <v>985</v>
      </c>
      <c r="N45" s="243" t="str">
        <f ca="1">IF(AK45,Variante_B!$X$104,"")</f>
        <v/>
      </c>
      <c r="O45" s="244"/>
      <c r="P45" s="330" t="s">
        <v>941</v>
      </c>
      <c r="Q45" s="242" t="str">
        <f ca="1">IF(AN45,Variante_C!$M$104,"")</f>
        <v/>
      </c>
      <c r="R45" s="330" t="s">
        <v>985</v>
      </c>
      <c r="S45" s="243" t="str">
        <f ca="1">IF(AP45,Variante_C!$X$104,"")</f>
        <v/>
      </c>
      <c r="T45" s="244"/>
      <c r="U45" s="330" t="s">
        <v>941</v>
      </c>
      <c r="V45" s="242" t="str">
        <f ca="1">IF(AS45,Variante_D!$M$104,"")</f>
        <v/>
      </c>
      <c r="W45" s="330" t="s">
        <v>985</v>
      </c>
      <c r="X45" s="242" t="str">
        <f ca="1">IF(AU45,Variante_D!$X$104,"")</f>
        <v/>
      </c>
      <c r="AA45" s="517"/>
      <c r="AC45" s="516" t="b">
        <f ca="1">AC6=8</f>
        <v>0</v>
      </c>
      <c r="AD45" s="516" t="b">
        <f ca="1">AC45</f>
        <v>0</v>
      </c>
      <c r="AE45" s="510" t="b">
        <f ca="1">AE6=8</f>
        <v>0</v>
      </c>
      <c r="AF45" s="510" t="b">
        <f ca="1">AE45</f>
        <v>0</v>
      </c>
      <c r="AH45" s="516" t="b">
        <f ca="1">AH6=8</f>
        <v>0</v>
      </c>
      <c r="AI45" s="516" t="b">
        <f ca="1">AH45</f>
        <v>0</v>
      </c>
      <c r="AJ45" s="510" t="b">
        <f ca="1">AJ6=8</f>
        <v>0</v>
      </c>
      <c r="AK45" s="510" t="b">
        <f ca="1">AJ45</f>
        <v>0</v>
      </c>
      <c r="AM45" s="516" t="b">
        <f ca="1">AM6=8</f>
        <v>0</v>
      </c>
      <c r="AN45" s="516" t="b">
        <f ca="1">AM45</f>
        <v>0</v>
      </c>
      <c r="AO45" s="510" t="b">
        <f ca="1">AO6=8</f>
        <v>0</v>
      </c>
      <c r="AP45" s="510" t="b">
        <f ca="1">AO45</f>
        <v>0</v>
      </c>
      <c r="AR45" s="516" t="b">
        <f ca="1">AR6=8</f>
        <v>0</v>
      </c>
      <c r="AS45" s="516" t="b">
        <f ca="1">AR45</f>
        <v>0</v>
      </c>
      <c r="AT45" s="510" t="b">
        <f ca="1">AT6=8</f>
        <v>0</v>
      </c>
      <c r="AU45" s="510" t="b">
        <f ca="1">AT45</f>
        <v>0</v>
      </c>
    </row>
    <row r="46" spans="3:47" ht="17.25" customHeight="1">
      <c r="C46" s="129" t="str">
        <f ca="1">Sprache!E381&amp;":"</f>
        <v>Zwischenkreis:</v>
      </c>
      <c r="D46" s="35" t="s">
        <v>175</v>
      </c>
      <c r="E46" s="35" t="s">
        <v>1219</v>
      </c>
      <c r="F46" s="330" t="s">
        <v>941</v>
      </c>
      <c r="G46" s="242" t="str">
        <f ca="1">IF(AD46,Variante_A!$M$65,"")</f>
        <v/>
      </c>
      <c r="H46" s="330" t="s">
        <v>985</v>
      </c>
      <c r="I46" s="243" t="str">
        <f ca="1">IF(AF46,Variante_A!$X$65,"")</f>
        <v/>
      </c>
      <c r="J46" s="244"/>
      <c r="K46" s="330" t="s">
        <v>941</v>
      </c>
      <c r="L46" s="242" t="str">
        <f ca="1">IF(AI46,Variante_B!$M$65,"")</f>
        <v/>
      </c>
      <c r="M46" s="330" t="s">
        <v>985</v>
      </c>
      <c r="N46" s="243" t="str">
        <f ca="1">IF(AK46,Variante_B!$X$65,"")</f>
        <v/>
      </c>
      <c r="O46" s="244"/>
      <c r="P46" s="330" t="s">
        <v>941</v>
      </c>
      <c r="Q46" s="242" t="str">
        <f ca="1">IF(AN46,Variante_C!$M$65,"")</f>
        <v/>
      </c>
      <c r="R46" s="330" t="s">
        <v>985</v>
      </c>
      <c r="S46" s="243" t="str">
        <f ca="1">IF(AP46,Variante_C!$X$65,"")</f>
        <v/>
      </c>
      <c r="T46" s="244"/>
      <c r="U46" s="330" t="s">
        <v>941</v>
      </c>
      <c r="V46" s="242" t="str">
        <f ca="1">IF(AS46,Variante_D!$M$65,"")</f>
        <v/>
      </c>
      <c r="W46" s="330" t="s">
        <v>985</v>
      </c>
      <c r="X46" s="242" t="str">
        <f ca="1">IF(AU46,Variante_D!$X$65,"")</f>
        <v/>
      </c>
      <c r="AA46" s="517"/>
      <c r="AC46" s="516" t="b">
        <f ca="1">(AC6=6)</f>
        <v>0</v>
      </c>
      <c r="AD46" s="514" t="b">
        <f t="shared" ca="1" si="8"/>
        <v>0</v>
      </c>
      <c r="AE46" s="510" t="b">
        <f ca="1">AND(AE7,AE6=6)</f>
        <v>0</v>
      </c>
      <c r="AF46" s="510" t="b">
        <f t="shared" ca="1" si="9"/>
        <v>0</v>
      </c>
      <c r="AH46" s="516" t="b">
        <f ca="1">(AH6=6)</f>
        <v>0</v>
      </c>
      <c r="AI46" s="514" t="b">
        <f t="shared" ca="1" si="10"/>
        <v>0</v>
      </c>
      <c r="AJ46" s="510" t="b">
        <f ca="1">AND(AJ7,AJ6=6)</f>
        <v>0</v>
      </c>
      <c r="AK46" s="510" t="b">
        <f t="shared" ca="1" si="11"/>
        <v>0</v>
      </c>
      <c r="AM46" s="516" t="b">
        <f ca="1">(AM6=6)</f>
        <v>0</v>
      </c>
      <c r="AN46" s="514" t="b">
        <f t="shared" ref="AN46:AN51" ca="1" si="16">AM46</f>
        <v>0</v>
      </c>
      <c r="AO46" s="510" t="b">
        <f ca="1">AND(AO7,AO6=6)</f>
        <v>0</v>
      </c>
      <c r="AP46" s="510" t="b">
        <f t="shared" ref="AP46:AP51" ca="1" si="17">AO46</f>
        <v>0</v>
      </c>
      <c r="AR46" s="516" t="b">
        <f ca="1">(AR6=6)</f>
        <v>0</v>
      </c>
      <c r="AS46" s="514" t="b">
        <f t="shared" ref="AS46:AS51" ca="1" si="18">AR46</f>
        <v>0</v>
      </c>
      <c r="AT46" s="510" t="b">
        <f ca="1">AND(AT7,AT6=6)</f>
        <v>0</v>
      </c>
      <c r="AU46" s="510" t="b">
        <f t="shared" ref="AU46:AU51" ca="1" si="19">AT46</f>
        <v>0</v>
      </c>
    </row>
    <row r="47" spans="3:47" ht="17.25" customHeight="1">
      <c r="C47" s="129" t="str">
        <f ca="1">Sprache!E382&amp;":"</f>
        <v>Transport und Montage:</v>
      </c>
      <c r="D47" s="35" t="s">
        <v>175</v>
      </c>
      <c r="E47" s="35" t="s">
        <v>1215</v>
      </c>
      <c r="F47" s="330" t="s">
        <v>941</v>
      </c>
      <c r="G47" s="242" t="str">
        <f ca="1">IF(AD47,Variante_A!$M$22+Variante_A!$M$29+Variante_A!$M$38+Variante_A!$M$47+Variante_A!$M$55+Variante_A!$M$66+Variante_A!$M$76+Variante_A!$M$86+Variante_A!$M$94+Variante_A!$M$101,"")</f>
        <v/>
      </c>
      <c r="H47" s="330" t="s">
        <v>985</v>
      </c>
      <c r="I47" s="243" t="str">
        <f ca="1">IF(AF47,Variante_A!$X$22+Variante_A!$X$29+Variante_A!$X$38+Variante_A!$X$47+Variante_A!$X$55+Variante_A!$X$66+Variante_A!$X$76+Variante_A!$X$86+Variante_A!$X$94+Variante_A!$X$101,"")</f>
        <v/>
      </c>
      <c r="J47" s="244"/>
      <c r="K47" s="330" t="s">
        <v>941</v>
      </c>
      <c r="L47" s="242" t="str">
        <f ca="1">IF(AI47,Variante_B!$M$22+Variante_B!$M$29+Variante_B!$M$38+Variante_B!$M$47+Variante_B!$M$55+Variante_B!$M$66+Variante_B!$M$76+Variante_B!$M$86+Variante_B!$M$94+Variante_B!$M$101,"")</f>
        <v/>
      </c>
      <c r="M47" s="330" t="s">
        <v>985</v>
      </c>
      <c r="N47" s="243" t="str">
        <f ca="1">IF(AK47,Variante_B!$X$22+Variante_B!$X$29+Variante_B!$X$38+Variante_B!$X$47+Variante_B!$X$55+Variante_B!$X$66+Variante_B!$X$76+Variante_B!$X$86+Variante_B!$X$94+Variante_B!$X$101,"")</f>
        <v/>
      </c>
      <c r="O47" s="244"/>
      <c r="P47" s="330" t="s">
        <v>941</v>
      </c>
      <c r="Q47" s="242" t="str">
        <f ca="1">IF(AN47,Variante_C!$M$22+Variante_C!$M$29+Variante_C!$M$38+Variante_C!$M$47+Variante_C!$M$55+Variante_C!$M$66+Variante_C!$M$76+Variante_C!$M$86+Variante_C!$M$94+Variante_C!$M$101,"")</f>
        <v/>
      </c>
      <c r="R47" s="330" t="s">
        <v>985</v>
      </c>
      <c r="S47" s="243" t="str">
        <f ca="1">IF(AP47,Variante_C!$X$22+Variante_C!$X$29+Variante_C!$X$38+Variante_C!$X$47+Variante_C!$X$55+Variante_C!$X$66+Variante_C!$X$76+Variante_C!$X$86+Variante_C!$X$94+Variante_C!$X$101,"")</f>
        <v/>
      </c>
      <c r="T47" s="244"/>
      <c r="U47" s="330" t="s">
        <v>941</v>
      </c>
      <c r="V47" s="242" t="str">
        <f ca="1">IF(AS47,Variante_D!$M$22+Variante_D!$M$29+Variante_D!$M$38+Variante_D!$M$47+Variante_D!$M$55+Variante_D!$M$66+Variante_D!$M$76+Variante_D!$M$86+Variante_D!$M$94+Variante_D!$M$101,"")</f>
        <v/>
      </c>
      <c r="W47" s="330" t="s">
        <v>985</v>
      </c>
      <c r="X47" s="242" t="str">
        <f ca="1">IF(AU47,Variante_D!$X$22+Variante_D!$X$29+Variante_D!$X$38+Variante_D!$X$47+Variante_D!$X$55+Variante_D!$X$66+Variante_D!$X$76+Variante_D!$X$86+Variante_D!$X$94+Variante_D!$X$101,"")</f>
        <v/>
      </c>
      <c r="AA47" s="517"/>
      <c r="AC47" s="516" t="b">
        <f ca="1">(AC6&lt;&gt;0)</f>
        <v>0</v>
      </c>
      <c r="AD47" s="514" t="b">
        <f t="shared" ca="1" si="8"/>
        <v>0</v>
      </c>
      <c r="AE47" s="510" t="b">
        <f ca="1">AND(AE7,AE6&lt;&gt;0)</f>
        <v>0</v>
      </c>
      <c r="AF47" s="510" t="b">
        <f t="shared" ca="1" si="9"/>
        <v>0</v>
      </c>
      <c r="AH47" s="516" t="b">
        <f ca="1">(AH6&lt;&gt;0)</f>
        <v>0</v>
      </c>
      <c r="AI47" s="514" t="b">
        <f t="shared" ca="1" si="10"/>
        <v>0</v>
      </c>
      <c r="AJ47" s="510" t="b">
        <f ca="1">AND(AJ7,AJ6&lt;&gt;0)</f>
        <v>0</v>
      </c>
      <c r="AK47" s="510" t="b">
        <f t="shared" ca="1" si="11"/>
        <v>0</v>
      </c>
      <c r="AM47" s="516" t="b">
        <f ca="1">(AM6&lt;&gt;0)</f>
        <v>0</v>
      </c>
      <c r="AN47" s="514" t="b">
        <f t="shared" ca="1" si="16"/>
        <v>0</v>
      </c>
      <c r="AO47" s="510" t="b">
        <f ca="1">AND(AO7,AO6&lt;&gt;0)</f>
        <v>0</v>
      </c>
      <c r="AP47" s="510" t="b">
        <f t="shared" ca="1" si="17"/>
        <v>0</v>
      </c>
      <c r="AR47" s="516" t="b">
        <f ca="1">(AR6&lt;&gt;0)</f>
        <v>0</v>
      </c>
      <c r="AS47" s="514" t="b">
        <f t="shared" ca="1" si="18"/>
        <v>0</v>
      </c>
      <c r="AT47" s="510" t="b">
        <f ca="1">AND(AT7,AT6&lt;&gt;0)</f>
        <v>0</v>
      </c>
      <c r="AU47" s="510" t="b">
        <f t="shared" ca="1" si="19"/>
        <v>0</v>
      </c>
    </row>
    <row r="48" spans="3:47" ht="17.25" customHeight="1">
      <c r="C48" s="129" t="str">
        <f ca="1">Sprache!E383&amp;":"</f>
        <v>Kamin:</v>
      </c>
      <c r="D48" s="35" t="s">
        <v>175</v>
      </c>
      <c r="E48" s="35" t="s">
        <v>1256</v>
      </c>
      <c r="F48" s="330" t="s">
        <v>941</v>
      </c>
      <c r="G48" s="242" t="str">
        <f ca="1">IF(AD48,Variante_A!$M$23+Variante_A!$M$30+Variante_A!$M$39+Variante_A!$M$48+Variante_A!$M$102,"")</f>
        <v/>
      </c>
      <c r="H48" s="330" t="s">
        <v>985</v>
      </c>
      <c r="I48" s="242" t="str">
        <f ca="1">IF(AF48,Variante_A!$X$23+Variante_A!$X$30+Variante_A!$X$39+Variante_A!$X$48+Variante_A!$X$102,"")</f>
        <v/>
      </c>
      <c r="J48" s="244"/>
      <c r="K48" s="330" t="s">
        <v>941</v>
      </c>
      <c r="L48" s="242" t="str">
        <f ca="1">IF(AI48,Variante_B!$M$23+Variante_B!$M$30+Variante_B!$M$39+Variante_B!$M$48+Variante_B!$M$102,"")</f>
        <v/>
      </c>
      <c r="M48" s="330" t="s">
        <v>985</v>
      </c>
      <c r="N48" s="242" t="str">
        <f ca="1">IF(AK48,Variante_B!$X$23+Variante_B!$X$30+Variante_B!$X$39+Variante_B!$X$48+Variante_B!$X$102,"")</f>
        <v/>
      </c>
      <c r="O48" s="244"/>
      <c r="P48" s="330" t="s">
        <v>941</v>
      </c>
      <c r="Q48" s="242" t="str">
        <f ca="1">IF(AN48,Variante_C!$M$23+Variante_C!$M$30+Variante_C!$M$39+Variante_C!$M$48+Variante_C!$M$102,"")</f>
        <v/>
      </c>
      <c r="R48" s="330" t="s">
        <v>985</v>
      </c>
      <c r="S48" s="242" t="str">
        <f ca="1">IF(AP48,Variante_C!$X$23+Variante_C!$X$30+Variante_C!$X$39+Variante_C!$X$48+Variante_C!$X$102,"")</f>
        <v/>
      </c>
      <c r="T48" s="244"/>
      <c r="U48" s="330" t="s">
        <v>941</v>
      </c>
      <c r="V48" s="242" t="str">
        <f ca="1">IF(AS48,Variante_D!$M$23+Variante_D!$M$30+Variante_D!$M$39+Variante_D!$M$48+Variante_D!$M$102,"")</f>
        <v/>
      </c>
      <c r="W48" s="330" t="s">
        <v>985</v>
      </c>
      <c r="X48" s="242" t="str">
        <f ca="1">IF(AU48,Variante_D!$X$23+Variante_D!$X$30+Variante_D!$X$39+Variante_D!$X$48+Variante_D!$X$102,"")</f>
        <v/>
      </c>
      <c r="AA48" s="517"/>
      <c r="AC48" s="516" t="b">
        <f ca="1">OR(AC6=1,AC6=2,AC6=3,AC6=4,AC6=8)</f>
        <v>0</v>
      </c>
      <c r="AD48" s="514" t="b">
        <f t="shared" ca="1" si="8"/>
        <v>0</v>
      </c>
      <c r="AE48" s="510" t="b">
        <f ca="1">AND(AE7,OR(AE6=1,AE6=2,AE6=3,AE6=4,AE6=8))</f>
        <v>0</v>
      </c>
      <c r="AF48" s="510" t="b">
        <f t="shared" ca="1" si="9"/>
        <v>0</v>
      </c>
      <c r="AH48" s="516" t="b">
        <f ca="1">OR(AH6=1,AH6=2,AH6=3,AH6=4,AH6=8)</f>
        <v>0</v>
      </c>
      <c r="AI48" s="514" t="b">
        <f t="shared" ca="1" si="10"/>
        <v>0</v>
      </c>
      <c r="AJ48" s="510" t="b">
        <f ca="1">AND(AJ7,OR(AJ6=1,AJ6=2,AJ6=3,AJ6=4,AJ6=8))</f>
        <v>0</v>
      </c>
      <c r="AK48" s="510" t="b">
        <f t="shared" ca="1" si="11"/>
        <v>0</v>
      </c>
      <c r="AM48" s="516" t="b">
        <f ca="1">OR(AM6=1,AM6=2,AM6=3,AM6=4,AM6=8)</f>
        <v>0</v>
      </c>
      <c r="AN48" s="514" t="b">
        <f t="shared" ca="1" si="16"/>
        <v>0</v>
      </c>
      <c r="AO48" s="510" t="b">
        <f ca="1">AND(AO7,OR(AO6=1,AO6=2,AO6=3,AO6=4,AO6=8))</f>
        <v>0</v>
      </c>
      <c r="AP48" s="510" t="b">
        <f t="shared" ca="1" si="17"/>
        <v>0</v>
      </c>
      <c r="AR48" s="516" t="b">
        <f ca="1">OR(AR6=1,AR6=2,AR6=3,AR6=4,AR6=8)</f>
        <v>0</v>
      </c>
      <c r="AS48" s="514" t="b">
        <f t="shared" ca="1" si="18"/>
        <v>0</v>
      </c>
      <c r="AT48" s="510" t="b">
        <f ca="1">AND(AT7,OR(AT6=1,AT6=2,AT6=3,AT6=4,AT6=8))</f>
        <v>0</v>
      </c>
      <c r="AU48" s="510" t="b">
        <f t="shared" ca="1" si="19"/>
        <v>0</v>
      </c>
    </row>
    <row r="49" spans="2:47" ht="17.25" customHeight="1">
      <c r="C49" s="129" t="str">
        <f ca="1">Sprache!E384&amp;":"</f>
        <v>Zentrale Starkstromanlagen:</v>
      </c>
      <c r="D49" s="35" t="s">
        <v>175</v>
      </c>
      <c r="E49" s="35" t="s">
        <v>1244</v>
      </c>
      <c r="F49" s="330" t="s">
        <v>941</v>
      </c>
      <c r="G49" s="242" t="str">
        <f ca="1">IF(AD49,Variante_A!$M$57+Variante_A!$M$68+Variante_A!$M$78+Variante_A!$M$88+Variante_A!$M$104,"")</f>
        <v/>
      </c>
      <c r="H49" s="330" t="s">
        <v>985</v>
      </c>
      <c r="I49" s="242" t="str">
        <f ca="1">IF(AF49,Variante_A!$X$57+Variante_A!$X$68+Variante_A!$X$78+Variante_A!$X$88+Variante_A!$X$104,"")</f>
        <v/>
      </c>
      <c r="J49" s="244"/>
      <c r="K49" s="330" t="s">
        <v>941</v>
      </c>
      <c r="L49" s="242" t="str">
        <f ca="1">IF(AI49,Variante_B!$M$57+Variante_B!$M$68+Variante_B!$M$78+Variante_B!$M$88+Variante_B!$M$104,"")</f>
        <v/>
      </c>
      <c r="M49" s="330" t="s">
        <v>985</v>
      </c>
      <c r="N49" s="242" t="str">
        <f ca="1">IF(AK49,Variante_B!$X$57+Variante_B!$X$68+Variante_B!$X$78+Variante_B!$X$88+Variante_B!$X$104,"")</f>
        <v/>
      </c>
      <c r="O49" s="244"/>
      <c r="P49" s="330" t="s">
        <v>941</v>
      </c>
      <c r="Q49" s="242" t="str">
        <f ca="1">IF(AN49,Variante_C!$M$57+Variante_C!$M$68+Variante_C!$M$78+Variante_C!$M$88+Variante_C!$M$104,"")</f>
        <v/>
      </c>
      <c r="R49" s="330" t="s">
        <v>985</v>
      </c>
      <c r="S49" s="242" t="str">
        <f ca="1">IF(AP49,Variante_C!$X$57+Variante_C!$X$68+Variante_C!$X$78+Variante_C!$X$88+Variante_C!$X$104,"")</f>
        <v/>
      </c>
      <c r="T49" s="244"/>
      <c r="U49" s="330" t="s">
        <v>941</v>
      </c>
      <c r="V49" s="242" t="str">
        <f ca="1">IF(AS49,Variante_D!$M$57+Variante_D!$M$68+Variante_D!$M$78+Variante_D!$M$88+Variante_D!$M$104,"")</f>
        <v/>
      </c>
      <c r="W49" s="330" t="s">
        <v>985</v>
      </c>
      <c r="X49" s="242" t="str">
        <f ca="1">IF(AU49,Variante_D!$X$57+Variante_D!$X$68+Variante_D!$X$78+Variante_D!$X$88+Variante_D!$X$104,"")</f>
        <v/>
      </c>
      <c r="AA49" s="517"/>
      <c r="AC49" s="516" t="b">
        <f ca="1">OR(AC6=5,AC6=6,AC6=7,AC6=8,AC6=14)</f>
        <v>0</v>
      </c>
      <c r="AD49" s="514" t="b">
        <f t="shared" ca="1" si="8"/>
        <v>0</v>
      </c>
      <c r="AE49" s="510" t="b">
        <f ca="1">AND(AE7,OR(AE6=5,AE6=6,AE6=7,AE6=8,AE6=14))</f>
        <v>0</v>
      </c>
      <c r="AF49" s="510" t="b">
        <f t="shared" ca="1" si="9"/>
        <v>0</v>
      </c>
      <c r="AH49" s="516" t="b">
        <f ca="1">OR(AH6=5,AH6=6,AH6=7,AH6=8,AH6=14)</f>
        <v>0</v>
      </c>
      <c r="AI49" s="514" t="b">
        <f t="shared" ca="1" si="10"/>
        <v>0</v>
      </c>
      <c r="AJ49" s="510" t="b">
        <f ca="1">AND(AJ7,OR(AJ6=5,AJ6=6,AJ6=7,AJ6=8,AJ6=14))</f>
        <v>0</v>
      </c>
      <c r="AK49" s="510" t="b">
        <f t="shared" ca="1" si="11"/>
        <v>0</v>
      </c>
      <c r="AM49" s="516" t="b">
        <f ca="1">OR(AM6=5,AM6=6,AM6=7,AM6=8,AM6=14)</f>
        <v>0</v>
      </c>
      <c r="AN49" s="514" t="b">
        <f t="shared" ca="1" si="16"/>
        <v>0</v>
      </c>
      <c r="AO49" s="510" t="b">
        <f ca="1">AND(AO7,OR(AO6=5,AO6=6,AO6=7,AO6=8,AO6=14))</f>
        <v>0</v>
      </c>
      <c r="AP49" s="510" t="b">
        <f t="shared" ca="1" si="17"/>
        <v>0</v>
      </c>
      <c r="AR49" s="516" t="b">
        <f ca="1">OR(AR6=5,AR6=6,AR6=7,AR6=8,AR6=14)</f>
        <v>0</v>
      </c>
      <c r="AS49" s="514" t="b">
        <f t="shared" ca="1" si="18"/>
        <v>0</v>
      </c>
      <c r="AT49" s="510" t="b">
        <f ca="1">AND(AT7,OR(AT6=5,AT6=6,AT6=7,AT6=8,AT6=14))</f>
        <v>0</v>
      </c>
      <c r="AU49" s="510" t="b">
        <f t="shared" ca="1" si="19"/>
        <v>0</v>
      </c>
    </row>
    <row r="50" spans="2:47" ht="17.25" customHeight="1">
      <c r="C50" s="129" t="str">
        <f ca="1">Sprache!E385&amp;":"</f>
        <v>Erschliessung Elektro:</v>
      </c>
      <c r="D50" s="35" t="s">
        <v>175</v>
      </c>
      <c r="E50" s="35" t="s">
        <v>1220</v>
      </c>
      <c r="F50" s="330" t="s">
        <v>941</v>
      </c>
      <c r="G50" s="242" t="str">
        <f ca="1">IF(AD50,Variante_A!$M$58+Variante_A!$M$69+Variante_A!$M$79+Variante_A!$M$89,"")</f>
        <v/>
      </c>
      <c r="H50" s="330" t="s">
        <v>985</v>
      </c>
      <c r="I50" s="242" t="str">
        <f ca="1">IF(AF50,Variante_A!$X$58+Variante_A!$X$69+Variante_A!$X$79+Variante_A!$X$89,"")</f>
        <v/>
      </c>
      <c r="J50" s="244"/>
      <c r="K50" s="330" t="s">
        <v>941</v>
      </c>
      <c r="L50" s="242" t="str">
        <f ca="1">IF(AI50,Variante_B!$M$58+Variante_B!$M$69+Variante_B!$M$79+Variante_B!$M$89,"")</f>
        <v/>
      </c>
      <c r="M50" s="330" t="s">
        <v>985</v>
      </c>
      <c r="N50" s="242" t="str">
        <f ca="1">IF(AK50,Variante_B!$X$58+Variante_B!$X$69+Variante_B!$X$79+Variante_B!$X$89,"")</f>
        <v/>
      </c>
      <c r="O50" s="244"/>
      <c r="P50" s="330" t="s">
        <v>941</v>
      </c>
      <c r="Q50" s="242" t="str">
        <f ca="1">IF(AN50,Variante_C!$M$58+Variante_C!$M$69+Variante_C!$M$79+Variante_C!$M$89,"")</f>
        <v/>
      </c>
      <c r="R50" s="330" t="s">
        <v>985</v>
      </c>
      <c r="S50" s="242" t="str">
        <f ca="1">IF(AP50,Variante_C!$X$58+Variante_C!$X$69+Variante_C!$X$79+Variante_C!$X$89,"")</f>
        <v/>
      </c>
      <c r="T50" s="244"/>
      <c r="U50" s="330" t="s">
        <v>941</v>
      </c>
      <c r="V50" s="242" t="str">
        <f ca="1">IF(AS50,Variante_D!$M$58+Variante_D!$M$69+Variante_D!$M$79+Variante_D!$M$89,"")</f>
        <v/>
      </c>
      <c r="W50" s="330" t="s">
        <v>985</v>
      </c>
      <c r="X50" s="242" t="str">
        <f ca="1">IF(AU50,Variante_D!$X$58+Variante_D!$X$69+Variante_D!$X$79+Variante_D!$X$89,"")</f>
        <v/>
      </c>
      <c r="AA50" s="517"/>
      <c r="AC50" s="516" t="b">
        <f ca="1">OR(AC6=5,AC6=6,AC6=7,AC6=14)</f>
        <v>0</v>
      </c>
      <c r="AD50" s="514" t="b">
        <f t="shared" ca="1" si="8"/>
        <v>0</v>
      </c>
      <c r="AE50" s="510" t="b">
        <f ca="1">AND(AE7,OR(AE6=5,AE6=6,AE6=7,AE6=14))</f>
        <v>0</v>
      </c>
      <c r="AF50" s="510" t="b">
        <f t="shared" ca="1" si="9"/>
        <v>0</v>
      </c>
      <c r="AH50" s="516" t="b">
        <f ca="1">OR(AH6=5,AH6=6,AH6=7,AH6=14)</f>
        <v>0</v>
      </c>
      <c r="AI50" s="514" t="b">
        <f t="shared" ca="1" si="10"/>
        <v>0</v>
      </c>
      <c r="AJ50" s="510" t="b">
        <f ca="1">AND(AJ7,OR(AJ6=5,AJ6=6,AJ6=7,AJ6=14))</f>
        <v>0</v>
      </c>
      <c r="AK50" s="510" t="b">
        <f t="shared" ca="1" si="11"/>
        <v>0</v>
      </c>
      <c r="AM50" s="516" t="b">
        <f ca="1">OR(AM6=5,AM6=6,AM6=7,AM6=14)</f>
        <v>0</v>
      </c>
      <c r="AN50" s="514" t="b">
        <f t="shared" ca="1" si="16"/>
        <v>0</v>
      </c>
      <c r="AO50" s="510" t="b">
        <f ca="1">AND(AO7,OR(AO6=5,AO6=6,AO6=7,AO6=14))</f>
        <v>0</v>
      </c>
      <c r="AP50" s="510" t="b">
        <f t="shared" ca="1" si="17"/>
        <v>0</v>
      </c>
      <c r="AR50" s="516" t="b">
        <f ca="1">OR(AR6=5,AR6=6,AR6=7,AR6=14)</f>
        <v>0</v>
      </c>
      <c r="AS50" s="514" t="b">
        <f t="shared" ca="1" si="18"/>
        <v>0</v>
      </c>
      <c r="AT50" s="510" t="b">
        <f ca="1">AND(AT7,OR(AT6=5,AT6=6,AT6=7,AT6=14))</f>
        <v>0</v>
      </c>
      <c r="AU50" s="510" t="b">
        <f t="shared" ca="1" si="19"/>
        <v>0</v>
      </c>
    </row>
    <row r="51" spans="2:47" ht="17.25" customHeight="1">
      <c r="C51" s="129" t="str">
        <f ca="1">Sprache!E386&amp;":"</f>
        <v>Anschlussgebühren (Elektro):</v>
      </c>
      <c r="D51" s="35" t="s">
        <v>175</v>
      </c>
      <c r="E51" s="35" t="s">
        <v>1220</v>
      </c>
      <c r="F51" s="330" t="s">
        <v>941</v>
      </c>
      <c r="G51" s="242" t="str">
        <f ca="1">IF(AD51,Variante_A!$M$56+Variante_A!$M$67+Variante_A!$M$77+Variante_A!$M$87,"")</f>
        <v/>
      </c>
      <c r="H51" s="330" t="s">
        <v>985</v>
      </c>
      <c r="I51" s="242" t="str">
        <f ca="1">IF(AF51,Variante_A!$X$56+Variante_A!$X$67+Variante_A!$X$77+Variante_A!$X$87,"")</f>
        <v/>
      </c>
      <c r="J51" s="244"/>
      <c r="K51" s="330" t="s">
        <v>941</v>
      </c>
      <c r="L51" s="242" t="str">
        <f ca="1">IF(AI51,Variante_B!$M$56+Variante_B!$M$67+Variante_B!$M$77+Variante_B!$M$87,"")</f>
        <v/>
      </c>
      <c r="M51" s="330" t="s">
        <v>985</v>
      </c>
      <c r="N51" s="242" t="str">
        <f ca="1">IF(AK51,Variante_B!$X$56+Variante_B!$X$67+Variante_B!$X$77+Variante_B!$X$87,"")</f>
        <v/>
      </c>
      <c r="O51" s="244"/>
      <c r="P51" s="330" t="s">
        <v>941</v>
      </c>
      <c r="Q51" s="242" t="str">
        <f ca="1">IF(AN51,Variante_C!$M$56+Variante_C!$M$67+Variante_C!$M$77+Variante_C!$M$87,"")</f>
        <v/>
      </c>
      <c r="R51" s="330" t="s">
        <v>985</v>
      </c>
      <c r="S51" s="242" t="str">
        <f ca="1">IF(AP51,Variante_C!$X$56+Variante_C!$X$67+Variante_C!$X$77+Variante_C!$X$87,"")</f>
        <v/>
      </c>
      <c r="T51" s="244"/>
      <c r="U51" s="330" t="s">
        <v>941</v>
      </c>
      <c r="V51" s="242" t="str">
        <f ca="1">IF(AS51,Variante_D!$M$56+Variante_D!$M$67+Variante_D!$M$77+Variante_D!$M$87,"")</f>
        <v/>
      </c>
      <c r="W51" s="330" t="s">
        <v>985</v>
      </c>
      <c r="X51" s="242" t="str">
        <f ca="1">IF(AU51,Variante_D!$X$56+Variante_D!$X$67+Variante_D!$X$77+Variante_D!$X$87,"")</f>
        <v/>
      </c>
      <c r="AA51" s="517"/>
      <c r="AC51" s="516" t="b">
        <f ca="1">OR(AC6=5,AC6=6,AC6=7,AC6=14)</f>
        <v>0</v>
      </c>
      <c r="AD51" s="514" t="b">
        <f t="shared" ca="1" si="8"/>
        <v>0</v>
      </c>
      <c r="AE51" s="510" t="b">
        <f ca="1">AND(AE7,OR(AE6=5,AE6=6,AE6=7,AE6=14))</f>
        <v>0</v>
      </c>
      <c r="AF51" s="510" t="b">
        <f t="shared" ca="1" si="9"/>
        <v>0</v>
      </c>
      <c r="AH51" s="516" t="b">
        <f ca="1">OR(AH6=5,AH6=6,AH6=7,AH6=14)</f>
        <v>0</v>
      </c>
      <c r="AI51" s="514" t="b">
        <f t="shared" ca="1" si="10"/>
        <v>0</v>
      </c>
      <c r="AJ51" s="510" t="b">
        <f ca="1">AND(AJ7,OR(AJ6=5,AJ6=6,AJ6=7,AJ6=14))</f>
        <v>0</v>
      </c>
      <c r="AK51" s="510" t="b">
        <f t="shared" ca="1" si="11"/>
        <v>0</v>
      </c>
      <c r="AM51" s="516" t="b">
        <f ca="1">OR(AM6=5,AM6=6,AM6=7,AM6=14)</f>
        <v>0</v>
      </c>
      <c r="AN51" s="514" t="b">
        <f t="shared" ca="1" si="16"/>
        <v>0</v>
      </c>
      <c r="AO51" s="510" t="b">
        <f ca="1">AND(AO7,OR(AO6=5,AO6=6,AO6=7,AO6=14))</f>
        <v>0</v>
      </c>
      <c r="AP51" s="510" t="b">
        <f t="shared" ca="1" si="17"/>
        <v>0</v>
      </c>
      <c r="AR51" s="516" t="b">
        <f ca="1">OR(AR6=5,AR6=6,AR6=7,AR6=14)</f>
        <v>0</v>
      </c>
      <c r="AS51" s="514" t="b">
        <f t="shared" ca="1" si="18"/>
        <v>0</v>
      </c>
      <c r="AT51" s="510" t="b">
        <f ca="1">AND(AT7,OR(AT6=5,AT6=6,AT6=7,AT6=14))</f>
        <v>0</v>
      </c>
      <c r="AU51" s="510" t="b">
        <f t="shared" ca="1" si="19"/>
        <v>0</v>
      </c>
    </row>
    <row r="52" spans="2:47" ht="17.25" customHeight="1">
      <c r="C52" s="129" t="str">
        <f ca="1">Sprache!E456</f>
        <v>Lärmschutz</v>
      </c>
      <c r="D52" s="35" t="s">
        <v>175</v>
      </c>
      <c r="E52" s="35" t="s">
        <v>1230</v>
      </c>
      <c r="F52" s="330" t="s">
        <v>941</v>
      </c>
      <c r="G52" s="242" t="str">
        <f ca="1">IF(AD52,Variante_A!$M$106,"")</f>
        <v/>
      </c>
      <c r="H52" s="330" t="s">
        <v>985</v>
      </c>
      <c r="I52" s="242" t="str">
        <f ca="1">IF(AF52,Variante_A!$X$106,"")</f>
        <v/>
      </c>
      <c r="J52" s="246"/>
      <c r="K52" s="330" t="s">
        <v>941</v>
      </c>
      <c r="L52" s="242" t="str">
        <f ca="1">IF(AI52,Variante_B!$M$106,"")</f>
        <v/>
      </c>
      <c r="M52" s="330" t="s">
        <v>985</v>
      </c>
      <c r="N52" s="242" t="str">
        <f ca="1">IF(AK52,Variante_B!$X$106,"")</f>
        <v/>
      </c>
      <c r="O52" s="246"/>
      <c r="P52" s="330" t="s">
        <v>941</v>
      </c>
      <c r="Q52" s="242" t="str">
        <f ca="1">IF(AN52,Variante_C!$M$106,"")</f>
        <v/>
      </c>
      <c r="R52" s="330" t="s">
        <v>985</v>
      </c>
      <c r="S52" s="242" t="str">
        <f ca="1">IF(AP52,Variante_C!$X$106,"")</f>
        <v/>
      </c>
      <c r="T52" s="246"/>
      <c r="U52" s="330" t="s">
        <v>941</v>
      </c>
      <c r="V52" s="242" t="str">
        <f ca="1">IF(AS52,Variante_D!$M$106,"")</f>
        <v/>
      </c>
      <c r="W52" s="330" t="s">
        <v>985</v>
      </c>
      <c r="X52" s="242" t="str">
        <f ca="1">IF(AU52,Variante_D!$X$106,"")</f>
        <v/>
      </c>
      <c r="AA52" s="517"/>
      <c r="AC52" s="516" t="b">
        <f ca="1">AC6=8</f>
        <v>0</v>
      </c>
      <c r="AD52" s="516" t="b">
        <f ca="1">AC52</f>
        <v>0</v>
      </c>
      <c r="AE52" s="510" t="b">
        <f ca="1">AE6=8</f>
        <v>0</v>
      </c>
      <c r="AF52" s="510" t="b">
        <f ca="1">AE52</f>
        <v>0</v>
      </c>
      <c r="AH52" s="516" t="b">
        <f ca="1">AH6=8</f>
        <v>0</v>
      </c>
      <c r="AI52" s="516" t="b">
        <f ca="1">AH52</f>
        <v>0</v>
      </c>
      <c r="AJ52" s="510" t="b">
        <f ca="1">AJ6=8</f>
        <v>0</v>
      </c>
      <c r="AK52" s="510" t="b">
        <f ca="1">AJ52</f>
        <v>0</v>
      </c>
      <c r="AM52" s="516" t="b">
        <f ca="1">AM6=8</f>
        <v>0</v>
      </c>
      <c r="AN52" s="516" t="b">
        <f ca="1">AM52</f>
        <v>0</v>
      </c>
      <c r="AO52" s="510" t="b">
        <f ca="1">AO6=8</f>
        <v>0</v>
      </c>
      <c r="AP52" s="510" t="b">
        <f ca="1">AO52</f>
        <v>0</v>
      </c>
      <c r="AR52" s="516" t="b">
        <f ca="1">AR6=8</f>
        <v>0</v>
      </c>
      <c r="AS52" s="516" t="b">
        <f ca="1">AR52</f>
        <v>0</v>
      </c>
      <c r="AT52" s="510" t="b">
        <f ca="1">AT6=8</f>
        <v>0</v>
      </c>
      <c r="AU52" s="510" t="b">
        <f ca="1">AT52</f>
        <v>0</v>
      </c>
    </row>
    <row r="53" spans="2:47" ht="6.6" customHeight="1">
      <c r="C53" s="168"/>
      <c r="E53" s="35"/>
      <c r="F53" s="247"/>
      <c r="G53" s="299"/>
      <c r="H53" s="247"/>
      <c r="I53" s="299"/>
      <c r="J53" s="246"/>
      <c r="K53" s="247"/>
      <c r="L53" s="299"/>
      <c r="M53" s="247"/>
      <c r="N53" s="299"/>
      <c r="O53" s="246"/>
      <c r="P53" s="247"/>
      <c r="Q53" s="299"/>
      <c r="R53" s="247"/>
      <c r="S53" s="299"/>
      <c r="T53" s="246"/>
      <c r="U53" s="247"/>
      <c r="V53" s="299"/>
      <c r="W53" s="247"/>
      <c r="X53" s="299"/>
      <c r="AA53" s="517"/>
      <c r="AC53" s="518"/>
    </row>
    <row r="54" spans="2:47" ht="17.25" customHeight="1">
      <c r="C54" s="129" t="str">
        <f ca="1">Sprache!$E$344&amp;":"</f>
        <v>Unterhalt:</v>
      </c>
      <c r="D54" s="35" t="s">
        <v>225</v>
      </c>
      <c r="E54" s="35"/>
      <c r="F54" s="330" t="s">
        <v>941</v>
      </c>
      <c r="G54" s="242" t="str">
        <f ca="1">IF(AD54,SUM(Variante_A!$M$163:$M$207),"")</f>
        <v/>
      </c>
      <c r="H54" s="330" t="s">
        <v>985</v>
      </c>
      <c r="I54" s="242" t="str">
        <f ca="1">IF(AF54,SUM(Variante_A!$X$163:$X$207),"")</f>
        <v/>
      </c>
      <c r="J54" s="246"/>
      <c r="K54" s="330" t="s">
        <v>941</v>
      </c>
      <c r="L54" s="242" t="str">
        <f ca="1">IF(AI54,SUM(Variante_B!$M$163:$M$207),"")</f>
        <v/>
      </c>
      <c r="M54" s="330" t="s">
        <v>985</v>
      </c>
      <c r="N54" s="242" t="str">
        <f ca="1">IF(AK54,SUM(Variante_B!$X$163:$X$207),"")</f>
        <v/>
      </c>
      <c r="O54" s="246"/>
      <c r="P54" s="330" t="s">
        <v>941</v>
      </c>
      <c r="Q54" s="242" t="str">
        <f ca="1">IF(AN54,SUM(Variante_C!$M$163:$M$207),"")</f>
        <v/>
      </c>
      <c r="R54" s="330" t="s">
        <v>985</v>
      </c>
      <c r="S54" s="242" t="str">
        <f ca="1">IF(AP54,SUM(Variante_C!$X$163:$X$207),"")</f>
        <v/>
      </c>
      <c r="T54" s="246"/>
      <c r="U54" s="330" t="s">
        <v>941</v>
      </c>
      <c r="V54" s="242" t="str">
        <f ca="1">IF(AS54,SUM(Variante_D!$M$163:$M$207),"")</f>
        <v/>
      </c>
      <c r="W54" s="330" t="s">
        <v>985</v>
      </c>
      <c r="X54" s="242" t="str">
        <f ca="1">IF(AU54,SUM(Variante_D!$X$163:$X$207),"")</f>
        <v/>
      </c>
      <c r="AA54" s="517"/>
      <c r="AC54" s="519" t="b">
        <f ca="1">(AC6&lt;&gt;0)</f>
        <v>0</v>
      </c>
      <c r="AD54" s="520" t="b">
        <f ca="1">AC54</f>
        <v>0</v>
      </c>
      <c r="AE54" s="510" t="b">
        <f ca="1">(AE6&lt;&gt;0)</f>
        <v>0</v>
      </c>
      <c r="AF54" s="520" t="b">
        <f ca="1">AE54</f>
        <v>0</v>
      </c>
      <c r="AH54" s="519" t="b">
        <f ca="1">(AH6&lt;&gt;0)</f>
        <v>0</v>
      </c>
      <c r="AI54" s="520" t="b">
        <f ca="1">AH54</f>
        <v>0</v>
      </c>
      <c r="AJ54" s="510" t="b">
        <f ca="1">(AJ6&lt;&gt;0)</f>
        <v>0</v>
      </c>
      <c r="AK54" s="520" t="b">
        <f ca="1">AJ54</f>
        <v>0</v>
      </c>
      <c r="AM54" s="519" t="b">
        <f ca="1">(AM6&lt;&gt;0)</f>
        <v>0</v>
      </c>
      <c r="AN54" s="520" t="b">
        <f ca="1">AM54</f>
        <v>0</v>
      </c>
      <c r="AO54" s="510" t="b">
        <f ca="1">(AO6&lt;&gt;0)</f>
        <v>0</v>
      </c>
      <c r="AP54" s="520" t="b">
        <f ca="1">AO54</f>
        <v>0</v>
      </c>
      <c r="AR54" s="519" t="b">
        <f ca="1">(AR6&lt;&gt;0)</f>
        <v>0</v>
      </c>
      <c r="AS54" s="520" t="b">
        <f ca="1">AR54</f>
        <v>0</v>
      </c>
      <c r="AT54" s="510" t="b">
        <f ca="1">(AT6&lt;&gt;0)</f>
        <v>0</v>
      </c>
      <c r="AU54" s="520" t="b">
        <f ca="1">AT54</f>
        <v>0</v>
      </c>
    </row>
    <row r="55" spans="2:47" ht="17.25" customHeight="1">
      <c r="C55" s="7"/>
      <c r="E55" s="35"/>
      <c r="F55" s="151"/>
      <c r="G55" s="151"/>
      <c r="H55" s="151"/>
      <c r="I55" s="151"/>
      <c r="J55" s="151"/>
      <c r="K55" s="151"/>
      <c r="L55" s="151"/>
      <c r="M55" s="151"/>
      <c r="N55" s="151"/>
      <c r="O55" s="151"/>
      <c r="P55" s="151"/>
      <c r="Q55" s="151"/>
      <c r="R55" s="151"/>
      <c r="S55" s="151"/>
      <c r="T55" s="151"/>
      <c r="U55" s="151"/>
      <c r="V55" s="151"/>
      <c r="W55" s="151"/>
      <c r="X55" s="151"/>
      <c r="AA55" s="517"/>
      <c r="AC55" s="518"/>
    </row>
    <row r="56" spans="2:47" ht="17.25" customHeight="1">
      <c r="C56" s="324" t="str">
        <f ca="1">Sprache!E387&amp;":"</f>
        <v>Bauseitige Arbeiten:</v>
      </c>
      <c r="E56" s="35"/>
      <c r="F56" s="151"/>
      <c r="G56" s="151"/>
      <c r="H56" s="151"/>
      <c r="I56" s="151"/>
      <c r="J56" s="151"/>
      <c r="K56" s="151"/>
      <c r="L56" s="151"/>
      <c r="M56" s="151"/>
      <c r="N56" s="151"/>
      <c r="O56" s="151"/>
      <c r="P56" s="151"/>
      <c r="Q56" s="151"/>
      <c r="R56" s="151"/>
      <c r="S56" s="151"/>
      <c r="T56" s="151"/>
      <c r="U56" s="151"/>
      <c r="V56" s="151"/>
      <c r="W56" s="151"/>
      <c r="X56" s="151"/>
      <c r="AA56" s="517"/>
      <c r="AC56" s="518"/>
    </row>
    <row r="57" spans="2:47" ht="17.25" customHeight="1">
      <c r="C57" s="129" t="str">
        <f ca="1">Sprache!E388&amp;":"</f>
        <v>Grabarbeiten:</v>
      </c>
      <c r="D57" s="35" t="s">
        <v>175</v>
      </c>
      <c r="E57" s="35" t="s">
        <v>1229</v>
      </c>
      <c r="F57" s="330" t="s">
        <v>941</v>
      </c>
      <c r="G57" s="242" t="str">
        <f ca="1">IF(AD57,Variante_A!$M$128,"")</f>
        <v/>
      </c>
      <c r="H57" s="330" t="s">
        <v>985</v>
      </c>
      <c r="I57" s="243" t="str">
        <f ca="1">IF(AF57,Variante_A!$X$128,"")</f>
        <v/>
      </c>
      <c r="J57" s="244"/>
      <c r="K57" s="330" t="s">
        <v>941</v>
      </c>
      <c r="L57" s="242" t="str">
        <f ca="1">IF(AI57,Variante_B!$M$128,"")</f>
        <v/>
      </c>
      <c r="M57" s="330" t="s">
        <v>985</v>
      </c>
      <c r="N57" s="243" t="str">
        <f ca="1">IF(AK57,Variante_B!$X$128,"")</f>
        <v/>
      </c>
      <c r="O57" s="244"/>
      <c r="P57" s="330" t="s">
        <v>941</v>
      </c>
      <c r="Q57" s="242" t="str">
        <f ca="1">IF(AN57,Variante_C!$M$128,"")</f>
        <v/>
      </c>
      <c r="R57" s="330" t="s">
        <v>985</v>
      </c>
      <c r="S57" s="243" t="str">
        <f ca="1">IF(AP57,Variante_C!$X$128,"")</f>
        <v/>
      </c>
      <c r="T57" s="244"/>
      <c r="U57" s="330" t="s">
        <v>941</v>
      </c>
      <c r="V57" s="242" t="str">
        <f ca="1">IF(AS57,Variante_D!$M$128,"")</f>
        <v/>
      </c>
      <c r="W57" s="330" t="s">
        <v>985</v>
      </c>
      <c r="X57" s="242" t="str">
        <f ca="1">IF(AU57,Variante_D!$X$128,"")</f>
        <v/>
      </c>
      <c r="AC57" s="519" t="b">
        <f ca="1">OR(AC6=2,AC6=8,AC6=10,AC6=11,AC6=12,AC6=13)</f>
        <v>0</v>
      </c>
      <c r="AD57" s="520" t="b">
        <f ca="1">AC57</f>
        <v>0</v>
      </c>
      <c r="AE57" s="519" t="b">
        <f ca="1">OR(AE6=2,AE6=8,AE6=10,AE6=11,AE6=12,AE6=13)</f>
        <v>0</v>
      </c>
      <c r="AF57" s="520" t="b">
        <f ca="1">AE57</f>
        <v>0</v>
      </c>
      <c r="AH57" s="519" t="b">
        <f ca="1">OR(AH6=2,AH6=8,AH6=10,AH6=11,AH6=12,AH6=13)</f>
        <v>0</v>
      </c>
      <c r="AI57" s="520" t="b">
        <f ca="1">AH57</f>
        <v>0</v>
      </c>
      <c r="AJ57" s="519" t="b">
        <f ca="1">OR(AJ6=2,AJ6=8,AJ6=10,AJ6=11,AJ6=12,AJ6=13)</f>
        <v>0</v>
      </c>
      <c r="AK57" s="520" t="b">
        <f ca="1">AJ57</f>
        <v>0</v>
      </c>
      <c r="AM57" s="519" t="b">
        <f ca="1">OR(AM6=2,AM6=8,AM6=10,AM6=11,AM6=12,AM6=13)</f>
        <v>0</v>
      </c>
      <c r="AN57" s="520" t="b">
        <f ca="1">AM57</f>
        <v>0</v>
      </c>
      <c r="AO57" s="519" t="b">
        <f ca="1">OR(AO6=2,AO6=8,AO6=10,AO6=11,AO6=12,AO6=13)</f>
        <v>0</v>
      </c>
      <c r="AP57" s="520" t="b">
        <f ca="1">AO57</f>
        <v>0</v>
      </c>
      <c r="AR57" s="519" t="b">
        <f ca="1">OR(AR6=2,AR6=8,AR6=10,AR6=11,AR6=12,AR6=13)</f>
        <v>0</v>
      </c>
      <c r="AS57" s="520" t="b">
        <f ca="1">AR57</f>
        <v>0</v>
      </c>
      <c r="AT57" s="519" t="b">
        <f ca="1">OR(AT6=2,AT6=8,AT6=10,AT6=11,AT6=12,AT6=13)</f>
        <v>0</v>
      </c>
      <c r="AU57" s="520" t="b">
        <f ca="1">AT57</f>
        <v>0</v>
      </c>
    </row>
    <row r="58" spans="2:47" ht="17.25" customHeight="1">
      <c r="C58" s="129" t="str">
        <f ca="1">Sprache!E389&amp;":"</f>
        <v>Erstellung Lagerraum:</v>
      </c>
      <c r="D58" s="35" t="s">
        <v>175</v>
      </c>
      <c r="E58" s="35" t="s">
        <v>1230</v>
      </c>
      <c r="F58" s="330" t="s">
        <v>941</v>
      </c>
      <c r="G58" s="242" t="str">
        <f ca="1">IF(AD58,Variante_A!$M$129,"")</f>
        <v/>
      </c>
      <c r="H58" s="330" t="s">
        <v>985</v>
      </c>
      <c r="I58" s="243" t="str">
        <f ca="1">IF(AF58,Variante_A!$X$129,"")</f>
        <v/>
      </c>
      <c r="J58" s="244"/>
      <c r="K58" s="330" t="s">
        <v>941</v>
      </c>
      <c r="L58" s="242" t="str">
        <f ca="1">IF(AI58,Variante_B!$M$129,"")</f>
        <v/>
      </c>
      <c r="M58" s="330" t="s">
        <v>985</v>
      </c>
      <c r="N58" s="243" t="str">
        <f ca="1">IF(AK58,Variante_B!$X$129,"")</f>
        <v/>
      </c>
      <c r="O58" s="244"/>
      <c r="P58" s="330" t="s">
        <v>941</v>
      </c>
      <c r="Q58" s="242" t="str">
        <f ca="1">IF(AN58,Variante_C!$M$129,"")</f>
        <v/>
      </c>
      <c r="R58" s="330" t="s">
        <v>985</v>
      </c>
      <c r="S58" s="243" t="str">
        <f ca="1">IF(AP58,Variante_C!$X$129,"")</f>
        <v/>
      </c>
      <c r="T58" s="244"/>
      <c r="U58" s="330" t="s">
        <v>941</v>
      </c>
      <c r="V58" s="242" t="str">
        <f ca="1">IF(AS58,Variante_D!$M$129,"")</f>
        <v/>
      </c>
      <c r="W58" s="330" t="s">
        <v>985</v>
      </c>
      <c r="X58" s="242" t="str">
        <f ca="1">IF(AU58,Variante_D!$X$129,"")</f>
        <v/>
      </c>
      <c r="AC58" s="519" t="b">
        <f ca="1">OR(AC6=1,AC6=3,AC6=4)</f>
        <v>0</v>
      </c>
      <c r="AD58" s="520" t="b">
        <f ca="1">AC58</f>
        <v>0</v>
      </c>
      <c r="AE58" s="519" t="b">
        <f ca="1">OR(AE6=1,AE6=3,AE6=4)</f>
        <v>0</v>
      </c>
      <c r="AF58" s="520" t="b">
        <f ca="1">AE58</f>
        <v>0</v>
      </c>
      <c r="AH58" s="519" t="b">
        <f ca="1">OR(AH6=1,AH6=3,AH6=4)</f>
        <v>0</v>
      </c>
      <c r="AI58" s="520" t="b">
        <f ca="1">AH58</f>
        <v>0</v>
      </c>
      <c r="AJ58" s="519" t="b">
        <f ca="1">OR(AJ6=1,AJ6=3,AJ6=4)</f>
        <v>0</v>
      </c>
      <c r="AK58" s="520" t="b">
        <f ca="1">AJ58</f>
        <v>0</v>
      </c>
      <c r="AM58" s="519" t="b">
        <f ca="1">OR(AM6=1,AM6=3,AM6=4)</f>
        <v>0</v>
      </c>
      <c r="AN58" s="520" t="b">
        <f ca="1">AM58</f>
        <v>0</v>
      </c>
      <c r="AO58" s="519" t="b">
        <f ca="1">OR(AO6=1,AO6=3,AO6=4)</f>
        <v>0</v>
      </c>
      <c r="AP58" s="520" t="b">
        <f ca="1">AO58</f>
        <v>0</v>
      </c>
      <c r="AR58" s="519" t="b">
        <f ca="1">OR(AR6=1,AR6=3,AR6=4)</f>
        <v>0</v>
      </c>
      <c r="AS58" s="520" t="b">
        <f ca="1">AR58</f>
        <v>0</v>
      </c>
      <c r="AT58" s="519" t="b">
        <f ca="1">OR(AT6=1,AT6=3,AT6=4)</f>
        <v>0</v>
      </c>
      <c r="AU58" s="520" t="b">
        <f ca="1">AT58</f>
        <v>0</v>
      </c>
    </row>
    <row r="59" spans="2:47" ht="17.25" customHeight="1">
      <c r="C59" s="129" t="str">
        <f ca="1">Sprache!E390&amp;":"</f>
        <v>Wanddurchbrüche, Kernbohrungen:</v>
      </c>
      <c r="D59" s="35" t="s">
        <v>175</v>
      </c>
      <c r="E59" s="35" t="s">
        <v>1230</v>
      </c>
      <c r="F59" s="330" t="s">
        <v>941</v>
      </c>
      <c r="G59" s="242" t="str">
        <f ca="1">IF(AD59,Variante_A!$M$130,"")</f>
        <v/>
      </c>
      <c r="H59" s="330" t="s">
        <v>985</v>
      </c>
      <c r="I59" s="243" t="str">
        <f ca="1">IF(AF59,Variante_A!$X$130,"")</f>
        <v/>
      </c>
      <c r="J59" s="244"/>
      <c r="K59" s="330" t="s">
        <v>941</v>
      </c>
      <c r="L59" s="242" t="str">
        <f ca="1">IF(AI59,Variante_B!$M$130,"")</f>
        <v/>
      </c>
      <c r="M59" s="330" t="s">
        <v>985</v>
      </c>
      <c r="N59" s="243" t="str">
        <f ca="1">IF(AK59,Variante_B!$X$130,"")</f>
        <v/>
      </c>
      <c r="O59" s="244"/>
      <c r="P59" s="330" t="s">
        <v>941</v>
      </c>
      <c r="Q59" s="242" t="str">
        <f ca="1">IF(AN59,Variante_C!$M$130,"")</f>
        <v/>
      </c>
      <c r="R59" s="330" t="s">
        <v>985</v>
      </c>
      <c r="S59" s="243" t="str">
        <f ca="1">IF(AP59,Variante_C!$X$130,"")</f>
        <v/>
      </c>
      <c r="T59" s="244"/>
      <c r="U59" s="330" t="s">
        <v>941</v>
      </c>
      <c r="V59" s="242" t="str">
        <f ca="1">IF(AS59,Variante_D!$M$130,"")</f>
        <v/>
      </c>
      <c r="W59" s="330" t="s">
        <v>985</v>
      </c>
      <c r="X59" s="242" t="str">
        <f ca="1">IF(AU59,Variante_D!$X$130,"")</f>
        <v/>
      </c>
      <c r="AC59" s="519" t="b">
        <f ca="1">(AC6=5)</f>
        <v>0</v>
      </c>
      <c r="AD59" s="520" t="b">
        <f t="shared" ref="AD59:AF63" ca="1" si="20">AC59</f>
        <v>0</v>
      </c>
      <c r="AE59" s="519" t="b">
        <f ca="1">(AE6=5)</f>
        <v>0</v>
      </c>
      <c r="AF59" s="520" t="b">
        <f t="shared" ca="1" si="20"/>
        <v>0</v>
      </c>
      <c r="AH59" s="519" t="b">
        <f ca="1">(AH6=5)</f>
        <v>0</v>
      </c>
      <c r="AI59" s="520" t="b">
        <f t="shared" ref="AI59" ca="1" si="21">AH59</f>
        <v>0</v>
      </c>
      <c r="AJ59" s="519" t="b">
        <f ca="1">(AJ6=5)</f>
        <v>0</v>
      </c>
      <c r="AK59" s="520" t="b">
        <f t="shared" ref="AK59" ca="1" si="22">AJ59</f>
        <v>0</v>
      </c>
      <c r="AM59" s="519" t="b">
        <f ca="1">(AM6=5)</f>
        <v>0</v>
      </c>
      <c r="AN59" s="520" t="b">
        <f t="shared" ref="AN59:AN63" ca="1" si="23">AM59</f>
        <v>0</v>
      </c>
      <c r="AO59" s="519" t="b">
        <f ca="1">(AO6=5)</f>
        <v>0</v>
      </c>
      <c r="AP59" s="520" t="b">
        <f t="shared" ref="AP59:AP63" ca="1" si="24">AO59</f>
        <v>0</v>
      </c>
      <c r="AR59" s="519" t="b">
        <f ca="1">(AR6=5)</f>
        <v>0</v>
      </c>
      <c r="AS59" s="520" t="b">
        <f t="shared" ref="AS59:AS63" ca="1" si="25">AR59</f>
        <v>0</v>
      </c>
      <c r="AT59" s="519" t="b">
        <f ca="1">(AT6=5)</f>
        <v>0</v>
      </c>
      <c r="AU59" s="520" t="b">
        <f t="shared" ref="AU59:AU63" ca="1" si="26">AT59</f>
        <v>0</v>
      </c>
    </row>
    <row r="60" spans="2:47" ht="17.25" customHeight="1">
      <c r="C60" s="129" t="str">
        <f ca="1">Sprache!E391&amp;":"</f>
        <v>Fundament, Sickergrube, Grabarbeiten:</v>
      </c>
      <c r="D60" s="35" t="s">
        <v>175</v>
      </c>
      <c r="E60" s="35" t="s">
        <v>1230</v>
      </c>
      <c r="F60" s="330" t="s">
        <v>349</v>
      </c>
      <c r="G60" s="242" t="str">
        <f ca="1">IF(AD60,Variante_A!$M$131,"")</f>
        <v/>
      </c>
      <c r="H60" s="330" t="s">
        <v>349</v>
      </c>
      <c r="I60" s="243" t="str">
        <f ca="1">IF(AF60,Variante_A!$X$131,"")</f>
        <v/>
      </c>
      <c r="J60" s="244"/>
      <c r="K60" s="330" t="s">
        <v>349</v>
      </c>
      <c r="L60" s="242" t="str">
        <f ca="1">IF(AI60,Variante_B!$M$131,"")</f>
        <v/>
      </c>
      <c r="M60" s="330" t="s">
        <v>349</v>
      </c>
      <c r="N60" s="243" t="str">
        <f ca="1">IF(AK60,Variante_B!$X$131,"")</f>
        <v/>
      </c>
      <c r="O60" s="244"/>
      <c r="P60" s="330" t="s">
        <v>349</v>
      </c>
      <c r="Q60" s="242" t="str">
        <f ca="1">IF(AN60,Variante_C!$M$131,"")</f>
        <v/>
      </c>
      <c r="R60" s="330" t="s">
        <v>349</v>
      </c>
      <c r="S60" s="243" t="str">
        <f ca="1">IF(AP60,Variante_C!$X$131,"")</f>
        <v/>
      </c>
      <c r="T60" s="244"/>
      <c r="U60" s="330" t="s">
        <v>349</v>
      </c>
      <c r="V60" s="242" t="str">
        <f ca="1">IF(AS60,Variante_D!$M$131,"")</f>
        <v/>
      </c>
      <c r="W60" s="330" t="s">
        <v>349</v>
      </c>
      <c r="X60" s="242" t="str">
        <f ca="1">IF(AU60,Variante_D!$X$131,"")</f>
        <v/>
      </c>
      <c r="AC60" s="519" t="b">
        <f ca="1">(AC6=5)</f>
        <v>0</v>
      </c>
      <c r="AD60" s="520" t="b">
        <f t="shared" ca="1" si="20"/>
        <v>0</v>
      </c>
      <c r="AE60" s="519" t="b">
        <f ca="1">(AE6=5)</f>
        <v>0</v>
      </c>
      <c r="AF60" s="520" t="b">
        <f t="shared" ca="1" si="20"/>
        <v>0</v>
      </c>
      <c r="AH60" s="519" t="b">
        <f ca="1">(AH6=5)</f>
        <v>0</v>
      </c>
      <c r="AI60" s="520" t="b">
        <f t="shared" ref="AI60" ca="1" si="27">AH60</f>
        <v>0</v>
      </c>
      <c r="AJ60" s="519" t="b">
        <f ca="1">(AJ6=5)</f>
        <v>0</v>
      </c>
      <c r="AK60" s="520" t="b">
        <f t="shared" ref="AK60" ca="1" si="28">AJ60</f>
        <v>0</v>
      </c>
      <c r="AM60" s="519" t="b">
        <f ca="1">(AM6=5)</f>
        <v>0</v>
      </c>
      <c r="AN60" s="520" t="b">
        <f t="shared" ca="1" si="23"/>
        <v>0</v>
      </c>
      <c r="AO60" s="519" t="b">
        <f ca="1">(AO6=5)</f>
        <v>0</v>
      </c>
      <c r="AP60" s="520" t="b">
        <f t="shared" ca="1" si="24"/>
        <v>0</v>
      </c>
      <c r="AR60" s="519" t="b">
        <f ca="1">(AR6=5)</f>
        <v>0</v>
      </c>
      <c r="AS60" s="520" t="b">
        <f t="shared" ca="1" si="25"/>
        <v>0</v>
      </c>
      <c r="AT60" s="519" t="b">
        <f ca="1">(AT6=5)</f>
        <v>0</v>
      </c>
      <c r="AU60" s="520" t="b">
        <f t="shared" ca="1" si="26"/>
        <v>0</v>
      </c>
    </row>
    <row r="61" spans="2:47" ht="17.25" customHeight="1">
      <c r="C61" s="129" t="str">
        <f ca="1">Sprache!E392&amp;":"</f>
        <v>Statische Massnahmen:</v>
      </c>
      <c r="D61" s="35" t="s">
        <v>175</v>
      </c>
      <c r="E61" s="35" t="s">
        <v>1231</v>
      </c>
      <c r="F61" s="330" t="s">
        <v>349</v>
      </c>
      <c r="G61" s="242" t="str">
        <f ca="1">IF(AD61,Variante_A!$M$132,"")</f>
        <v/>
      </c>
      <c r="H61" s="330" t="s">
        <v>349</v>
      </c>
      <c r="I61" s="243" t="str">
        <f ca="1">IF(AF61,Variante_A!$X$132,"")</f>
        <v/>
      </c>
      <c r="J61" s="244"/>
      <c r="K61" s="330" t="s">
        <v>349</v>
      </c>
      <c r="L61" s="242" t="str">
        <f ca="1">IF(AI61,Variante_B!$M$132,"")</f>
        <v/>
      </c>
      <c r="M61" s="330" t="s">
        <v>349</v>
      </c>
      <c r="N61" s="243" t="str">
        <f ca="1">IF(AK61,Variante_B!$X$132,"")</f>
        <v/>
      </c>
      <c r="O61" s="244"/>
      <c r="P61" s="330" t="s">
        <v>349</v>
      </c>
      <c r="Q61" s="242" t="str">
        <f ca="1">IF(AN61,Variante_C!$M$132,"")</f>
        <v/>
      </c>
      <c r="R61" s="330" t="s">
        <v>349</v>
      </c>
      <c r="S61" s="243" t="str">
        <f ca="1">IF(AP61,Variante_C!$X$132,"")</f>
        <v/>
      </c>
      <c r="T61" s="244"/>
      <c r="U61" s="330" t="s">
        <v>349</v>
      </c>
      <c r="V61" s="242" t="str">
        <f ca="1">IF(AS61,Variante_D!$M$132,"")</f>
        <v/>
      </c>
      <c r="W61" s="330" t="s">
        <v>349</v>
      </c>
      <c r="X61" s="242" t="str">
        <f ca="1">IF(AU61,Variante_D!$X$132,"")</f>
        <v/>
      </c>
      <c r="AC61" s="519" t="b">
        <f ca="1">(AC6=5)</f>
        <v>0</v>
      </c>
      <c r="AD61" s="520" t="b">
        <f t="shared" ca="1" si="20"/>
        <v>0</v>
      </c>
      <c r="AE61" s="519" t="b">
        <f ca="1">(AE6=5)</f>
        <v>0</v>
      </c>
      <c r="AF61" s="520" t="b">
        <f t="shared" ca="1" si="20"/>
        <v>0</v>
      </c>
      <c r="AH61" s="519" t="b">
        <f ca="1">(AH6=5)</f>
        <v>0</v>
      </c>
      <c r="AI61" s="520" t="b">
        <f t="shared" ref="AI61" ca="1" si="29">AH61</f>
        <v>0</v>
      </c>
      <c r="AJ61" s="519" t="b">
        <f ca="1">(AJ6=5)</f>
        <v>0</v>
      </c>
      <c r="AK61" s="520" t="b">
        <f t="shared" ref="AK61" ca="1" si="30">AJ61</f>
        <v>0</v>
      </c>
      <c r="AM61" s="519" t="b">
        <f ca="1">(AM6=5)</f>
        <v>0</v>
      </c>
      <c r="AN61" s="520" t="b">
        <f t="shared" ca="1" si="23"/>
        <v>0</v>
      </c>
      <c r="AO61" s="519" t="b">
        <f ca="1">(AO6=5)</f>
        <v>0</v>
      </c>
      <c r="AP61" s="520" t="b">
        <f t="shared" ca="1" si="24"/>
        <v>0</v>
      </c>
      <c r="AR61" s="519" t="b">
        <f ca="1">(AR6=5)</f>
        <v>0</v>
      </c>
      <c r="AS61" s="520" t="b">
        <f t="shared" ca="1" si="25"/>
        <v>0</v>
      </c>
      <c r="AT61" s="519" t="b">
        <f ca="1">(AT6=5)</f>
        <v>0</v>
      </c>
      <c r="AU61" s="520" t="b">
        <f t="shared" ca="1" si="26"/>
        <v>0</v>
      </c>
    </row>
    <row r="62" spans="2:47" ht="17.25" customHeight="1">
      <c r="C62" s="129" t="str">
        <f ca="1">Sprache!E393&amp;":"</f>
        <v>Lärmschutzhauben, Lärmschutzwände:</v>
      </c>
      <c r="D62" s="35" t="s">
        <v>175</v>
      </c>
      <c r="E62" s="35" t="s">
        <v>1230</v>
      </c>
      <c r="F62" s="330" t="s">
        <v>349</v>
      </c>
      <c r="G62" s="242" t="str">
        <f ca="1">IF(AD62,Variante_A!$M$133,"")</f>
        <v/>
      </c>
      <c r="H62" s="330" t="s">
        <v>349</v>
      </c>
      <c r="I62" s="243" t="str">
        <f ca="1">IF(AF62,Variante_A!$X$133,"")</f>
        <v/>
      </c>
      <c r="J62" s="244"/>
      <c r="K62" s="330" t="s">
        <v>349</v>
      </c>
      <c r="L62" s="242" t="str">
        <f ca="1">IF(AI62,Variante_B!$M$133,"")</f>
        <v/>
      </c>
      <c r="M62" s="330" t="s">
        <v>349</v>
      </c>
      <c r="N62" s="243" t="str">
        <f ca="1">IF(AK62,Variante_B!$X$133,"")</f>
        <v/>
      </c>
      <c r="O62" s="244"/>
      <c r="P62" s="330" t="s">
        <v>349</v>
      </c>
      <c r="Q62" s="242" t="str">
        <f ca="1">IF(AN62,Variante_C!$M$133,"")</f>
        <v/>
      </c>
      <c r="R62" s="330" t="s">
        <v>349</v>
      </c>
      <c r="S62" s="243" t="str">
        <f ca="1">IF(AP62,Variante_C!$X$133,"")</f>
        <v/>
      </c>
      <c r="T62" s="244"/>
      <c r="U62" s="330" t="s">
        <v>349</v>
      </c>
      <c r="V62" s="242" t="str">
        <f ca="1">IF(AS62,Variante_D!$M$133,"")</f>
        <v/>
      </c>
      <c r="W62" s="330" t="s">
        <v>349</v>
      </c>
      <c r="X62" s="242" t="str">
        <f ca="1">IF(AU62,Variante_D!$X$133,"")</f>
        <v/>
      </c>
      <c r="AC62" s="519" t="b">
        <f ca="1">(AC6=5)</f>
        <v>0</v>
      </c>
      <c r="AD62" s="520" t="b">
        <f t="shared" ca="1" si="20"/>
        <v>0</v>
      </c>
      <c r="AE62" s="519" t="b">
        <f ca="1">(AE6=5)</f>
        <v>0</v>
      </c>
      <c r="AF62" s="520" t="b">
        <f t="shared" ca="1" si="20"/>
        <v>0</v>
      </c>
      <c r="AH62" s="519" t="b">
        <f ca="1">(AH6=5)</f>
        <v>0</v>
      </c>
      <c r="AI62" s="520" t="b">
        <f t="shared" ref="AI62:AI63" ca="1" si="31">AH62</f>
        <v>0</v>
      </c>
      <c r="AJ62" s="519" t="b">
        <f ca="1">(AJ6=5)</f>
        <v>0</v>
      </c>
      <c r="AK62" s="520" t="b">
        <f t="shared" ref="AK62:AK63" ca="1" si="32">AJ62</f>
        <v>0</v>
      </c>
      <c r="AM62" s="519" t="b">
        <f ca="1">(AM6=5)</f>
        <v>0</v>
      </c>
      <c r="AN62" s="520" t="b">
        <f t="shared" ca="1" si="23"/>
        <v>0</v>
      </c>
      <c r="AO62" s="519" t="b">
        <f ca="1">(AO6=5)</f>
        <v>0</v>
      </c>
      <c r="AP62" s="520" t="b">
        <f t="shared" ca="1" si="24"/>
        <v>0</v>
      </c>
      <c r="AR62" s="519" t="b">
        <f ca="1">(AR6=5)</f>
        <v>0</v>
      </c>
      <c r="AS62" s="520" t="b">
        <f t="shared" ca="1" si="25"/>
        <v>0</v>
      </c>
      <c r="AT62" s="519" t="b">
        <f ca="1">(AT6=5)</f>
        <v>0</v>
      </c>
      <c r="AU62" s="520" t="b">
        <f t="shared" ca="1" si="26"/>
        <v>0</v>
      </c>
    </row>
    <row r="63" spans="2:47" ht="17.25" customHeight="1">
      <c r="C63" s="129" t="str">
        <f ca="1">Sprache!E394&amp;":"</f>
        <v>Wiederherstellung Umgebung:</v>
      </c>
      <c r="D63" s="35" t="s">
        <v>175</v>
      </c>
      <c r="E63" s="35" t="s">
        <v>1229</v>
      </c>
      <c r="F63" s="330" t="s">
        <v>941</v>
      </c>
      <c r="G63" s="242" t="str">
        <f ca="1">IF(AD63,Variante_A!$M$134,"")</f>
        <v/>
      </c>
      <c r="H63" s="330" t="s">
        <v>985</v>
      </c>
      <c r="I63" s="243" t="str">
        <f ca="1">IF(AF63,Variante_A!$X$134,"")</f>
        <v/>
      </c>
      <c r="J63" s="244"/>
      <c r="K63" s="330" t="s">
        <v>941</v>
      </c>
      <c r="L63" s="242" t="str">
        <f ca="1">IF(AI63,Variante_B!$M$134,"")</f>
        <v/>
      </c>
      <c r="M63" s="330" t="s">
        <v>985</v>
      </c>
      <c r="N63" s="243" t="str">
        <f ca="1">IF(AK63,Variante_B!$X$134,"")</f>
        <v/>
      </c>
      <c r="O63" s="244"/>
      <c r="P63" s="330" t="s">
        <v>941</v>
      </c>
      <c r="Q63" s="242" t="str">
        <f ca="1">IF(AN63,Variante_C!$M$134,"")</f>
        <v/>
      </c>
      <c r="R63" s="330" t="s">
        <v>985</v>
      </c>
      <c r="S63" s="243" t="str">
        <f ca="1">IF(AP63,Variante_C!$X$134,"")</f>
        <v/>
      </c>
      <c r="T63" s="244"/>
      <c r="U63" s="330" t="s">
        <v>941</v>
      </c>
      <c r="V63" s="242" t="str">
        <f ca="1">IF(AS63,Variante_D!$M$134,"")</f>
        <v/>
      </c>
      <c r="W63" s="330" t="s">
        <v>985</v>
      </c>
      <c r="X63" s="242" t="str">
        <f ca="1">IF(AU63,Variante_D!$X$134,"")</f>
        <v/>
      </c>
      <c r="AC63" s="519" t="b">
        <f ca="1">OR(AC6=6,AC6=7,AC6=14)</f>
        <v>0</v>
      </c>
      <c r="AD63" s="520" t="b">
        <f t="shared" ca="1" si="20"/>
        <v>0</v>
      </c>
      <c r="AE63" s="519" t="b">
        <f ca="1">OR(AE6=6,AE6=7=AE6=14)</f>
        <v>0</v>
      </c>
      <c r="AF63" s="520" t="b">
        <f t="shared" ca="1" si="20"/>
        <v>0</v>
      </c>
      <c r="AH63" s="519" t="b">
        <f ca="1">OR(AH6=6,AH6=7,AH6=14)</f>
        <v>0</v>
      </c>
      <c r="AI63" s="520" t="b">
        <f t="shared" ca="1" si="31"/>
        <v>0</v>
      </c>
      <c r="AJ63" s="519" t="b">
        <f ca="1">OR(AJ6=6,AJ6=7=AJ6=14)</f>
        <v>0</v>
      </c>
      <c r="AK63" s="520" t="b">
        <f t="shared" ca="1" si="32"/>
        <v>0</v>
      </c>
      <c r="AM63" s="519" t="b">
        <f ca="1">OR(AM6=6,AM6=7,AM6=14)</f>
        <v>0</v>
      </c>
      <c r="AN63" s="520" t="b">
        <f t="shared" ca="1" si="23"/>
        <v>0</v>
      </c>
      <c r="AO63" s="519" t="b">
        <f ca="1">OR(AO6=6,AO6=7=AO6=14)</f>
        <v>0</v>
      </c>
      <c r="AP63" s="520" t="b">
        <f t="shared" ca="1" si="24"/>
        <v>0</v>
      </c>
      <c r="AR63" s="519" t="b">
        <f ca="1">OR(AR6=6,AR6=7,AR6=14)</f>
        <v>0</v>
      </c>
      <c r="AS63" s="520" t="b">
        <f t="shared" ca="1" si="25"/>
        <v>0</v>
      </c>
      <c r="AT63" s="519" t="b">
        <f ca="1">OR(AT6=6,AT6=7=AT6=14)</f>
        <v>0</v>
      </c>
      <c r="AU63" s="520" t="b">
        <f t="shared" ca="1" si="26"/>
        <v>0</v>
      </c>
    </row>
    <row r="64" spans="2:47" ht="15.6" customHeight="1">
      <c r="B64" s="8"/>
      <c r="O64" s="153"/>
      <c r="T64" s="153"/>
    </row>
    <row r="65" spans="2:47" ht="15.6" customHeight="1">
      <c r="C65" s="129" t="str">
        <f ca="1">Sprache!$E$264&amp;":"</f>
        <v>Subventionen:</v>
      </c>
      <c r="D65" s="35" t="s">
        <v>175</v>
      </c>
      <c r="F65" s="588"/>
      <c r="G65" s="590"/>
      <c r="H65" s="588"/>
      <c r="I65" s="590"/>
      <c r="J65" s="249"/>
      <c r="K65" s="588"/>
      <c r="L65" s="590"/>
      <c r="M65" s="588"/>
      <c r="N65" s="590"/>
      <c r="O65" s="244"/>
      <c r="P65" s="588"/>
      <c r="Q65" s="590"/>
      <c r="R65" s="588"/>
      <c r="S65" s="590"/>
      <c r="T65" s="244"/>
      <c r="U65" s="588"/>
      <c r="V65" s="590"/>
      <c r="W65" s="588"/>
      <c r="X65" s="590"/>
      <c r="AC65" s="510" t="b">
        <f ca="1">(AC6&lt;&gt;0)</f>
        <v>0</v>
      </c>
      <c r="AD65" s="510" t="b">
        <f ca="1">AC65</f>
        <v>0</v>
      </c>
      <c r="AE65" s="510" t="b">
        <f ca="1">(AE6&lt;&gt;0)</f>
        <v>0</v>
      </c>
      <c r="AF65" s="510" t="b">
        <f ca="1">AE65</f>
        <v>0</v>
      </c>
      <c r="AH65" s="510" t="b">
        <f ca="1">(AH6&lt;&gt;0)</f>
        <v>0</v>
      </c>
      <c r="AI65" s="510" t="b">
        <f ca="1">AH65</f>
        <v>0</v>
      </c>
      <c r="AJ65" s="510" t="b">
        <f ca="1">(AJ6&lt;&gt;0)</f>
        <v>0</v>
      </c>
      <c r="AK65" s="510" t="b">
        <f ca="1">AJ65</f>
        <v>0</v>
      </c>
      <c r="AM65" s="510" t="b">
        <f ca="1">(AM6&lt;&gt;0)</f>
        <v>0</v>
      </c>
      <c r="AN65" s="510" t="b">
        <f ca="1">AM65</f>
        <v>0</v>
      </c>
      <c r="AO65" s="510" t="b">
        <f ca="1">(AO6&lt;&gt;0)</f>
        <v>0</v>
      </c>
      <c r="AP65" s="510" t="b">
        <f ca="1">AO65</f>
        <v>0</v>
      </c>
      <c r="AR65" s="510" t="b">
        <f ca="1">(AR6&lt;&gt;0)</f>
        <v>0</v>
      </c>
      <c r="AS65" s="510" t="b">
        <f ca="1">AR65</f>
        <v>0</v>
      </c>
      <c r="AT65" s="510" t="b">
        <f ca="1">(AT6&lt;&gt;0)</f>
        <v>0</v>
      </c>
      <c r="AU65" s="510" t="b">
        <f ca="1">AT65</f>
        <v>0</v>
      </c>
    </row>
    <row r="66" spans="2:47" ht="15.6" customHeight="1"/>
    <row r="67" spans="2:47" ht="15.6" customHeight="1">
      <c r="C67" s="1" t="str">
        <f ca="1">Sprache!E266</f>
        <v>Die Art und Höhe der Subvention ist von Kanton zu Kanton unterschiedlich. Informationen sind zu finden unter z. B. www.energiefranken.ch.</v>
      </c>
    </row>
    <row r="68" spans="2:47" ht="6.95" customHeight="1"/>
    <row r="69" spans="2:47" ht="6.95" customHeight="1">
      <c r="B69" s="63"/>
      <c r="C69" s="63"/>
      <c r="D69" s="286"/>
      <c r="E69" s="63"/>
      <c r="F69" s="63"/>
      <c r="G69" s="94"/>
      <c r="H69" s="63"/>
      <c r="I69" s="63"/>
      <c r="J69" s="63"/>
      <c r="K69" s="63"/>
      <c r="L69" s="63"/>
      <c r="M69" s="63"/>
      <c r="N69" s="63"/>
      <c r="O69" s="63"/>
      <c r="P69" s="63"/>
      <c r="Q69" s="63"/>
      <c r="R69" s="63"/>
      <c r="S69" s="63"/>
      <c r="T69" s="63"/>
      <c r="U69" s="63"/>
      <c r="V69" s="63"/>
      <c r="W69" s="63"/>
      <c r="X69" s="63"/>
    </row>
    <row r="70" spans="2:47" ht="18">
      <c r="B70" s="121" t="s">
        <v>1174</v>
      </c>
    </row>
    <row r="71" spans="2:47" ht="15.6" customHeight="1">
      <c r="C71" s="129" t="str">
        <f ca="1">Sprache!E358&amp;":"</f>
        <v>Demontage bestehende Heizanlage:</v>
      </c>
      <c r="D71" s="35" t="s">
        <v>175</v>
      </c>
      <c r="E71" s="35" t="s">
        <v>1224</v>
      </c>
      <c r="F71" s="330" t="s">
        <v>941</v>
      </c>
      <c r="G71" s="242" t="str">
        <f ca="1">IF(AC71,Variante_A!$M$112,"")</f>
        <v/>
      </c>
      <c r="H71" s="250"/>
      <c r="I71" s="246"/>
      <c r="J71" s="251"/>
      <c r="K71" s="330" t="s">
        <v>941</v>
      </c>
      <c r="L71" s="242" t="str">
        <f ca="1">IF(AH71,Variante_B!$M$112,"")</f>
        <v/>
      </c>
      <c r="M71" s="250"/>
      <c r="N71" s="246"/>
      <c r="O71" s="251"/>
      <c r="P71" s="330" t="s">
        <v>941</v>
      </c>
      <c r="Q71" s="242" t="str">
        <f ca="1">IF(AM71,Variante_C!$M$112,"")</f>
        <v/>
      </c>
      <c r="R71" s="250"/>
      <c r="S71" s="246"/>
      <c r="T71" s="251"/>
      <c r="U71" s="330" t="s">
        <v>941</v>
      </c>
      <c r="V71" s="242" t="str">
        <f ca="1">IF(AR71,Variante_D!$M$112,"")</f>
        <v/>
      </c>
      <c r="W71" s="250"/>
      <c r="X71" s="246"/>
      <c r="AC71" s="510" t="b">
        <f ca="1">(AC6&lt;&gt;0)</f>
        <v>0</v>
      </c>
      <c r="AD71" s="510" t="b">
        <f ca="1">(AD6&lt;&gt;0)</f>
        <v>0</v>
      </c>
      <c r="AH71" s="510" t="b">
        <f ca="1">(AH6&lt;&gt;0)</f>
        <v>0</v>
      </c>
      <c r="AI71" s="510" t="b">
        <f ca="1">(AI6&lt;&gt;0)</f>
        <v>0</v>
      </c>
      <c r="AM71" s="510" t="b">
        <f ca="1">(AM6&lt;&gt;0)</f>
        <v>0</v>
      </c>
      <c r="AN71" s="510" t="b">
        <f ca="1">(AN6&lt;&gt;0)</f>
        <v>0</v>
      </c>
      <c r="AR71" s="510" t="b">
        <f ca="1">(AR6&lt;&gt;0)</f>
        <v>0</v>
      </c>
      <c r="AS71" s="510" t="b">
        <f ca="1">(AS6&lt;&gt;0)</f>
        <v>0</v>
      </c>
    </row>
    <row r="72" spans="2:47" ht="15.6" customHeight="1">
      <c r="C72" s="129" t="str">
        <f ca="1">Sprache!E359&amp;":"</f>
        <v>Demontage bestehendes Lager, inkl. Baumeister:</v>
      </c>
      <c r="D72" s="35" t="s">
        <v>175</v>
      </c>
      <c r="E72" s="35" t="s">
        <v>1224</v>
      </c>
      <c r="F72" s="330" t="s">
        <v>941</v>
      </c>
      <c r="G72" s="242" t="str">
        <f ca="1">IF(AC71,Variante_A!$M$113,"")</f>
        <v/>
      </c>
      <c r="H72" s="250"/>
      <c r="I72" s="246"/>
      <c r="J72" s="251"/>
      <c r="K72" s="330" t="s">
        <v>941</v>
      </c>
      <c r="L72" s="242" t="str">
        <f ca="1">IF(AH71,Variante_B!$M$113,"")</f>
        <v/>
      </c>
      <c r="M72" s="250"/>
      <c r="N72" s="246"/>
      <c r="O72" s="251"/>
      <c r="P72" s="330" t="s">
        <v>941</v>
      </c>
      <c r="Q72" s="242" t="str">
        <f ca="1">IF(AM71,Variante_C!$M$113,"")</f>
        <v/>
      </c>
      <c r="R72" s="250"/>
      <c r="S72" s="246"/>
      <c r="T72" s="251"/>
      <c r="U72" s="330" t="s">
        <v>941</v>
      </c>
      <c r="V72" s="242" t="str">
        <f ca="1">IF(AR71,Variante_D!$M$113,"")</f>
        <v/>
      </c>
      <c r="W72" s="250"/>
      <c r="X72" s="246"/>
    </row>
    <row r="73" spans="2:47" ht="15.6" customHeight="1">
      <c r="C73" s="129" t="str">
        <f ca="1">Sprache!E360&amp;":"</f>
        <v>Warmwassererzeugung, inkl. Elektro, Sanitär:</v>
      </c>
      <c r="D73" s="35" t="s">
        <v>175</v>
      </c>
      <c r="E73" s="35" t="s">
        <v>1225</v>
      </c>
      <c r="F73" s="330" t="s">
        <v>941</v>
      </c>
      <c r="G73" s="242" t="str">
        <f ca="1">IF(AC71,Variante_A!$M$116,"")</f>
        <v/>
      </c>
      <c r="H73" s="250"/>
      <c r="I73" s="246"/>
      <c r="J73" s="251"/>
      <c r="K73" s="330" t="s">
        <v>941</v>
      </c>
      <c r="L73" s="242" t="str">
        <f ca="1">IF(AH71,Variante_B!$M$116,"")</f>
        <v/>
      </c>
      <c r="M73" s="250"/>
      <c r="N73" s="246"/>
      <c r="O73" s="251"/>
      <c r="P73" s="330" t="s">
        <v>941</v>
      </c>
      <c r="Q73" s="242" t="str">
        <f ca="1">IF(AM71,Variante_C!$M$116,"")</f>
        <v/>
      </c>
      <c r="R73" s="250"/>
      <c r="S73" s="246"/>
      <c r="T73" s="251"/>
      <c r="U73" s="330" t="s">
        <v>941</v>
      </c>
      <c r="V73" s="242" t="str">
        <f ca="1">IF(AR71,Variante_D!$M$116,"")</f>
        <v/>
      </c>
      <c r="W73" s="250"/>
      <c r="X73" s="246"/>
    </row>
    <row r="74" spans="2:47" ht="15.6" customHeight="1">
      <c r="C74" s="129" t="str">
        <f ca="1">Sprache!E361&amp;":"</f>
        <v>WP-Wassererwärmer, inkl. Elektro, Sanitär:</v>
      </c>
      <c r="D74" s="35" t="s">
        <v>175</v>
      </c>
      <c r="E74" s="35" t="s">
        <v>1225</v>
      </c>
      <c r="F74" s="330" t="s">
        <v>349</v>
      </c>
      <c r="G74" s="242" t="str">
        <f ca="1">IF(AC71,Variante_A!$M$117,"")</f>
        <v/>
      </c>
      <c r="H74" s="250"/>
      <c r="I74" s="246"/>
      <c r="J74" s="251"/>
      <c r="K74" s="330" t="s">
        <v>349</v>
      </c>
      <c r="L74" s="242" t="str">
        <f ca="1">IF(AH71,Variante_B!$M$117,"")</f>
        <v/>
      </c>
      <c r="M74" s="250"/>
      <c r="N74" s="246"/>
      <c r="O74" s="251"/>
      <c r="P74" s="330" t="s">
        <v>349</v>
      </c>
      <c r="Q74" s="242" t="str">
        <f ca="1">IF(AM71,Variante_C!$M$117,"")</f>
        <v/>
      </c>
      <c r="R74" s="250"/>
      <c r="S74" s="246"/>
      <c r="T74" s="251"/>
      <c r="U74" s="330" t="s">
        <v>349</v>
      </c>
      <c r="V74" s="242" t="str">
        <f ca="1">IF(AR71,Variante_D!$M$117,"")</f>
        <v/>
      </c>
      <c r="W74" s="250"/>
      <c r="X74" s="246"/>
    </row>
    <row r="75" spans="2:47" ht="15.6" customHeight="1">
      <c r="C75" s="129" t="str">
        <f ca="1">Sprache!E362&amp;":"</f>
        <v>Heizverteiler, inkl. Unterstationen ab 200 kW:</v>
      </c>
      <c r="D75" s="35" t="s">
        <v>175</v>
      </c>
      <c r="E75" s="35" t="s">
        <v>1219</v>
      </c>
      <c r="F75" s="330" t="s">
        <v>349</v>
      </c>
      <c r="G75" s="242" t="str">
        <f ca="1">IF(AC71,Variante_A!$M$118,"")</f>
        <v/>
      </c>
      <c r="H75" s="250"/>
      <c r="I75" s="246"/>
      <c r="J75" s="251"/>
      <c r="K75" s="330" t="s">
        <v>349</v>
      </c>
      <c r="L75" s="242" t="str">
        <f ca="1">IF(AH71,Variante_B!$M$118,"")</f>
        <v/>
      </c>
      <c r="M75" s="250"/>
      <c r="N75" s="246"/>
      <c r="O75" s="251"/>
      <c r="P75" s="330" t="s">
        <v>349</v>
      </c>
      <c r="Q75" s="242" t="str">
        <f ca="1">IF(AM71,Variante_C!$M$118,"")</f>
        <v/>
      </c>
      <c r="R75" s="250"/>
      <c r="S75" s="246"/>
      <c r="T75" s="251"/>
      <c r="U75" s="330" t="s">
        <v>349</v>
      </c>
      <c r="V75" s="242" t="str">
        <f ca="1">IF(AR71,Variante_D!$M$118,"")</f>
        <v/>
      </c>
      <c r="W75" s="250"/>
      <c r="X75" s="246"/>
    </row>
    <row r="76" spans="2:47" ht="15.6" customHeight="1">
      <c r="C76" s="129" t="str">
        <f ca="1">Sprache!E363&amp;":"</f>
        <v>Verteilleitungen:</v>
      </c>
      <c r="D76" s="35" t="s">
        <v>175</v>
      </c>
      <c r="E76" s="35" t="s">
        <v>1219</v>
      </c>
      <c r="F76" s="330" t="s">
        <v>349</v>
      </c>
      <c r="G76" s="242" t="str">
        <f ca="1">IF(AC71,Variante_A!$M$119,"")</f>
        <v/>
      </c>
      <c r="H76" s="250"/>
      <c r="I76" s="246"/>
      <c r="J76" s="251"/>
      <c r="K76" s="330" t="s">
        <v>349</v>
      </c>
      <c r="L76" s="242" t="str">
        <f ca="1">IF(AH71,Variante_B!$M$119,"")</f>
        <v/>
      </c>
      <c r="M76" s="250"/>
      <c r="N76" s="246"/>
      <c r="O76" s="251"/>
      <c r="P76" s="330" t="s">
        <v>349</v>
      </c>
      <c r="Q76" s="242" t="str">
        <f ca="1">IF(AM71,Variante_C!$M$119,"")</f>
        <v/>
      </c>
      <c r="R76" s="250"/>
      <c r="S76" s="246"/>
      <c r="T76" s="251"/>
      <c r="U76" s="330" t="s">
        <v>349</v>
      </c>
      <c r="V76" s="242" t="str">
        <f ca="1">IF(AR71,Variante_D!$M$119,"")</f>
        <v/>
      </c>
      <c r="W76" s="250"/>
      <c r="X76" s="246"/>
    </row>
    <row r="77" spans="2:47" ht="15.6" customHeight="1">
      <c r="C77" s="129" t="str">
        <f ca="1">Sprache!E364&amp;":"</f>
        <v>Wärmeabgabe:</v>
      </c>
      <c r="D77" s="35" t="s">
        <v>175</v>
      </c>
      <c r="E77" s="35" t="s">
        <v>1226</v>
      </c>
      <c r="F77" s="330" t="s">
        <v>349</v>
      </c>
      <c r="G77" s="242" t="str">
        <f ca="1">IF(AC71,Variante_A!$M$120,"")</f>
        <v/>
      </c>
      <c r="H77" s="250"/>
      <c r="I77" s="246"/>
      <c r="J77" s="251"/>
      <c r="K77" s="330" t="s">
        <v>349</v>
      </c>
      <c r="L77" s="242" t="str">
        <f ca="1">IF(AH71,Variante_B!$M$120,"")</f>
        <v/>
      </c>
      <c r="M77" s="250"/>
      <c r="N77" s="246"/>
      <c r="O77" s="251"/>
      <c r="P77" s="330" t="s">
        <v>349</v>
      </c>
      <c r="Q77" s="242" t="str">
        <f ca="1">IF(AM71,Variante_C!$M$120,"")</f>
        <v/>
      </c>
      <c r="R77" s="250"/>
      <c r="S77" s="246"/>
      <c r="T77" s="251"/>
      <c r="U77" s="330" t="s">
        <v>349</v>
      </c>
      <c r="V77" s="242" t="str">
        <f ca="1">IF(AR71,Variante_D!$M$120,"")</f>
        <v/>
      </c>
      <c r="W77" s="250"/>
      <c r="X77" s="246"/>
    </row>
    <row r="78" spans="2:47" ht="15.6" customHeight="1">
      <c r="C78" s="129" t="str">
        <f ca="1">Sprache!E365&amp;":"</f>
        <v>Feldgeräte und Schaltgerätekombination:</v>
      </c>
      <c r="D78" s="35" t="s">
        <v>175</v>
      </c>
      <c r="E78" s="35" t="s">
        <v>1227</v>
      </c>
      <c r="F78" s="330" t="s">
        <v>349</v>
      </c>
      <c r="G78" s="242" t="str">
        <f ca="1">IF(AC71,Variante_A!$M$121,"")</f>
        <v/>
      </c>
      <c r="H78" s="250"/>
      <c r="I78" s="246"/>
      <c r="J78" s="251"/>
      <c r="K78" s="330" t="s">
        <v>349</v>
      </c>
      <c r="L78" s="242" t="str">
        <f ca="1">IF(AH71,Variante_B!$M$121,"")</f>
        <v/>
      </c>
      <c r="M78" s="250"/>
      <c r="N78" s="246"/>
      <c r="O78" s="251"/>
      <c r="P78" s="330" t="s">
        <v>349</v>
      </c>
      <c r="Q78" s="242" t="str">
        <f ca="1">IF(AM71,Variante_C!$M$121,"")</f>
        <v/>
      </c>
      <c r="R78" s="250"/>
      <c r="S78" s="246"/>
      <c r="T78" s="251"/>
      <c r="U78" s="330" t="s">
        <v>349</v>
      </c>
      <c r="V78" s="242" t="str">
        <f ca="1">IF(AR71,Variante_D!$M$121,"")</f>
        <v/>
      </c>
      <c r="W78" s="250"/>
      <c r="X78" s="246"/>
    </row>
    <row r="79" spans="2:47" ht="15.6" customHeight="1">
      <c r="C79" s="129" t="str">
        <f ca="1">Sprache!E366&amp;":"</f>
        <v>Elektromessgeräte:</v>
      </c>
      <c r="D79" s="35" t="s">
        <v>175</v>
      </c>
      <c r="E79" s="35" t="s">
        <v>1228</v>
      </c>
      <c r="F79" s="330" t="s">
        <v>349</v>
      </c>
      <c r="G79" s="242" t="str">
        <f ca="1">IF(AC71,Variante_A!$M$122,"")</f>
        <v/>
      </c>
      <c r="H79" s="250"/>
      <c r="I79" s="246"/>
      <c r="J79" s="251"/>
      <c r="K79" s="330" t="s">
        <v>349</v>
      </c>
      <c r="L79" s="242" t="str">
        <f ca="1">IF(AH71,Variante_B!$M$122,"")</f>
        <v/>
      </c>
      <c r="M79" s="250"/>
      <c r="N79" s="246"/>
      <c r="O79" s="251"/>
      <c r="P79" s="330" t="s">
        <v>349</v>
      </c>
      <c r="Q79" s="242" t="str">
        <f ca="1">IF(AM71,Variante_C!$M$122,"")</f>
        <v/>
      </c>
      <c r="R79" s="250"/>
      <c r="S79" s="246"/>
      <c r="T79" s="251"/>
      <c r="U79" s="330" t="s">
        <v>349</v>
      </c>
      <c r="V79" s="242" t="str">
        <f ca="1">IF(AR71,Variante_D!$M$122,"")</f>
        <v/>
      </c>
      <c r="W79" s="250"/>
      <c r="X79" s="246"/>
    </row>
    <row r="80" spans="2:47" ht="15.6" customHeight="1">
      <c r="C80" s="129" t="str">
        <f ca="1">Sprache!E367&amp;":"</f>
        <v>Volumenmessgeräte:</v>
      </c>
      <c r="D80" s="35" t="s">
        <v>175</v>
      </c>
      <c r="E80" s="35" t="s">
        <v>1228</v>
      </c>
      <c r="F80" s="330" t="s">
        <v>349</v>
      </c>
      <c r="G80" s="242" t="str">
        <f ca="1">IF(AC71,Variante_A!$M$123,"")</f>
        <v/>
      </c>
      <c r="H80" s="250"/>
      <c r="I80" s="246"/>
      <c r="J80" s="251"/>
      <c r="K80" s="330" t="s">
        <v>349</v>
      </c>
      <c r="L80" s="242" t="str">
        <f ca="1">IF(AH71,Variante_B!$M$123,"")</f>
        <v/>
      </c>
      <c r="M80" s="250"/>
      <c r="N80" s="246"/>
      <c r="O80" s="251"/>
      <c r="P80" s="330" t="s">
        <v>349</v>
      </c>
      <c r="Q80" s="242" t="str">
        <f ca="1">IF(AM71,Variante_C!$M$123,"")</f>
        <v/>
      </c>
      <c r="R80" s="250"/>
      <c r="S80" s="246"/>
      <c r="T80" s="251"/>
      <c r="U80" s="330" t="s">
        <v>349</v>
      </c>
      <c r="V80" s="242" t="str">
        <f ca="1">IF(AR71,Variante_D!$M$123,"")</f>
        <v/>
      </c>
      <c r="W80" s="250"/>
      <c r="X80" s="246"/>
    </row>
    <row r="81" spans="2:45" ht="15.6" customHeight="1">
      <c r="C81" s="129" t="str">
        <f ca="1">Sprache!E368&amp;":"</f>
        <v>Vernetzung:</v>
      </c>
      <c r="D81" s="35" t="s">
        <v>175</v>
      </c>
      <c r="E81" s="35" t="s">
        <v>1228</v>
      </c>
      <c r="F81" s="330" t="s">
        <v>349</v>
      </c>
      <c r="G81" s="242" t="str">
        <f ca="1">IF(AC71,Variante_A!$M$124,"")</f>
        <v/>
      </c>
      <c r="H81" s="250"/>
      <c r="I81" s="246"/>
      <c r="J81" s="251"/>
      <c r="K81" s="330" t="s">
        <v>349</v>
      </c>
      <c r="L81" s="242" t="str">
        <f ca="1">IF(AH71,Variante_B!$M$124,"")</f>
        <v/>
      </c>
      <c r="M81" s="250"/>
      <c r="N81" s="246"/>
      <c r="O81" s="251"/>
      <c r="P81" s="330" t="s">
        <v>349</v>
      </c>
      <c r="Q81" s="242" t="str">
        <f ca="1">IF(AM71,Variante_C!$M$124,"")</f>
        <v/>
      </c>
      <c r="R81" s="250"/>
      <c r="S81" s="246"/>
      <c r="T81" s="251"/>
      <c r="U81" s="330" t="s">
        <v>349</v>
      </c>
      <c r="V81" s="242" t="str">
        <f ca="1">IF(AR71,Variante_D!$M$124,"")</f>
        <v/>
      </c>
      <c r="W81" s="250"/>
      <c r="X81" s="246"/>
    </row>
    <row r="82" spans="2:45" ht="15.6" customHeight="1">
      <c r="C82" s="129" t="str">
        <f ca="1">Sprache!E369&amp;":"</f>
        <v>Gross-Wärmepumpen (Evac., Exschutz, BMA):</v>
      </c>
      <c r="D82" s="35" t="s">
        <v>175</v>
      </c>
      <c r="E82" s="35" t="s">
        <v>1228</v>
      </c>
      <c r="F82" s="330" t="s">
        <v>349</v>
      </c>
      <c r="G82" s="242" t="str">
        <f ca="1">IF(AC71,Variante_A!$M$125,"")</f>
        <v/>
      </c>
      <c r="H82" s="250"/>
      <c r="I82" s="246"/>
      <c r="J82" s="251"/>
      <c r="K82" s="330" t="s">
        <v>349</v>
      </c>
      <c r="L82" s="242" t="str">
        <f ca="1">IF(AH71,Variante_B!$M$125,"")</f>
        <v/>
      </c>
      <c r="M82" s="250"/>
      <c r="N82" s="246"/>
      <c r="O82" s="251"/>
      <c r="P82" s="330" t="s">
        <v>349</v>
      </c>
      <c r="Q82" s="242" t="str">
        <f ca="1">IF(AM71,Variante_C!$M$125,"")</f>
        <v/>
      </c>
      <c r="R82" s="250"/>
      <c r="S82" s="246"/>
      <c r="T82" s="251"/>
      <c r="U82" s="330" t="s">
        <v>349</v>
      </c>
      <c r="V82" s="242" t="str">
        <f ca="1">IF(AR71,Variante_D!$M$125,"")</f>
        <v/>
      </c>
      <c r="W82" s="250"/>
      <c r="X82" s="246"/>
    </row>
    <row r="83" spans="2:45" ht="15" customHeight="1"/>
    <row r="84" spans="2:45" ht="15.6" customHeight="1">
      <c r="C84" s="1" t="str">
        <f ca="1">Sprache!E269</f>
        <v>Unter baulichen Massnahmen fallen alle Kosten in Zusammenhang mit dem Wärmeerzeugerersatz.</v>
      </c>
    </row>
    <row r="85" spans="2:45" ht="6.95" customHeight="1"/>
    <row r="86" spans="2:45" ht="6.95" customHeight="1">
      <c r="B86" s="63"/>
      <c r="C86" s="63"/>
      <c r="D86" s="286"/>
      <c r="E86" s="63"/>
      <c r="F86" s="63"/>
      <c r="G86" s="94"/>
      <c r="H86" s="63"/>
      <c r="I86" s="94"/>
      <c r="J86" s="94"/>
      <c r="K86" s="63"/>
      <c r="L86" s="94"/>
      <c r="M86" s="63"/>
      <c r="N86" s="94"/>
      <c r="O86" s="94"/>
      <c r="P86" s="63"/>
      <c r="Q86" s="94"/>
      <c r="R86" s="63"/>
      <c r="S86" s="94"/>
      <c r="T86" s="94"/>
      <c r="U86" s="63"/>
      <c r="V86" s="94"/>
      <c r="W86" s="63"/>
      <c r="X86" s="63"/>
    </row>
    <row r="87" spans="2:45" ht="18">
      <c r="B87" s="121" t="str">
        <f ca="1">Sprache!$E$270</f>
        <v>PV-Anlage</v>
      </c>
      <c r="AB87" s="508" t="s">
        <v>7</v>
      </c>
      <c r="AC87" s="508">
        <f ca="1">VLOOKUP(F88,Auswahllisten!$E$94:$F$95,2,FALSE)</f>
        <v>0</v>
      </c>
      <c r="AH87" s="508">
        <f ca="1">VLOOKUP(K88,Auswahllisten!$E$94:$F$95,2,FALSE)</f>
        <v>0</v>
      </c>
      <c r="AM87" s="508">
        <f ca="1">VLOOKUP(P88,Auswahllisten!$E$94:$F$95,2,FALSE)</f>
        <v>0</v>
      </c>
      <c r="AR87" s="508">
        <f ca="1">VLOOKUP(U88,Auswahllisten!$E$94:$F$95,2,FALSE)</f>
        <v>0</v>
      </c>
    </row>
    <row r="88" spans="2:45" ht="15.6" customHeight="1">
      <c r="C88" s="7" t="str">
        <f ca="1">Sprache!$E$271&amp;":"</f>
        <v>Typ:</v>
      </c>
      <c r="F88" s="586" t="s">
        <v>122</v>
      </c>
      <c r="G88" s="587"/>
      <c r="H88" s="298"/>
      <c r="I88" s="151"/>
      <c r="J88" s="150"/>
      <c r="K88" s="586" t="s">
        <v>122</v>
      </c>
      <c r="L88" s="587"/>
      <c r="M88" s="298"/>
      <c r="N88" s="151"/>
      <c r="O88" s="150"/>
      <c r="P88" s="586" t="s">
        <v>122</v>
      </c>
      <c r="Q88" s="587"/>
      <c r="R88" s="298"/>
      <c r="S88" s="151"/>
      <c r="T88" s="150"/>
      <c r="U88" s="586" t="s">
        <v>122</v>
      </c>
      <c r="V88" s="587"/>
      <c r="W88" s="298"/>
      <c r="X88" s="151"/>
      <c r="AC88" s="510" t="b">
        <f ca="1">(AC6&lt;&gt;0)</f>
        <v>0</v>
      </c>
      <c r="AD88" s="510" t="b">
        <f ca="1">AC88</f>
        <v>0</v>
      </c>
      <c r="AH88" s="510" t="b">
        <f ca="1">(AH6&lt;&gt;0)</f>
        <v>0</v>
      </c>
      <c r="AI88" s="510" t="b">
        <f ca="1">AH88</f>
        <v>0</v>
      </c>
      <c r="AM88" s="510" t="b">
        <f ca="1">(AM6&lt;&gt;0)</f>
        <v>0</v>
      </c>
      <c r="AN88" s="510" t="b">
        <f ca="1">AM88</f>
        <v>0</v>
      </c>
      <c r="AR88" s="510" t="b">
        <f ca="1">(AR6&lt;&gt;0)</f>
        <v>0</v>
      </c>
      <c r="AS88" s="510" t="b">
        <f ca="1">AR88</f>
        <v>0</v>
      </c>
    </row>
    <row r="89" spans="2:45" ht="15.6" customHeight="1">
      <c r="C89" s="129" t="str">
        <f ca="1">Sprache!$E$272&amp;" 1:"</f>
        <v>Grösse Anlage 1:</v>
      </c>
      <c r="D89" s="35" t="s">
        <v>701</v>
      </c>
      <c r="E89" s="35" t="s">
        <v>1223</v>
      </c>
      <c r="F89" s="331"/>
      <c r="G89" s="242" t="str">
        <f ca="1">IF(AD89,Variante_A!$M$147,"")</f>
        <v/>
      </c>
      <c r="H89" s="252"/>
      <c r="I89" s="246"/>
      <c r="J89" s="251"/>
      <c r="K89" s="331"/>
      <c r="L89" s="242" t="str">
        <f ca="1">IF(AI89,Variante_B!$M$147,"")</f>
        <v/>
      </c>
      <c r="M89" s="252"/>
      <c r="N89" s="246"/>
      <c r="O89" s="251"/>
      <c r="P89" s="331"/>
      <c r="Q89" s="242" t="str">
        <f ca="1">IF(AN89,Variante_C!$M$147,"")</f>
        <v/>
      </c>
      <c r="R89" s="252"/>
      <c r="S89" s="246"/>
      <c r="T89" s="251"/>
      <c r="U89" s="331"/>
      <c r="V89" s="242" t="str">
        <f ca="1">IF(AS89,Variante_D!$M$147,"")</f>
        <v/>
      </c>
      <c r="W89" s="252"/>
      <c r="X89" s="246"/>
      <c r="AC89" s="510" t="b">
        <f ca="1">AND(AC6&lt;&gt;0,AC87&lt;&gt;0)</f>
        <v>0</v>
      </c>
      <c r="AD89" s="510" t="b">
        <f t="shared" ref="AD89" ca="1" si="33">AC89</f>
        <v>0</v>
      </c>
      <c r="AH89" s="510" t="b">
        <f ca="1">AND(AH6&lt;&gt;0,AH87&lt;&gt;0)</f>
        <v>0</v>
      </c>
      <c r="AI89" s="510" t="b">
        <f t="shared" ref="AI89" ca="1" si="34">AH89</f>
        <v>0</v>
      </c>
      <c r="AM89" s="510" t="b">
        <f ca="1">AND(AM6&lt;&gt;0,AM87&lt;&gt;0)</f>
        <v>0</v>
      </c>
      <c r="AN89" s="510" t="b">
        <f t="shared" ref="AN89" ca="1" si="35">AM89</f>
        <v>0</v>
      </c>
      <c r="AR89" s="510" t="b">
        <f ca="1">AND(AR6&lt;&gt;0,AR87&lt;&gt;0)</f>
        <v>0</v>
      </c>
      <c r="AS89" s="510" t="b">
        <f t="shared" ref="AS89" ca="1" si="36">AR89</f>
        <v>0</v>
      </c>
    </row>
    <row r="90" spans="2:45" ht="15.6" customHeight="1">
      <c r="C90" s="7" t="str">
        <f ca="1">Sprache!$E$273&amp;":"</f>
        <v>Ausrichtung:</v>
      </c>
      <c r="F90" s="292" t="s">
        <v>713</v>
      </c>
      <c r="G90" s="253"/>
      <c r="H90" s="254"/>
      <c r="I90" s="35"/>
      <c r="J90" s="255"/>
      <c r="K90" s="292" t="s">
        <v>713</v>
      </c>
      <c r="L90" s="253"/>
      <c r="M90" s="254"/>
      <c r="N90" s="35"/>
      <c r="O90" s="255"/>
      <c r="P90" s="292" t="s">
        <v>713</v>
      </c>
      <c r="Q90" s="253"/>
      <c r="R90" s="254"/>
      <c r="S90" s="35"/>
      <c r="T90" s="255"/>
      <c r="U90" s="292" t="s">
        <v>713</v>
      </c>
      <c r="V90" s="253"/>
      <c r="W90" s="254"/>
      <c r="X90" s="35"/>
      <c r="AC90" s="521"/>
      <c r="AD90" s="521"/>
    </row>
    <row r="91" spans="2:45" ht="15.6" customHeight="1">
      <c r="C91" s="7" t="str">
        <f ca="1">Sprache!$E$274&amp;":"</f>
        <v>Neigung:</v>
      </c>
      <c r="F91" s="292">
        <v>45</v>
      </c>
      <c r="G91" s="295" t="str">
        <f ca="1">IF(AD89,Energie!E78*0.001,"")</f>
        <v/>
      </c>
      <c r="H91" s="254"/>
      <c r="I91" s="257"/>
      <c r="J91" s="258"/>
      <c r="K91" s="292">
        <v>45</v>
      </c>
      <c r="L91" s="295" t="str">
        <f ca="1">IF(AI89,Energie!G78*0.001,"")</f>
        <v/>
      </c>
      <c r="M91" s="254"/>
      <c r="N91" s="257"/>
      <c r="O91" s="258"/>
      <c r="P91" s="292">
        <v>45</v>
      </c>
      <c r="Q91" s="295" t="str">
        <f ca="1">IF(AN89,Energie!I78*0.001,"")</f>
        <v/>
      </c>
      <c r="R91" s="254"/>
      <c r="S91" s="257"/>
      <c r="T91" s="258"/>
      <c r="U91" s="292">
        <v>45</v>
      </c>
      <c r="V91" s="295" t="str">
        <f ca="1">IF(AS89,Energie!K78*0.001,"")</f>
        <v/>
      </c>
      <c r="W91" s="254"/>
      <c r="X91" s="257"/>
    </row>
    <row r="92" spans="2:45" ht="15.6" customHeight="1">
      <c r="C92" s="129" t="str">
        <f ca="1">Sprache!$E$272&amp;" 2:"</f>
        <v>Grösse Anlage 2:</v>
      </c>
      <c r="D92" s="35" t="s">
        <v>701</v>
      </c>
      <c r="E92" s="35" t="s">
        <v>1223</v>
      </c>
      <c r="F92" s="331"/>
      <c r="G92" s="242" t="str">
        <f ca="1">IF(AD89,Variante_A!$M$149,"")</f>
        <v/>
      </c>
      <c r="H92" s="252"/>
      <c r="I92" s="246"/>
      <c r="J92" s="251"/>
      <c r="K92" s="331"/>
      <c r="L92" s="242" t="str">
        <f ca="1">IF(AI89,Variante_B!$M$149,"")</f>
        <v/>
      </c>
      <c r="M92" s="252"/>
      <c r="N92" s="246"/>
      <c r="O92" s="251"/>
      <c r="P92" s="331"/>
      <c r="Q92" s="242" t="str">
        <f ca="1">IF(AN89,Variante_C!$M$149,"")</f>
        <v/>
      </c>
      <c r="R92" s="252"/>
      <c r="S92" s="246"/>
      <c r="T92" s="251"/>
      <c r="U92" s="331"/>
      <c r="V92" s="242" t="str">
        <f ca="1">IF(AS89,Variante_D!$M$149,"")</f>
        <v/>
      </c>
      <c r="W92" s="252"/>
      <c r="X92" s="246"/>
    </row>
    <row r="93" spans="2:45" ht="15.6" customHeight="1">
      <c r="C93" s="7" t="str">
        <f ca="1">Sprache!$E$273&amp;":"</f>
        <v>Ausrichtung:</v>
      </c>
      <c r="F93" s="292" t="s">
        <v>683</v>
      </c>
      <c r="G93" s="253"/>
      <c r="H93" s="254"/>
      <c r="I93" s="35"/>
      <c r="J93" s="255"/>
      <c r="K93" s="292" t="s">
        <v>683</v>
      </c>
      <c r="L93" s="253"/>
      <c r="M93" s="254"/>
      <c r="N93" s="35"/>
      <c r="O93" s="255"/>
      <c r="P93" s="292" t="s">
        <v>683</v>
      </c>
      <c r="Q93" s="253"/>
      <c r="R93" s="254"/>
      <c r="S93" s="35"/>
      <c r="T93" s="255"/>
      <c r="U93" s="292" t="s">
        <v>683</v>
      </c>
      <c r="V93" s="253"/>
      <c r="W93" s="254"/>
      <c r="X93" s="35"/>
    </row>
    <row r="94" spans="2:45" ht="15" customHeight="1">
      <c r="C94" s="7" t="str">
        <f ca="1">Sprache!$E$274&amp;":"</f>
        <v>Neigung:</v>
      </c>
      <c r="F94" s="292">
        <v>45</v>
      </c>
      <c r="G94" s="295" t="str">
        <f ca="1">IF(AD89,Energie!E83*0.001,"")</f>
        <v/>
      </c>
      <c r="H94" s="254"/>
      <c r="I94" s="257"/>
      <c r="J94" s="258"/>
      <c r="K94" s="292">
        <v>45</v>
      </c>
      <c r="L94" s="295" t="str">
        <f ca="1">IF(AI89,Energie!G83*0.001,"")</f>
        <v/>
      </c>
      <c r="M94" s="254"/>
      <c r="N94" s="257"/>
      <c r="O94" s="258"/>
      <c r="P94" s="292">
        <v>45</v>
      </c>
      <c r="Q94" s="295" t="str">
        <f ca="1">IF(AN89,Energie!I83*0.001,"")</f>
        <v/>
      </c>
      <c r="R94" s="254"/>
      <c r="S94" s="257"/>
      <c r="T94" s="258"/>
      <c r="U94" s="292">
        <v>45</v>
      </c>
      <c r="V94" s="295" t="str">
        <f ca="1">IF(AS89,Energie!K83*0.001,"")</f>
        <v/>
      </c>
      <c r="W94" s="254"/>
      <c r="X94" s="257"/>
    </row>
    <row r="95" spans="2:45" ht="15" customHeight="1">
      <c r="C95" s="7" t="str">
        <f ca="1">Sprache!$E$351&amp;":"</f>
        <v>Eigenstromverbrauch:</v>
      </c>
      <c r="D95" s="35" t="s">
        <v>201</v>
      </c>
      <c r="F95" s="329"/>
      <c r="G95" s="284"/>
      <c r="H95" s="254"/>
      <c r="I95" s="257"/>
      <c r="J95" s="258"/>
      <c r="K95" s="329"/>
      <c r="L95" s="284"/>
      <c r="M95" s="254"/>
      <c r="N95" s="257"/>
      <c r="O95" s="258"/>
      <c r="P95" s="329"/>
      <c r="Q95" s="284"/>
      <c r="R95" s="254"/>
      <c r="S95" s="257"/>
      <c r="T95" s="258"/>
      <c r="U95" s="329"/>
      <c r="V95" s="284"/>
      <c r="W95" s="254"/>
      <c r="X95" s="257"/>
    </row>
    <row r="96" spans="2:45" ht="15.6" customHeight="1">
      <c r="C96" s="7" t="str">
        <f ca="1">Sprache!$E$265&amp;":"</f>
        <v>Subventionsbeitrag:</v>
      </c>
      <c r="D96" s="35" t="s">
        <v>175</v>
      </c>
      <c r="F96" s="588"/>
      <c r="G96" s="589"/>
      <c r="H96" s="260"/>
      <c r="I96" s="246"/>
      <c r="J96" s="251"/>
      <c r="K96" s="588"/>
      <c r="L96" s="589"/>
      <c r="M96" s="260"/>
      <c r="N96" s="246"/>
      <c r="O96" s="251"/>
      <c r="P96" s="588"/>
      <c r="Q96" s="589"/>
      <c r="R96" s="260"/>
      <c r="S96" s="246"/>
      <c r="T96" s="251"/>
      <c r="U96" s="588"/>
      <c r="V96" s="589"/>
      <c r="W96" s="260"/>
      <c r="X96" s="246"/>
    </row>
    <row r="97" spans="2:45" ht="6.6" customHeight="1">
      <c r="C97" s="7"/>
      <c r="F97" s="300"/>
      <c r="G97" s="261"/>
      <c r="H97" s="246"/>
      <c r="I97" s="246"/>
      <c r="J97" s="246"/>
      <c r="K97" s="300"/>
      <c r="L97" s="261"/>
      <c r="M97" s="246"/>
      <c r="N97" s="246"/>
      <c r="O97" s="246"/>
      <c r="P97" s="300"/>
      <c r="Q97" s="261"/>
      <c r="R97" s="246"/>
      <c r="S97" s="246"/>
      <c r="T97" s="246"/>
      <c r="U97" s="300"/>
      <c r="V97" s="261"/>
      <c r="W97" s="246"/>
      <c r="X97" s="246"/>
    </row>
    <row r="98" spans="2:45" ht="15.6" customHeight="1">
      <c r="C98" s="129" t="str">
        <f ca="1">Sprache!$E$344&amp;":"</f>
        <v>Unterhalt:</v>
      </c>
      <c r="D98" s="35" t="s">
        <v>225</v>
      </c>
      <c r="F98" s="293" t="s">
        <v>941</v>
      </c>
      <c r="G98" s="242" t="str">
        <f ca="1">IF(AD89,Variante_A!$M$214,"")</f>
        <v/>
      </c>
      <c r="H98" s="246"/>
      <c r="I98" s="246"/>
      <c r="J98" s="246"/>
      <c r="K98" s="293" t="s">
        <v>941</v>
      </c>
      <c r="L98" s="242" t="str">
        <f ca="1">IF(AI89,Variante_B!$M$214,"")</f>
        <v/>
      </c>
      <c r="M98" s="246"/>
      <c r="N98" s="246"/>
      <c r="O98" s="246"/>
      <c r="P98" s="293" t="s">
        <v>941</v>
      </c>
      <c r="Q98" s="242" t="str">
        <f ca="1">IF(AN89,Variante_C!$M$214,"")</f>
        <v/>
      </c>
      <c r="R98" s="246"/>
      <c r="S98" s="246"/>
      <c r="T98" s="246"/>
      <c r="U98" s="293" t="s">
        <v>941</v>
      </c>
      <c r="V98" s="242" t="str">
        <f ca="1">IF(AS89,Variante_D!$M$214,"")</f>
        <v/>
      </c>
      <c r="W98" s="246"/>
      <c r="X98" s="246"/>
    </row>
    <row r="99" spans="2:45" ht="6.95" customHeight="1">
      <c r="B99" s="55"/>
      <c r="C99" s="55"/>
      <c r="D99" s="287"/>
      <c r="E99" s="55"/>
      <c r="F99" s="55"/>
      <c r="G99" s="55"/>
      <c r="H99" s="55"/>
      <c r="I99" s="55"/>
      <c r="J99" s="55"/>
      <c r="K99" s="55"/>
      <c r="L99" s="55"/>
      <c r="M99" s="55"/>
      <c r="N99" s="55"/>
      <c r="O99" s="55"/>
      <c r="P99" s="55"/>
      <c r="Q99" s="55"/>
      <c r="R99" s="55"/>
      <c r="S99" s="55"/>
      <c r="T99" s="55"/>
      <c r="U99" s="55"/>
      <c r="V99" s="55"/>
      <c r="W99" s="55"/>
      <c r="X99" s="55"/>
    </row>
    <row r="100" spans="2:45" ht="6.95" customHeight="1"/>
    <row r="101" spans="2:45" ht="18">
      <c r="B101" s="323" t="str">
        <f ca="1">Sprache!$E$357&amp;":"</f>
        <v>Honorar, Gebühren, MwSt:</v>
      </c>
      <c r="D101" s="267"/>
      <c r="U101" s="257"/>
      <c r="V101" s="151"/>
    </row>
    <row r="102" spans="2:45" ht="14.25">
      <c r="B102" s="267"/>
      <c r="C102" s="348" t="str">
        <f ca="1">Sprache!$E$353&amp;":"</f>
        <v>Investitionskosten (Summe):</v>
      </c>
      <c r="D102" s="267"/>
      <c r="G102" s="256"/>
      <c r="H102" s="242" t="str">
        <f ca="1">IF(AC102,Variante_A!$E$156,"")</f>
        <v/>
      </c>
      <c r="K102" s="35"/>
      <c r="L102" s="256"/>
      <c r="M102" s="242" t="str">
        <f ca="1">IF(AH102,Variante_B!$E$156,"")</f>
        <v/>
      </c>
      <c r="P102" s="257"/>
      <c r="Q102" s="256"/>
      <c r="R102" s="242" t="str">
        <f ca="1">IF(AM102,Variante_C!$E$156,"")</f>
        <v/>
      </c>
      <c r="U102" s="257"/>
      <c r="V102" s="256"/>
      <c r="W102" s="242" t="str">
        <f ca="1">IF(AR102,Variante_D!$E$156,"")</f>
        <v/>
      </c>
      <c r="AC102" s="510" t="b">
        <f ca="1">(AC6&lt;&gt;0)</f>
        <v>0</v>
      </c>
      <c r="AD102" s="510" t="b">
        <f ca="1">AC102</f>
        <v>0</v>
      </c>
      <c r="AE102" s="522"/>
      <c r="AH102" s="510" t="b">
        <f ca="1">(AH6&lt;&gt;0)</f>
        <v>0</v>
      </c>
      <c r="AI102" s="510" t="b">
        <f ca="1">AH102</f>
        <v>0</v>
      </c>
      <c r="AM102" s="510" t="b">
        <f ca="1">(AM6&lt;&gt;0)</f>
        <v>0</v>
      </c>
      <c r="AN102" s="510" t="b">
        <f ca="1">AM102</f>
        <v>0</v>
      </c>
      <c r="AR102" s="510" t="b">
        <f ca="1">(AR6&lt;&gt;0)</f>
        <v>0</v>
      </c>
      <c r="AS102" s="510" t="b">
        <f ca="1">AR102</f>
        <v>0</v>
      </c>
    </row>
    <row r="103" spans="2:45" ht="14.25">
      <c r="B103" s="267"/>
      <c r="C103" s="348" t="str">
        <f ca="1">Sprache!$E$354&amp;":"</f>
        <v>Honorar, Gebühren:</v>
      </c>
      <c r="D103" s="267"/>
      <c r="E103" s="35" t="s">
        <v>1221</v>
      </c>
      <c r="G103" s="293" t="s">
        <v>941</v>
      </c>
      <c r="H103" s="242" t="str">
        <f ca="1">IF(AC103,Variante_A!$M$157,"")</f>
        <v/>
      </c>
      <c r="K103" s="257"/>
      <c r="L103" s="293" t="s">
        <v>941</v>
      </c>
      <c r="M103" s="242" t="str">
        <f ca="1">IF(AH103,Variante_B!$M$157,"")</f>
        <v/>
      </c>
      <c r="P103" s="257"/>
      <c r="Q103" s="293" t="s">
        <v>941</v>
      </c>
      <c r="R103" s="242" t="str">
        <f ca="1">IF(AM103,Variante_C!$M$157,"")</f>
        <v/>
      </c>
      <c r="V103" s="293" t="s">
        <v>941</v>
      </c>
      <c r="W103" s="242" t="str">
        <f ca="1">IF(AR103,Variante_D!$M$157,"")</f>
        <v/>
      </c>
      <c r="AC103" s="510" t="b">
        <f ca="1">(AC6&lt;&gt;0)</f>
        <v>0</v>
      </c>
      <c r="AD103" s="510" t="b">
        <f ca="1">AC103</f>
        <v>0</v>
      </c>
      <c r="AE103" s="522"/>
      <c r="AH103" s="510" t="b">
        <f ca="1">(AH6&lt;&gt;0)</f>
        <v>0</v>
      </c>
      <c r="AI103" s="510" t="b">
        <f ca="1">AH103</f>
        <v>0</v>
      </c>
      <c r="AM103" s="510" t="b">
        <f ca="1">(AM6&lt;&gt;0)</f>
        <v>0</v>
      </c>
      <c r="AN103" s="510" t="b">
        <f ca="1">AM103</f>
        <v>0</v>
      </c>
      <c r="AR103" s="510" t="b">
        <f ca="1">(AR6&lt;&gt;0)</f>
        <v>0</v>
      </c>
      <c r="AS103" s="510" t="b">
        <f ca="1">AR103</f>
        <v>0</v>
      </c>
    </row>
    <row r="104" spans="2:45" ht="14.25">
      <c r="B104" s="267"/>
      <c r="C104" s="348" t="str">
        <f ca="1">Sprache!$E$355&amp;":"</f>
        <v>Investitionskosten (inkl. Honorar):</v>
      </c>
      <c r="D104" s="267"/>
      <c r="E104" s="35"/>
      <c r="G104" s="256"/>
      <c r="H104" s="242" t="str">
        <f ca="1">IF(AC103,H102+H103,"")</f>
        <v/>
      </c>
      <c r="K104" s="257"/>
      <c r="L104" s="256"/>
      <c r="M104" s="242" t="str">
        <f ca="1">IF(AH103,M102+M103,"")</f>
        <v/>
      </c>
      <c r="P104" s="257"/>
      <c r="Q104" s="256"/>
      <c r="R104" s="242" t="str">
        <f ca="1">IF(AM103,R102+R103,"")</f>
        <v/>
      </c>
      <c r="V104" s="256"/>
      <c r="W104" s="242" t="str">
        <f ca="1">IF(AR103,W102+W103,"")</f>
        <v/>
      </c>
    </row>
    <row r="105" spans="2:45" ht="14.25">
      <c r="B105" s="267"/>
      <c r="C105" s="348" t="str">
        <f ca="1">Sprache!$E$264&amp;":"</f>
        <v>Subventionen:</v>
      </c>
      <c r="D105" s="267"/>
      <c r="E105" s="35"/>
      <c r="G105" s="256"/>
      <c r="H105" s="242" t="str">
        <f ca="1">IF(AC103,F96+F65+H65+F15,"")</f>
        <v/>
      </c>
      <c r="K105" s="257"/>
      <c r="L105" s="256"/>
      <c r="M105" s="242" t="str">
        <f ca="1">IF(AH103,K96+K65+M65+K15,"")</f>
        <v/>
      </c>
      <c r="P105" s="257"/>
      <c r="Q105" s="256"/>
      <c r="R105" s="242" t="str">
        <f ca="1">IF(AM103,P96+P65+R65+P15,"")</f>
        <v/>
      </c>
      <c r="V105" s="256"/>
      <c r="W105" s="242" t="str">
        <f ca="1">IF(AR103,U96+U65+W65+U15,"")</f>
        <v/>
      </c>
    </row>
    <row r="106" spans="2:45" ht="14.25">
      <c r="B106" s="267"/>
      <c r="C106" s="348" t="str">
        <f ca="1">Sprache!$E$352&amp;":"</f>
        <v>Investitionskosten (abzüglich  Subventionen):</v>
      </c>
      <c r="D106" s="267"/>
      <c r="E106" s="35"/>
      <c r="G106" s="256"/>
      <c r="H106" s="242" t="str">
        <f ca="1">IF(AC103,H104-H105,"")</f>
        <v/>
      </c>
      <c r="K106" s="257"/>
      <c r="L106" s="256"/>
      <c r="M106" s="242" t="str">
        <f ca="1">IF(AH103,M104-M105,"")</f>
        <v/>
      </c>
      <c r="P106" s="257"/>
      <c r="Q106" s="256"/>
      <c r="R106" s="242" t="str">
        <f ca="1">IF(AM103,R104-R105,"")</f>
        <v/>
      </c>
      <c r="V106" s="256"/>
      <c r="W106" s="242" t="str">
        <f ca="1">IF(AR103,W104-W105,"")</f>
        <v/>
      </c>
    </row>
    <row r="107" spans="2:45" ht="8.4499999999999993" customHeight="1">
      <c r="B107" s="267"/>
      <c r="C107" s="168"/>
      <c r="G107" s="256"/>
      <c r="H107" s="242"/>
      <c r="L107" s="256"/>
      <c r="M107" s="242"/>
      <c r="Q107" s="256"/>
      <c r="R107" s="242"/>
      <c r="V107" s="256"/>
      <c r="W107" s="242"/>
    </row>
    <row r="108" spans="2:45" ht="14.25">
      <c r="C108" s="348" t="str">
        <f ca="1">Sprache!$E$336&amp;":"</f>
        <v>Mehrwertsteuer (MwSt.):</v>
      </c>
      <c r="D108" s="267"/>
      <c r="E108" s="35" t="s">
        <v>1222</v>
      </c>
      <c r="G108" s="309">
        <f>Projektdaten!$E$62</f>
        <v>8.1000000000000003E-2</v>
      </c>
      <c r="H108" s="242" t="str">
        <f ca="1">IF(AC108,Variante_A!$AH$33+Variante_A!$AK$33,"")</f>
        <v/>
      </c>
      <c r="K108" s="314"/>
      <c r="L108" s="309">
        <f>Projektdaten!$E$62</f>
        <v>8.1000000000000003E-2</v>
      </c>
      <c r="M108" s="242" t="str">
        <f ca="1">IF(AH108,Variante_B!$AH$33+Variante_B!$AK$33,"")</f>
        <v/>
      </c>
      <c r="Q108" s="309">
        <f>Projektdaten!$E$62</f>
        <v>8.1000000000000003E-2</v>
      </c>
      <c r="R108" s="242" t="str">
        <f ca="1">IF(AM108,Variante_C!$AH$33+Variante_C!$AK$33,"")</f>
        <v/>
      </c>
      <c r="V108" s="309">
        <f>Projektdaten!$E$62</f>
        <v>8.1000000000000003E-2</v>
      </c>
      <c r="W108" s="242" t="str">
        <f ca="1">IF(AR108,Variante_D!$AH$33+Variante_D!$AK$33,"")</f>
        <v/>
      </c>
      <c r="AC108" s="510" t="b">
        <f ca="1">(AC6&lt;&gt;0)</f>
        <v>0</v>
      </c>
      <c r="AD108" s="510" t="b">
        <f ca="1">AC108</f>
        <v>0</v>
      </c>
      <c r="AH108" s="510" t="b">
        <f ca="1">(AH6&lt;&gt;0)</f>
        <v>0</v>
      </c>
      <c r="AI108" s="510" t="b">
        <f ca="1">AH108</f>
        <v>0</v>
      </c>
      <c r="AM108" s="510" t="b">
        <f ca="1">(AM6&lt;&gt;0)</f>
        <v>0</v>
      </c>
      <c r="AN108" s="510" t="b">
        <f ca="1">AM108</f>
        <v>0</v>
      </c>
      <c r="AR108" s="510" t="b">
        <f ca="1">(AR6&lt;&gt;0)</f>
        <v>0</v>
      </c>
      <c r="AS108" s="510" t="b">
        <f ca="1">AR108</f>
        <v>0</v>
      </c>
    </row>
    <row r="109" spans="2:45">
      <c r="C109" s="129" t="str">
        <f ca="1">Sprache!$E$356&amp;":"</f>
        <v>Investitionskosten (inkl. MwSt.):</v>
      </c>
      <c r="G109" s="256"/>
      <c r="H109" s="242" t="str">
        <f ca="1">IF(AC108,H106+H108,"")</f>
        <v/>
      </c>
      <c r="L109" s="256"/>
      <c r="M109" s="242" t="str">
        <f ca="1">IF(AH108,M106+M108,"")</f>
        <v/>
      </c>
      <c r="Q109" s="256"/>
      <c r="R109" s="242" t="str">
        <f ca="1">IF(AM108,R106+R108,"")</f>
        <v/>
      </c>
      <c r="V109" s="256"/>
      <c r="W109" s="242" t="str">
        <f ca="1">IF(AR108,W106+W108,"")</f>
        <v/>
      </c>
    </row>
  </sheetData>
  <sheetProtection algorithmName="SHA-512" hashValue="f+AEbKnrjPScdyl1WSHKIU0kuHQWvRbpzaFgTagfavNRpQfdupePUOuWK6VzPb+VYs2i6xxdbz/yn6Q3kjsCIQ==" saltValue="JQzvmURNf3O5LGnSPsqNeA==" spinCount="100000" sheet="1" objects="1" scenarios="1"/>
  <mergeCells count="64">
    <mergeCell ref="F2:I2"/>
    <mergeCell ref="K2:N2"/>
    <mergeCell ref="P2:S2"/>
    <mergeCell ref="U2:X2"/>
    <mergeCell ref="F3:I3"/>
    <mergeCell ref="K3:N3"/>
    <mergeCell ref="P3:S3"/>
    <mergeCell ref="K6:L6"/>
    <mergeCell ref="M6:N6"/>
    <mergeCell ref="P6:Q6"/>
    <mergeCell ref="K24:L24"/>
    <mergeCell ref="M24:N24"/>
    <mergeCell ref="P24:Q24"/>
    <mergeCell ref="K7:L7"/>
    <mergeCell ref="M7:N7"/>
    <mergeCell ref="K10:L10"/>
    <mergeCell ref="K15:L15"/>
    <mergeCell ref="R6:S6"/>
    <mergeCell ref="F7:G7"/>
    <mergeCell ref="U3:X3"/>
    <mergeCell ref="U24:V24"/>
    <mergeCell ref="W24:X24"/>
    <mergeCell ref="W4:X4"/>
    <mergeCell ref="F4:G4"/>
    <mergeCell ref="H4:I4"/>
    <mergeCell ref="K4:L4"/>
    <mergeCell ref="M4:N4"/>
    <mergeCell ref="F24:G24"/>
    <mergeCell ref="P4:Q4"/>
    <mergeCell ref="R4:S4"/>
    <mergeCell ref="U4:V4"/>
    <mergeCell ref="F6:G6"/>
    <mergeCell ref="H6:I6"/>
    <mergeCell ref="W65:X65"/>
    <mergeCell ref="U6:V6"/>
    <mergeCell ref="W6:X6"/>
    <mergeCell ref="U7:V7"/>
    <mergeCell ref="W7:X7"/>
    <mergeCell ref="U10:V10"/>
    <mergeCell ref="U15:V15"/>
    <mergeCell ref="H24:I24"/>
    <mergeCell ref="P7:Q7"/>
    <mergeCell ref="R7:S7"/>
    <mergeCell ref="P10:Q10"/>
    <mergeCell ref="F96:G96"/>
    <mergeCell ref="F65:G65"/>
    <mergeCell ref="H65:I65"/>
    <mergeCell ref="K65:L65"/>
    <mergeCell ref="M65:N65"/>
    <mergeCell ref="K96:L96"/>
    <mergeCell ref="F88:G88"/>
    <mergeCell ref="K88:L88"/>
    <mergeCell ref="R24:S24"/>
    <mergeCell ref="F10:G10"/>
    <mergeCell ref="F15:G15"/>
    <mergeCell ref="H7:I7"/>
    <mergeCell ref="P88:Q88"/>
    <mergeCell ref="P96:Q96"/>
    <mergeCell ref="U88:V88"/>
    <mergeCell ref="U96:V96"/>
    <mergeCell ref="P15:Q15"/>
    <mergeCell ref="R65:S65"/>
    <mergeCell ref="P65:Q65"/>
    <mergeCell ref="U65:V65"/>
  </mergeCells>
  <conditionalFormatting sqref="F11">
    <cfRule type="expression" dxfId="109" priority="521">
      <formula>AC12</formula>
    </cfRule>
  </conditionalFormatting>
  <conditionalFormatting sqref="F12">
    <cfRule type="expression" dxfId="108" priority="520">
      <formula>AC12</formula>
    </cfRule>
  </conditionalFormatting>
  <conditionalFormatting sqref="F13:F14">
    <cfRule type="expression" dxfId="107" priority="518">
      <formula>AC13</formula>
    </cfRule>
  </conditionalFormatting>
  <conditionalFormatting sqref="F19">
    <cfRule type="expression" dxfId="106" priority="516">
      <formula>AC19</formula>
    </cfRule>
  </conditionalFormatting>
  <conditionalFormatting sqref="F21:F22">
    <cfRule type="expression" dxfId="105" priority="514">
      <formula>AC21</formula>
    </cfRule>
  </conditionalFormatting>
  <conditionalFormatting sqref="F25">
    <cfRule type="expression" dxfId="104" priority="343">
      <formula>"AC4=0"</formula>
    </cfRule>
  </conditionalFormatting>
  <conditionalFormatting sqref="F25:F27">
    <cfRule type="expression" dxfId="103" priority="529">
      <formula>AC25</formula>
    </cfRule>
  </conditionalFormatting>
  <conditionalFormatting sqref="F28">
    <cfRule type="expression" dxfId="102" priority="528">
      <formula>$AC$28</formula>
    </cfRule>
  </conditionalFormatting>
  <conditionalFormatting sqref="F29">
    <cfRule type="expression" dxfId="101" priority="512">
      <formula>AC29</formula>
    </cfRule>
  </conditionalFormatting>
  <conditionalFormatting sqref="F31:F52">
    <cfRule type="expression" dxfId="100" priority="497">
      <formula>AC31</formula>
    </cfRule>
  </conditionalFormatting>
  <conditionalFormatting sqref="F54">
    <cfRule type="expression" dxfId="99" priority="172">
      <formula>AC54</formula>
    </cfRule>
  </conditionalFormatting>
  <conditionalFormatting sqref="F57:F63">
    <cfRule type="expression" dxfId="98" priority="368">
      <formula>AC57</formula>
    </cfRule>
  </conditionalFormatting>
  <conditionalFormatting sqref="F71:F82">
    <cfRule type="expression" dxfId="97" priority="504">
      <formula>$AC$71</formula>
    </cfRule>
  </conditionalFormatting>
  <conditionalFormatting sqref="F89 F92 F95 F96:G96">
    <cfRule type="expression" dxfId="96" priority="506">
      <formula>$AC$89</formula>
    </cfRule>
  </conditionalFormatting>
  <conditionalFormatting sqref="F90:F91 F98">
    <cfRule type="expression" dxfId="95" priority="505">
      <formula>$AC$89</formula>
    </cfRule>
  </conditionalFormatting>
  <conditionalFormatting sqref="F93:F94">
    <cfRule type="expression" dxfId="94" priority="5">
      <formula>$AC$89</formula>
    </cfRule>
  </conditionalFormatting>
  <conditionalFormatting sqref="F10:G10">
    <cfRule type="expression" dxfId="93" priority="522">
      <formula>AC10</formula>
    </cfRule>
  </conditionalFormatting>
  <conditionalFormatting sqref="F15:G15">
    <cfRule type="expression" dxfId="92" priority="517">
      <formula>AC15</formula>
    </cfRule>
  </conditionalFormatting>
  <conditionalFormatting sqref="F88:G88">
    <cfRule type="expression" dxfId="91" priority="507">
      <formula>AC88</formula>
    </cfRule>
  </conditionalFormatting>
  <conditionalFormatting sqref="F4:I4">
    <cfRule type="expression" dxfId="90" priority="382">
      <formula>AC4=1</formula>
    </cfRule>
    <cfRule type="expression" dxfId="89" priority="342">
      <formula>AC4=0</formula>
    </cfRule>
  </conditionalFormatting>
  <conditionalFormatting sqref="F65:I65">
    <cfRule type="expression" dxfId="88" priority="498">
      <formula>AC65</formula>
    </cfRule>
  </conditionalFormatting>
  <conditionalFormatting sqref="G103">
    <cfRule type="expression" dxfId="87" priority="532">
      <formula>AC103</formula>
    </cfRule>
  </conditionalFormatting>
  <conditionalFormatting sqref="H25">
    <cfRule type="expression" dxfId="86" priority="513">
      <formula>AE25</formula>
    </cfRule>
  </conditionalFormatting>
  <conditionalFormatting sqref="H28:H29">
    <cfRule type="expression" dxfId="85" priority="511">
      <formula>AE28</formula>
    </cfRule>
  </conditionalFormatting>
  <conditionalFormatting sqref="H31:H52">
    <cfRule type="expression" dxfId="84" priority="478">
      <formula>AE31</formula>
    </cfRule>
  </conditionalFormatting>
  <conditionalFormatting sqref="H54">
    <cfRule type="expression" dxfId="83" priority="63">
      <formula>AE54</formula>
    </cfRule>
  </conditionalFormatting>
  <conditionalFormatting sqref="H57:H63">
    <cfRule type="expression" dxfId="82" priority="330">
      <formula>AE57</formula>
    </cfRule>
  </conditionalFormatting>
  <conditionalFormatting sqref="H7:I7">
    <cfRule type="expression" dxfId="81" priority="523">
      <formula>AE7</formula>
    </cfRule>
  </conditionalFormatting>
  <conditionalFormatting sqref="K11">
    <cfRule type="expression" dxfId="80" priority="457">
      <formula>AH12</formula>
    </cfRule>
  </conditionalFormatting>
  <conditionalFormatting sqref="K12">
    <cfRule type="expression" dxfId="79" priority="456">
      <formula>AH12</formula>
    </cfRule>
  </conditionalFormatting>
  <conditionalFormatting sqref="K13:K14">
    <cfRule type="expression" dxfId="78" priority="69">
      <formula>AH13</formula>
    </cfRule>
  </conditionalFormatting>
  <conditionalFormatting sqref="K19">
    <cfRule type="expression" dxfId="77" priority="66">
      <formula>AH19</formula>
    </cfRule>
  </conditionalFormatting>
  <conditionalFormatting sqref="K21:K22">
    <cfRule type="expression" dxfId="76" priority="450">
      <formula>AH21</formula>
    </cfRule>
  </conditionalFormatting>
  <conditionalFormatting sqref="K25:K29">
    <cfRule type="expression" dxfId="75" priority="435">
      <formula>AH25</formula>
    </cfRule>
  </conditionalFormatting>
  <conditionalFormatting sqref="K31:K52">
    <cfRule type="expression" dxfId="74" priority="56">
      <formula>AH31</formula>
    </cfRule>
  </conditionalFormatting>
  <conditionalFormatting sqref="K54">
    <cfRule type="expression" dxfId="73" priority="62">
      <formula>AH54</formula>
    </cfRule>
  </conditionalFormatting>
  <conditionalFormatting sqref="K57:K63">
    <cfRule type="expression" dxfId="72" priority="44">
      <formula>AH57</formula>
    </cfRule>
  </conditionalFormatting>
  <conditionalFormatting sqref="K71:K82">
    <cfRule type="expression" dxfId="71" priority="16">
      <formula>$AC$71</formula>
    </cfRule>
  </conditionalFormatting>
  <conditionalFormatting sqref="K89 K92 K95 K96:L96">
    <cfRule type="expression" dxfId="70" priority="388">
      <formula>$AH$89</formula>
    </cfRule>
  </conditionalFormatting>
  <conditionalFormatting sqref="K90:K91">
    <cfRule type="expression" dxfId="69" priority="10">
      <formula>$AH$89</formula>
    </cfRule>
  </conditionalFormatting>
  <conditionalFormatting sqref="K93:K94">
    <cfRule type="expression" dxfId="68" priority="6">
      <formula>$AH$89</formula>
    </cfRule>
  </conditionalFormatting>
  <conditionalFormatting sqref="K98">
    <cfRule type="expression" dxfId="67" priority="1">
      <formula>$AH$89</formula>
    </cfRule>
  </conditionalFormatting>
  <conditionalFormatting sqref="K10:L10">
    <cfRule type="expression" dxfId="66" priority="72">
      <formula>AH10</formula>
    </cfRule>
  </conditionalFormatting>
  <conditionalFormatting sqref="K15:L15">
    <cfRule type="expression" dxfId="65" priority="453">
      <formula>AH15</formula>
    </cfRule>
  </conditionalFormatting>
  <conditionalFormatting sqref="K88:L88">
    <cfRule type="expression" dxfId="64" priority="13">
      <formula>AH88</formula>
    </cfRule>
  </conditionalFormatting>
  <conditionalFormatting sqref="K4:N4">
    <cfRule type="expression" dxfId="63" priority="186">
      <formula>AH4=1</formula>
    </cfRule>
    <cfRule type="expression" dxfId="62" priority="185">
      <formula>AH4=0</formula>
    </cfRule>
  </conditionalFormatting>
  <conditionalFormatting sqref="K65:N65">
    <cfRule type="expression" dxfId="61" priority="384">
      <formula>AH65</formula>
    </cfRule>
  </conditionalFormatting>
  <conditionalFormatting sqref="L103">
    <cfRule type="expression" dxfId="60" priority="383">
      <formula>AH103</formula>
    </cfRule>
  </conditionalFormatting>
  <conditionalFormatting sqref="M25">
    <cfRule type="expression" dxfId="59" priority="436">
      <formula>AJ25</formula>
    </cfRule>
  </conditionalFormatting>
  <conditionalFormatting sqref="M28:M29">
    <cfRule type="expression" dxfId="58" priority="434">
      <formula>AJ28</formula>
    </cfRule>
  </conditionalFormatting>
  <conditionalFormatting sqref="M31:M52">
    <cfRule type="expression" dxfId="57" priority="53">
      <formula>AJ31</formula>
    </cfRule>
  </conditionalFormatting>
  <conditionalFormatting sqref="M54">
    <cfRule type="expression" dxfId="56" priority="59">
      <formula>AJ54</formula>
    </cfRule>
  </conditionalFormatting>
  <conditionalFormatting sqref="M57:M63">
    <cfRule type="expression" dxfId="55" priority="21">
      <formula>AJ57</formula>
    </cfRule>
  </conditionalFormatting>
  <conditionalFormatting sqref="M7:N7">
    <cfRule type="expression" dxfId="54" priority="459">
      <formula>AJ7</formula>
    </cfRule>
  </conditionalFormatting>
  <conditionalFormatting sqref="P11">
    <cfRule type="expression" dxfId="53" priority="325">
      <formula>AM12</formula>
    </cfRule>
  </conditionalFormatting>
  <conditionalFormatting sqref="P12">
    <cfRule type="expression" dxfId="52" priority="324">
      <formula>AM12</formula>
    </cfRule>
  </conditionalFormatting>
  <conditionalFormatting sqref="P13:P14">
    <cfRule type="expression" dxfId="51" priority="68">
      <formula>AM13</formula>
    </cfRule>
  </conditionalFormatting>
  <conditionalFormatting sqref="P19">
    <cfRule type="expression" dxfId="50" priority="65">
      <formula>AM19</formula>
    </cfRule>
  </conditionalFormatting>
  <conditionalFormatting sqref="P21:P22">
    <cfRule type="expression" dxfId="49" priority="318">
      <formula>AM21</formula>
    </cfRule>
  </conditionalFormatting>
  <conditionalFormatting sqref="P25:P29">
    <cfRule type="expression" dxfId="48" priority="286">
      <formula>AM25</formula>
    </cfRule>
  </conditionalFormatting>
  <conditionalFormatting sqref="P31:P52">
    <cfRule type="expression" dxfId="47" priority="55">
      <formula>AM31</formula>
    </cfRule>
  </conditionalFormatting>
  <conditionalFormatting sqref="P54">
    <cfRule type="expression" dxfId="46" priority="61">
      <formula>AM54</formula>
    </cfRule>
  </conditionalFormatting>
  <conditionalFormatting sqref="P57:P63">
    <cfRule type="expression" dxfId="45" priority="37">
      <formula>AM57</formula>
    </cfRule>
  </conditionalFormatting>
  <conditionalFormatting sqref="P71:P82">
    <cfRule type="expression" dxfId="44" priority="15">
      <formula>$AC$71</formula>
    </cfRule>
  </conditionalFormatting>
  <conditionalFormatting sqref="P89 P92 P95 P96:Q96">
    <cfRule type="expression" dxfId="43" priority="176">
      <formula>$AM$89</formula>
    </cfRule>
  </conditionalFormatting>
  <conditionalFormatting sqref="P90:P91">
    <cfRule type="expression" dxfId="42" priority="9">
      <formula>$AM$89</formula>
    </cfRule>
  </conditionalFormatting>
  <conditionalFormatting sqref="P93:P94">
    <cfRule type="expression" dxfId="41" priority="7">
      <formula>$AM$89</formula>
    </cfRule>
  </conditionalFormatting>
  <conditionalFormatting sqref="P98">
    <cfRule type="expression" dxfId="40" priority="3">
      <formula>$AM$89</formula>
    </cfRule>
  </conditionalFormatting>
  <conditionalFormatting sqref="P10:Q10">
    <cfRule type="expression" dxfId="39" priority="71">
      <formula>AM10</formula>
    </cfRule>
  </conditionalFormatting>
  <conditionalFormatting sqref="P15:Q15">
    <cfRule type="expression" dxfId="38" priority="321">
      <formula>AM15</formula>
    </cfRule>
  </conditionalFormatting>
  <conditionalFormatting sqref="P88:Q88">
    <cfRule type="expression" dxfId="37" priority="12">
      <formula>AM88</formula>
    </cfRule>
  </conditionalFormatting>
  <conditionalFormatting sqref="P4:S4">
    <cfRule type="expression" dxfId="36" priority="181">
      <formula>AM4=0</formula>
    </cfRule>
    <cfRule type="expression" dxfId="35" priority="182">
      <formula>AM4=1</formula>
    </cfRule>
  </conditionalFormatting>
  <conditionalFormatting sqref="P65:S65">
    <cfRule type="expression" dxfId="34" priority="205">
      <formula>AM65</formula>
    </cfRule>
  </conditionalFormatting>
  <conditionalFormatting sqref="Q103">
    <cfRule type="expression" dxfId="33" priority="294">
      <formula>AM103</formula>
    </cfRule>
  </conditionalFormatting>
  <conditionalFormatting sqref="R25">
    <cfRule type="expression" dxfId="32" priority="287">
      <formula>AO25</formula>
    </cfRule>
  </conditionalFormatting>
  <conditionalFormatting sqref="R28:R29">
    <cfRule type="expression" dxfId="31" priority="285">
      <formula>AO28</formula>
    </cfRule>
  </conditionalFormatting>
  <conditionalFormatting sqref="R31:R52">
    <cfRule type="expression" dxfId="30" priority="52">
      <formula>AO31</formula>
    </cfRule>
  </conditionalFormatting>
  <conditionalFormatting sqref="R54">
    <cfRule type="expression" dxfId="29" priority="57">
      <formula>AO54</formula>
    </cfRule>
  </conditionalFormatting>
  <conditionalFormatting sqref="R57:R63">
    <cfRule type="expression" dxfId="28" priority="19">
      <formula>AO57</formula>
    </cfRule>
  </conditionalFormatting>
  <conditionalFormatting sqref="R7:S7">
    <cfRule type="expression" dxfId="27" priority="328">
      <formula>AO7</formula>
    </cfRule>
  </conditionalFormatting>
  <conditionalFormatting sqref="U11">
    <cfRule type="expression" dxfId="26" priority="316">
      <formula>AR12</formula>
    </cfRule>
  </conditionalFormatting>
  <conditionalFormatting sqref="U12">
    <cfRule type="expression" dxfId="25" priority="315">
      <formula>AR12</formula>
    </cfRule>
  </conditionalFormatting>
  <conditionalFormatting sqref="U13:U14">
    <cfRule type="expression" dxfId="24" priority="67">
      <formula>AR13</formula>
    </cfRule>
  </conditionalFormatting>
  <conditionalFormatting sqref="U19">
    <cfRule type="expression" dxfId="23" priority="64">
      <formula>AR19</formula>
    </cfRule>
  </conditionalFormatting>
  <conditionalFormatting sqref="U21:U22">
    <cfRule type="expression" dxfId="22" priority="309">
      <formula>AR21</formula>
    </cfRule>
  </conditionalFormatting>
  <conditionalFormatting sqref="U25:U29">
    <cfRule type="expression" dxfId="21" priority="278">
      <formula>AR25</formula>
    </cfRule>
  </conditionalFormatting>
  <conditionalFormatting sqref="U31:U52">
    <cfRule type="expression" dxfId="20" priority="54">
      <formula>AR31</formula>
    </cfRule>
  </conditionalFormatting>
  <conditionalFormatting sqref="U54">
    <cfRule type="expression" dxfId="19" priority="60">
      <formula>AR54</formula>
    </cfRule>
  </conditionalFormatting>
  <conditionalFormatting sqref="U57:U63">
    <cfRule type="expression" dxfId="18" priority="23">
      <formula>AR57</formula>
    </cfRule>
  </conditionalFormatting>
  <conditionalFormatting sqref="U71:U82">
    <cfRule type="expression" dxfId="17" priority="14">
      <formula>$AC$71</formula>
    </cfRule>
  </conditionalFormatting>
  <conditionalFormatting sqref="U89 U92 U95 U96:V96">
    <cfRule type="expression" dxfId="16" priority="174">
      <formula>$AR$89</formula>
    </cfRule>
  </conditionalFormatting>
  <conditionalFormatting sqref="U90:U91">
    <cfRule type="expression" dxfId="15" priority="8">
      <formula>$AR$89</formula>
    </cfRule>
  </conditionalFormatting>
  <conditionalFormatting sqref="U93:U94">
    <cfRule type="expression" dxfId="14" priority="169">
      <formula>$AR$89</formula>
    </cfRule>
  </conditionalFormatting>
  <conditionalFormatting sqref="U98">
    <cfRule type="expression" dxfId="13" priority="2">
      <formula>$AR$89</formula>
    </cfRule>
  </conditionalFormatting>
  <conditionalFormatting sqref="U10:V10">
    <cfRule type="expression" dxfId="12" priority="70">
      <formula>AR10</formula>
    </cfRule>
  </conditionalFormatting>
  <conditionalFormatting sqref="U15:V15">
    <cfRule type="expression" dxfId="11" priority="312">
      <formula>AR15</formula>
    </cfRule>
  </conditionalFormatting>
  <conditionalFormatting sqref="U88:V88">
    <cfRule type="expression" dxfId="10" priority="11">
      <formula>AR88</formula>
    </cfRule>
  </conditionalFormatting>
  <conditionalFormatting sqref="U4:X4">
    <cfRule type="expression" dxfId="9" priority="178">
      <formula>AR4=1</formula>
    </cfRule>
    <cfRule type="expression" dxfId="8" priority="177">
      <formula>AR4=0</formula>
    </cfRule>
  </conditionalFormatting>
  <conditionalFormatting sqref="U65:X65">
    <cfRule type="expression" dxfId="7" priority="203">
      <formula>AR65</formula>
    </cfRule>
  </conditionalFormatting>
  <conditionalFormatting sqref="V103">
    <cfRule type="expression" dxfId="6" priority="293">
      <formula>AR103</formula>
    </cfRule>
  </conditionalFormatting>
  <conditionalFormatting sqref="W25">
    <cfRule type="expression" dxfId="5" priority="279">
      <formula>AT25</formula>
    </cfRule>
  </conditionalFormatting>
  <conditionalFormatting sqref="W28:W29">
    <cfRule type="expression" dxfId="4" priority="277">
      <formula>AT28</formula>
    </cfRule>
  </conditionalFormatting>
  <conditionalFormatting sqref="W31:W52">
    <cfRule type="expression" dxfId="3" priority="51">
      <formula>AT31</formula>
    </cfRule>
  </conditionalFormatting>
  <conditionalFormatting sqref="W54">
    <cfRule type="expression" dxfId="2" priority="58">
      <formula>AT54</formula>
    </cfRule>
  </conditionalFormatting>
  <conditionalFormatting sqref="W57:W63">
    <cfRule type="expression" dxfId="1" priority="17">
      <formula>AT57</formula>
    </cfRule>
  </conditionalFormatting>
  <conditionalFormatting sqref="W7:X7">
    <cfRule type="expression" dxfId="0" priority="327">
      <formula>AT7</formula>
    </cfRule>
  </conditionalFormatting>
  <dataValidations count="4">
    <dataValidation allowBlank="1" showInputMessage="1" showErrorMessage="1" sqref="E89 E92 K8:N8" xr:uid="{89E72648-4B24-48B4-A2F8-5DB1FA205917}"/>
    <dataValidation type="list" allowBlank="1" showInputMessage="1" showErrorMessage="1" sqref="F57:F63 G103:G106 F31:F52 U31:U52 F54 M54 F98 F19 K19 K54 H54 W31:W52 H57:H63 W57:W63 K98 L103:L106 F71:F82 P71:P82 H31:H52 P57:P63 P19 U19 P98 U98 Q103:Q106 V103:V106 M31:M52 R54 P54 K31:K52 R31:R52 W54 U54 P31:P52 U71:U82 M57:M63 K57:K63 R57:R63 K71:K82 U57:U63" xr:uid="{DE0FB56C-E7B2-4223-930D-46B47959AAFC}">
      <formula1>Kostenstufen</formula1>
    </dataValidation>
    <dataValidation type="list" allowBlank="1" showInputMessage="1" showErrorMessage="1" sqref="F7:I7 K7:N7 P7:S7 U7:X7" xr:uid="{D835C9CA-ABC9-418E-9530-69FFC45955FF}">
      <formula1>ArtWärmeerzeuger</formula1>
    </dataValidation>
    <dataValidation type="decimal" allowBlank="1" showInputMessage="1" showErrorMessage="1" sqref="H25:H29 M25:M29 F25:F29 K25:K29 R25:R29 P25:P29 W25:W29 U25:U29" xr:uid="{A4131710-F4D6-4D81-9600-F7D6245B1D82}">
      <formula1>0</formula1>
      <formula2>1</formula2>
    </dataValidation>
  </dataValidations>
  <pageMargins left="0.70866141732283472" right="0.70866141732283472" top="1.1811023622047245" bottom="0.78740157480314965" header="0.31496062992125984" footer="0.31496062992125984"/>
  <pageSetup paperSize="9" scale="37" fitToHeight="0" orientation="landscape" horizontalDpi="1200" verticalDpi="1200" r:id="rId1"/>
  <headerFooter>
    <oddHeader>&amp;R&amp;G</oddHeader>
    <oddFooter>&amp;C&amp;D&amp;R&amp;P/&amp;N</oddFooter>
  </headerFooter>
  <rowBreaks count="1" manualBreakCount="1">
    <brk id="68" max="24"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4CA02E85-DCCC-496A-966C-2F6C2104DB11}">
          <x14:formula1>
            <xm:f>Auswahllisten!$E$83:$E$87</xm:f>
          </x14:formula1>
          <xm:sqref>F90 U90 P90 K93 K90 U13 P13 K13 F13 P93 U93 F93</xm:sqref>
        </x14:dataValidation>
        <x14:dataValidation type="list" allowBlank="1" showInputMessage="1" showErrorMessage="1" xr:uid="{9B162E93-859C-4459-A342-6E3FE9C5F305}">
          <x14:formula1>
            <xm:f>Auswahllisten!$E$89:$E$91</xm:f>
          </x14:formula1>
          <xm:sqref>F91 U91 U94 P91 P94 U14 P14 K14 F14 K91 K94 F94</xm:sqref>
        </x14:dataValidation>
        <x14:dataValidation type="list" allowBlank="1" showInputMessage="1" showErrorMessage="1" xr:uid="{1344E111-D567-445A-8601-3AA32D14527E}">
          <x14:formula1>
            <xm:f>Auswahllisten!$E$105:$E$107</xm:f>
          </x14:formula1>
          <xm:sqref>U10:V10 F10:G10 P10:Q10 K10:L10</xm:sqref>
        </x14:dataValidation>
        <x14:dataValidation type="list" allowBlank="1" showInputMessage="1" showErrorMessage="1" xr:uid="{23BD2939-A787-4635-8D38-3153C1EBA63F}">
          <x14:formula1>
            <xm:f>Auswahllisten!$E$94:$E$95</xm:f>
          </x14:formula1>
          <xm:sqref>F88:G88 U88:V88 P88:Q88 K88:L88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46277-A707-4CCF-BAF0-C81E4AD3A67C}">
  <sheetPr codeName="Tabelle12">
    <pageSetUpPr fitToPage="1"/>
  </sheetPr>
  <dimension ref="A1:AM121"/>
  <sheetViews>
    <sheetView zoomScale="80" zoomScaleNormal="80" zoomScalePageLayoutView="20" workbookViewId="0">
      <selection activeCell="G59" sqref="G59"/>
    </sheetView>
  </sheetViews>
  <sheetFormatPr baseColWidth="10" defaultColWidth="11.42578125" defaultRowHeight="12.75"/>
  <cols>
    <col min="1" max="1" width="9.85546875" style="1" customWidth="1"/>
    <col min="2" max="2" width="12.42578125" style="1" customWidth="1"/>
    <col min="3" max="3" width="20.85546875" style="1" customWidth="1"/>
    <col min="4" max="4" width="8.85546875" style="1" customWidth="1"/>
    <col min="5" max="5" width="8.85546875" style="35" customWidth="1"/>
    <col min="6" max="6" width="12.85546875" style="35" customWidth="1"/>
    <col min="7" max="14" width="22.7109375" style="1" customWidth="1"/>
    <col min="15" max="15" width="3.42578125" style="1" customWidth="1"/>
    <col min="16" max="16" width="4" style="1" customWidth="1"/>
    <col min="17" max="22" width="11.42578125" style="1"/>
    <col min="23" max="23" width="2.85546875" style="1" customWidth="1"/>
    <col min="24" max="24" width="33.7109375" style="1" customWidth="1"/>
    <col min="25" max="25" width="32.42578125" style="1" customWidth="1"/>
    <col min="26" max="26" width="32.140625" style="1" bestFit="1" customWidth="1"/>
    <col min="27" max="27" width="18.5703125" style="1" bestFit="1" customWidth="1"/>
    <col min="28" max="28" width="14" style="1" customWidth="1"/>
    <col min="29" max="29" width="12.140625" style="1" bestFit="1" customWidth="1"/>
    <col min="30" max="30" width="13.85546875" style="1" customWidth="1"/>
    <col min="31" max="31" width="12.5703125" style="1" customWidth="1"/>
    <col min="32" max="32" width="10.7109375" style="1" customWidth="1"/>
    <col min="33" max="33" width="10" style="1" bestFit="1" customWidth="1"/>
    <col min="34" max="34" width="7.42578125" style="1" bestFit="1" customWidth="1"/>
    <col min="35" max="35" width="5.140625" style="1" bestFit="1" customWidth="1"/>
    <col min="36" max="36" width="21" style="1" bestFit="1" customWidth="1"/>
    <col min="37" max="37" width="15.28515625" style="1" bestFit="1" customWidth="1"/>
    <col min="38" max="38" width="21.7109375" style="1" bestFit="1" customWidth="1"/>
    <col min="39" max="39" width="20.28515625" style="1" customWidth="1"/>
    <col min="40" max="16384" width="11.42578125" style="1"/>
  </cols>
  <sheetData>
    <row r="1" spans="2:39" s="64" customFormat="1" ht="18">
      <c r="B1" s="409" t="str">
        <f ca="1">Sprache!E461</f>
        <v>Resultate</v>
      </c>
      <c r="E1" s="82"/>
      <c r="F1" s="82"/>
    </row>
    <row r="2" spans="2:39" s="64" customFormat="1" ht="15.6" customHeight="1">
      <c r="Y2" s="82"/>
      <c r="Z2" s="82"/>
    </row>
    <row r="3" spans="2:39" s="64" customFormat="1" ht="15.6" customHeight="1">
      <c r="Y3" s="82"/>
      <c r="Z3" s="324" t="str">
        <f ca="1">Sprache!$E$111</f>
        <v>Umweltbelastungspunkte</v>
      </c>
      <c r="AA3" s="459" t="str">
        <f ca="1">AJ4</f>
        <v>Variante A</v>
      </c>
      <c r="AB3" s="459" t="str">
        <f t="shared" ref="AB3:AD3" ca="1" si="0">AK4</f>
        <v>Variante B</v>
      </c>
      <c r="AC3" s="459" t="str">
        <f t="shared" ca="1" si="0"/>
        <v>Variante C</v>
      </c>
      <c r="AD3" s="459" t="str">
        <f t="shared" ca="1" si="0"/>
        <v>Variante D</v>
      </c>
      <c r="AF3" s="459"/>
      <c r="AJ3" s="64" t="s">
        <v>1684</v>
      </c>
    </row>
    <row r="4" spans="2:39" s="64" customFormat="1" ht="15.6" customHeight="1">
      <c r="Y4" s="82"/>
      <c r="Z4" s="129" t="str">
        <f ca="1">Sprache!$E$340</f>
        <v>Wärmeerzeugung 1</v>
      </c>
      <c r="AA4" s="460">
        <f ca="1">G45+G52</f>
        <v>0</v>
      </c>
      <c r="AB4" s="461">
        <f ca="1">I45+I52</f>
        <v>0</v>
      </c>
      <c r="AC4" s="461">
        <f ca="1">K45+K52</f>
        <v>0</v>
      </c>
      <c r="AD4" s="461">
        <f ca="1">M45+M52</f>
        <v>0</v>
      </c>
      <c r="AJ4" s="64" t="str">
        <f ca="1">Vergleich!F3</f>
        <v>Variante A</v>
      </c>
      <c r="AK4" s="64" t="str">
        <f ca="1">Vergleich!K3</f>
        <v>Variante B</v>
      </c>
      <c r="AL4" s="147" t="str">
        <f ca="1">Vergleich!P3</f>
        <v>Variante C</v>
      </c>
      <c r="AM4" s="64" t="str">
        <f ca="1">Vergleich!U3</f>
        <v>Variante D</v>
      </c>
    </row>
    <row r="5" spans="2:39" s="64" customFormat="1" ht="15.6" customHeight="1">
      <c r="Y5" s="82"/>
      <c r="Z5" s="129" t="str">
        <f ca="1">Sprache!$E$341</f>
        <v>Wärmeerzeugung 2</v>
      </c>
      <c r="AA5" s="460">
        <f ca="1">H45+H52</f>
        <v>0</v>
      </c>
      <c r="AB5" s="461">
        <f ca="1">J45+J52</f>
        <v>0</v>
      </c>
      <c r="AC5" s="461">
        <f ca="1">L45+L52</f>
        <v>0</v>
      </c>
      <c r="AD5" s="461">
        <f ca="1">N45+N52</f>
        <v>0</v>
      </c>
    </row>
    <row r="6" spans="2:39" s="64" customFormat="1" ht="15.6" customHeight="1">
      <c r="Y6" s="82"/>
      <c r="Z6" s="82"/>
    </row>
    <row r="7" spans="2:39" s="64" customFormat="1" ht="15.6" customHeight="1">
      <c r="Y7" s="82"/>
      <c r="Z7" s="324" t="str">
        <f ca="1">Sprache!E427</f>
        <v>Treibhausgas-Emissionen (kg/m² EBF)</v>
      </c>
      <c r="AA7" s="459" t="str">
        <f ca="1">AJ4</f>
        <v>Variante A</v>
      </c>
      <c r="AC7" s="459" t="str">
        <f ca="1">AK4</f>
        <v>Variante B</v>
      </c>
      <c r="AE7" s="459" t="str">
        <f ca="1">AL4</f>
        <v>Variante C</v>
      </c>
      <c r="AF7" s="459"/>
      <c r="AG7" s="459" t="str">
        <f ca="1">AM4</f>
        <v>Variante D</v>
      </c>
      <c r="AH7" s="459"/>
    </row>
    <row r="8" spans="2:39" s="64" customFormat="1" ht="15.6" customHeight="1">
      <c r="Y8" s="82"/>
      <c r="Z8" s="82"/>
      <c r="AA8" s="82" t="s">
        <v>1167</v>
      </c>
      <c r="AB8" s="82" t="s">
        <v>1168</v>
      </c>
      <c r="AC8" s="82" t="s">
        <v>1167</v>
      </c>
      <c r="AD8" s="82" t="s">
        <v>1168</v>
      </c>
      <c r="AE8" s="82" t="s">
        <v>1167</v>
      </c>
      <c r="AF8" s="82" t="s">
        <v>1168</v>
      </c>
      <c r="AG8" s="82" t="s">
        <v>1167</v>
      </c>
      <c r="AH8" s="82" t="s">
        <v>1168</v>
      </c>
    </row>
    <row r="9" spans="2:39" s="64" customFormat="1" ht="15.6" customHeight="1">
      <c r="Y9" s="82"/>
      <c r="Z9" s="129" t="str">
        <f ca="1">Sprache!$E$340</f>
        <v>Wärmeerzeugung 1</v>
      </c>
      <c r="AA9" s="475" t="e">
        <f ca="1">(G46+G53)/Projektdaten!$E$23</f>
        <v>#DIV/0!</v>
      </c>
      <c r="AB9" s="475" t="e">
        <f ca="1">(G47+G54)/Projektdaten!$E$23</f>
        <v>#DIV/0!</v>
      </c>
      <c r="AC9" s="475" t="e">
        <f ca="1">(I46+I53)/Projektdaten!$E$23</f>
        <v>#DIV/0!</v>
      </c>
      <c r="AD9" s="475" t="e">
        <f ca="1">(I47+I54)/Projektdaten!$E$23</f>
        <v>#DIV/0!</v>
      </c>
      <c r="AE9" s="475" t="e">
        <f ca="1">(K46+K53)/Projektdaten!$E$23</f>
        <v>#DIV/0!</v>
      </c>
      <c r="AF9" s="475" t="e">
        <f ca="1">(K47+K54)/Projektdaten!$E$23</f>
        <v>#DIV/0!</v>
      </c>
      <c r="AG9" s="475" t="e">
        <f ca="1">(M46+M53)/Projektdaten!$E$23</f>
        <v>#DIV/0!</v>
      </c>
      <c r="AH9" s="475" t="e">
        <f ca="1">(M47+M54)/Projektdaten!$E$23</f>
        <v>#DIV/0!</v>
      </c>
    </row>
    <row r="10" spans="2:39" s="64" customFormat="1" ht="15.6" customHeight="1">
      <c r="Y10" s="82"/>
      <c r="Z10" s="129" t="str">
        <f ca="1">Sprache!$E$341</f>
        <v>Wärmeerzeugung 2</v>
      </c>
      <c r="AA10" s="475" t="e">
        <f ca="1">(H46+H53)/Projektdaten!$E$23</f>
        <v>#DIV/0!</v>
      </c>
      <c r="AB10" s="475" t="e">
        <f ca="1">(H47+H54)/Projektdaten!$E$23</f>
        <v>#DIV/0!</v>
      </c>
      <c r="AC10" s="475" t="e">
        <f ca="1">(J46+J53)/Projektdaten!$E$23</f>
        <v>#DIV/0!</v>
      </c>
      <c r="AD10" s="475" t="e">
        <f ca="1">(J47+J54)/Projektdaten!$E$23</f>
        <v>#DIV/0!</v>
      </c>
      <c r="AE10" s="475" t="e">
        <f ca="1">(L46+L53)/Projektdaten!$E$23</f>
        <v>#DIV/0!</v>
      </c>
      <c r="AF10" s="475" t="e">
        <f ca="1">(L47+L54)/Projektdaten!$E$23</f>
        <v>#DIV/0!</v>
      </c>
      <c r="AG10" s="475" t="e">
        <f ca="1">(N46+N53)/Projektdaten!$E$23</f>
        <v>#DIV/0!</v>
      </c>
      <c r="AH10" s="475" t="e">
        <f ca="1">(N47+N54)/Projektdaten!$E$23</f>
        <v>#DIV/0!</v>
      </c>
    </row>
    <row r="11" spans="2:39" s="64" customFormat="1" ht="15.6" customHeight="1">
      <c r="Y11" s="82"/>
      <c r="Z11" s="82"/>
    </row>
    <row r="12" spans="2:39" s="64" customFormat="1" ht="15.6" customHeight="1">
      <c r="Y12" s="82"/>
      <c r="Z12" s="324" t="str">
        <f ca="1">Sprache!E428</f>
        <v>Gestehungskosten in Fr./m² EBF</v>
      </c>
      <c r="AA12" s="459" t="str">
        <f ca="1">AJ4</f>
        <v>Variante A</v>
      </c>
      <c r="AB12" s="459" t="str">
        <f t="shared" ref="AB12:AD12" ca="1" si="1">AK4</f>
        <v>Variante B</v>
      </c>
      <c r="AC12" s="459" t="str">
        <f t="shared" ca="1" si="1"/>
        <v>Variante C</v>
      </c>
      <c r="AD12" s="459" t="str">
        <f t="shared" ca="1" si="1"/>
        <v>Variante D</v>
      </c>
    </row>
    <row r="13" spans="2:39" s="64" customFormat="1" ht="15.6" customHeight="1">
      <c r="Y13" s="82"/>
      <c r="Z13" s="82"/>
      <c r="AA13" s="462">
        <f ca="1">G68</f>
        <v>0</v>
      </c>
      <c r="AB13" s="462">
        <f ca="1">I68</f>
        <v>0</v>
      </c>
      <c r="AC13" s="462">
        <f ca="1">K68</f>
        <v>0</v>
      </c>
      <c r="AD13" s="462">
        <f ca="1">M68</f>
        <v>0</v>
      </c>
    </row>
    <row r="14" spans="2:39" s="64" customFormat="1" ht="15.6" customHeight="1">
      <c r="Y14" s="82"/>
      <c r="Z14" s="82"/>
    </row>
    <row r="15" spans="2:39" s="64" customFormat="1" ht="15.6" customHeight="1">
      <c r="Y15" s="82"/>
      <c r="Z15" s="222" t="str">
        <f ca="1">Sprache!E429</f>
        <v>Lebenszykluskosten in Fr.</v>
      </c>
      <c r="AA15" s="459" t="str">
        <f ca="1">Sprache!$E$395</f>
        <v>Variante A</v>
      </c>
      <c r="AB15" s="459" t="str">
        <f ca="1">Sprache!$E$396</f>
        <v>Variante B</v>
      </c>
      <c r="AC15" s="459" t="str">
        <f ca="1">Sprache!$E$397</f>
        <v>Variante C</v>
      </c>
      <c r="AD15" s="459" t="str">
        <f ca="1">Sprache!$E$398</f>
        <v>Variante D</v>
      </c>
    </row>
    <row r="16" spans="2:39" s="64" customFormat="1" ht="15.6" customHeight="1">
      <c r="C16" s="129"/>
      <c r="Y16" s="82"/>
      <c r="Z16" s="129" t="str">
        <f ca="1">Sprache!$E$113</f>
        <v>Investitionskosten</v>
      </c>
      <c r="AA16" s="463">
        <f ca="1">G117+H117</f>
        <v>0</v>
      </c>
      <c r="AB16" s="463">
        <f ca="1">I117+J117</f>
        <v>0</v>
      </c>
      <c r="AC16" s="463">
        <f ca="1">K117+L117</f>
        <v>0</v>
      </c>
      <c r="AD16" s="463">
        <f ca="1">M117+N117</f>
        <v>0</v>
      </c>
      <c r="AE16" s="464"/>
      <c r="AF16" s="464"/>
      <c r="AG16" s="464"/>
      <c r="AH16" s="464"/>
      <c r="AI16" s="464"/>
    </row>
    <row r="17" spans="3:35" s="64" customFormat="1" ht="15.6" customHeight="1">
      <c r="C17" s="129"/>
      <c r="Y17" s="82"/>
      <c r="Z17" s="129" t="str">
        <f ca="1">Sprache!$E$260</f>
        <v>Unterhaltskosten</v>
      </c>
      <c r="AA17" s="463">
        <f ca="1">G118+H118</f>
        <v>0</v>
      </c>
      <c r="AB17" s="463">
        <f ca="1">I118+J118</f>
        <v>0</v>
      </c>
      <c r="AC17" s="463">
        <f ca="1">K118+L118</f>
        <v>0</v>
      </c>
      <c r="AD17" s="463">
        <f ca="1">M118+N118</f>
        <v>0</v>
      </c>
      <c r="AE17" s="464"/>
      <c r="AF17" s="464"/>
      <c r="AG17" s="464"/>
      <c r="AH17" s="464"/>
      <c r="AI17" s="464"/>
    </row>
    <row r="18" spans="3:35" s="64" customFormat="1" ht="15.6" customHeight="1">
      <c r="C18" s="129"/>
      <c r="Y18" s="82"/>
      <c r="Z18" s="129" t="str">
        <f ca="1">Sprache!$E$123</f>
        <v>Energiekosten</v>
      </c>
      <c r="AA18" s="463">
        <f ca="1">G119+H119</f>
        <v>0</v>
      </c>
      <c r="AB18" s="463">
        <f ca="1">I119+J119</f>
        <v>0</v>
      </c>
      <c r="AC18" s="463">
        <f ca="1">K119+L119</f>
        <v>0</v>
      </c>
      <c r="AD18" s="463">
        <f ca="1">M119+N119</f>
        <v>0</v>
      </c>
      <c r="AE18" s="464"/>
      <c r="AF18" s="464"/>
      <c r="AG18" s="464"/>
      <c r="AH18" s="464"/>
      <c r="AI18" s="464"/>
    </row>
    <row r="19" spans="3:35" s="64" customFormat="1" ht="15.6" customHeight="1">
      <c r="C19" s="129"/>
      <c r="Y19" s="82"/>
      <c r="Z19" s="82"/>
      <c r="AA19" s="464"/>
      <c r="AB19" s="464"/>
      <c r="AC19" s="464"/>
      <c r="AD19" s="464"/>
      <c r="AE19" s="464"/>
      <c r="AF19" s="464"/>
      <c r="AG19" s="464"/>
      <c r="AH19" s="464"/>
      <c r="AI19" s="464"/>
    </row>
    <row r="20" spans="3:35" s="64" customFormat="1" ht="15.6" customHeight="1">
      <c r="C20" s="129"/>
      <c r="Y20" s="82"/>
      <c r="Z20" s="324" t="str">
        <f ca="1">Sprache!E430</f>
        <v>Jährliche Kosten und Einnahmen in Fr./a</v>
      </c>
      <c r="AA20" s="459" t="str">
        <f ca="1">AJ4</f>
        <v>Variante A</v>
      </c>
      <c r="AB20" s="459" t="str">
        <f t="shared" ref="AB20:AD20" ca="1" si="2">AK4</f>
        <v>Variante B</v>
      </c>
      <c r="AC20" s="459" t="str">
        <f t="shared" ca="1" si="2"/>
        <v>Variante C</v>
      </c>
      <c r="AD20" s="459" t="str">
        <f t="shared" ca="1" si="2"/>
        <v>Variante D</v>
      </c>
      <c r="AE20" s="464"/>
      <c r="AF20" s="464"/>
      <c r="AG20" s="464"/>
      <c r="AH20" s="464"/>
      <c r="AI20" s="464"/>
    </row>
    <row r="21" spans="3:35" s="64" customFormat="1" ht="15.6" customHeight="1">
      <c r="C21" s="129"/>
      <c r="Y21" s="82"/>
      <c r="Z21" s="129" t="str">
        <f ca="1">Sprache!$E$113</f>
        <v>Investitionskosten</v>
      </c>
      <c r="AA21" s="463">
        <f ca="1">G57+H57+G61+H61</f>
        <v>0</v>
      </c>
      <c r="AB21" s="463">
        <f ca="1">I57+J57+I61+J61</f>
        <v>0</v>
      </c>
      <c r="AC21" s="463">
        <f ca="1">K57+L57+K61+L61</f>
        <v>0</v>
      </c>
      <c r="AD21" s="463">
        <f ca="1">M57+N57+M61+N61</f>
        <v>0</v>
      </c>
      <c r="AE21" s="464"/>
      <c r="AF21" s="464"/>
      <c r="AG21" s="464"/>
      <c r="AH21" s="464"/>
      <c r="AI21" s="464"/>
    </row>
    <row r="22" spans="3:35" s="64" customFormat="1" ht="15.6" customHeight="1">
      <c r="C22" s="129"/>
      <c r="Y22" s="82"/>
      <c r="Z22" s="129" t="str">
        <f ca="1">Sprache!$E$260</f>
        <v>Unterhaltskosten</v>
      </c>
      <c r="AA22" s="463">
        <f ca="1">G58+H58</f>
        <v>0</v>
      </c>
      <c r="AB22" s="463">
        <f ca="1">I58+J58</f>
        <v>0</v>
      </c>
      <c r="AC22" s="463">
        <f ca="1">K58+L58</f>
        <v>0</v>
      </c>
      <c r="AD22" s="463">
        <f ca="1">M58+N58</f>
        <v>0</v>
      </c>
      <c r="AE22" s="464"/>
      <c r="AF22" s="464"/>
      <c r="AG22" s="464"/>
      <c r="AH22" s="464"/>
      <c r="AI22" s="464"/>
    </row>
    <row r="23" spans="3:35" s="64" customFormat="1" ht="15.6" customHeight="1">
      <c r="C23" s="129"/>
      <c r="Y23" s="82"/>
      <c r="Z23" s="129" t="str">
        <f ca="1">Sprache!$E$123</f>
        <v>Energiekosten</v>
      </c>
      <c r="AA23" s="463">
        <f ca="1">G59+H59</f>
        <v>0</v>
      </c>
      <c r="AB23" s="463">
        <f ca="1">I59+J59</f>
        <v>0</v>
      </c>
      <c r="AC23" s="463">
        <f ca="1">K59+L59</f>
        <v>0</v>
      </c>
      <c r="AD23" s="463">
        <f ca="1">M59+N59</f>
        <v>0</v>
      </c>
      <c r="AE23" s="464"/>
      <c r="AF23" s="464"/>
      <c r="AG23" s="464"/>
      <c r="AH23" s="464"/>
      <c r="AI23" s="464"/>
    </row>
    <row r="24" spans="3:35" s="64" customFormat="1" ht="15.6" customHeight="1">
      <c r="C24" s="129"/>
      <c r="Y24" s="82"/>
      <c r="Z24" s="129" t="str">
        <f ca="1">Sprache!$E$412</f>
        <v>Gewinn Verkauf/Eigennutzung Strom</v>
      </c>
      <c r="AA24" s="463">
        <f ca="1">G60+H60</f>
        <v>0</v>
      </c>
      <c r="AB24" s="463">
        <f ca="1">I60+J60</f>
        <v>0</v>
      </c>
      <c r="AC24" s="463">
        <f ca="1">K60+L60</f>
        <v>0</v>
      </c>
      <c r="AD24" s="463">
        <f ca="1">M60+N60</f>
        <v>0</v>
      </c>
      <c r="AE24" s="464"/>
      <c r="AF24" s="464"/>
      <c r="AG24" s="464"/>
      <c r="AH24" s="464"/>
      <c r="AI24" s="464"/>
    </row>
    <row r="25" spans="3:35" s="64" customFormat="1" ht="15.6" customHeight="1">
      <c r="C25" s="129"/>
      <c r="Y25" s="82"/>
      <c r="Z25" s="129"/>
      <c r="AA25" s="463"/>
      <c r="AB25" s="463"/>
      <c r="AC25" s="463"/>
      <c r="AD25" s="463"/>
      <c r="AE25" s="464"/>
      <c r="AF25" s="464"/>
      <c r="AG25" s="464"/>
      <c r="AH25" s="464"/>
      <c r="AI25" s="464"/>
    </row>
    <row r="26" spans="3:35" s="64" customFormat="1" ht="15.6" customHeight="1">
      <c r="C26" s="129"/>
      <c r="Y26" s="82"/>
      <c r="Z26" s="82"/>
      <c r="AA26" s="464"/>
      <c r="AB26" s="464"/>
      <c r="AC26" s="464"/>
      <c r="AD26" s="464"/>
      <c r="AE26" s="464"/>
      <c r="AF26" s="464"/>
      <c r="AG26" s="464"/>
      <c r="AH26" s="464"/>
      <c r="AI26" s="464"/>
    </row>
    <row r="27" spans="3:35" s="64" customFormat="1" ht="15.6" customHeight="1">
      <c r="C27" s="129"/>
      <c r="Y27" s="82"/>
      <c r="Z27" s="324" t="str">
        <f ca="1">Sprache!$E$431</f>
        <v>Investitionskosten in Fr.</v>
      </c>
      <c r="AA27" s="459" t="str">
        <f ca="1">AJ4</f>
        <v>Variante A</v>
      </c>
      <c r="AB27" s="459" t="str">
        <f t="shared" ref="AB27:AD27" ca="1" si="3">AK4</f>
        <v>Variante B</v>
      </c>
      <c r="AC27" s="459" t="str">
        <f t="shared" ca="1" si="3"/>
        <v>Variante C</v>
      </c>
      <c r="AD27" s="459" t="str">
        <f t="shared" ca="1" si="3"/>
        <v>Variante D</v>
      </c>
      <c r="AE27" s="464"/>
      <c r="AF27" s="464"/>
      <c r="AG27" s="464"/>
      <c r="AH27" s="464"/>
      <c r="AI27" s="464"/>
    </row>
    <row r="28" spans="3:35" s="64" customFormat="1" ht="15.6" customHeight="1">
      <c r="C28" s="129"/>
      <c r="Y28" s="82"/>
      <c r="Z28" s="129" t="str">
        <f ca="1">Sprache!$E$340</f>
        <v>Wärmeerzeugung 1</v>
      </c>
      <c r="AA28" s="460">
        <f ca="1">G97</f>
        <v>0</v>
      </c>
      <c r="AB28" s="460">
        <f ca="1">I97</f>
        <v>0</v>
      </c>
      <c r="AC28" s="460">
        <f ca="1">K97</f>
        <v>0</v>
      </c>
      <c r="AD28" s="460">
        <f ca="1">M97</f>
        <v>0</v>
      </c>
      <c r="AE28" s="464"/>
      <c r="AF28" s="464"/>
      <c r="AG28" s="464"/>
      <c r="AH28" s="464"/>
      <c r="AI28" s="464"/>
    </row>
    <row r="29" spans="3:35" s="64" customFormat="1" ht="15.6" customHeight="1">
      <c r="C29" s="129"/>
      <c r="Y29" s="82"/>
      <c r="Z29" s="129" t="str">
        <f ca="1">Sprache!$E$341</f>
        <v>Wärmeerzeugung 2</v>
      </c>
      <c r="AA29" s="460">
        <f ca="1">H97</f>
        <v>0</v>
      </c>
      <c r="AB29" s="460">
        <f ca="1">J97</f>
        <v>0</v>
      </c>
      <c r="AC29" s="460">
        <f ca="1">L97</f>
        <v>0</v>
      </c>
      <c r="AD29" s="460">
        <f ca="1">N97</f>
        <v>0</v>
      </c>
      <c r="AE29" s="464"/>
      <c r="AF29" s="464"/>
      <c r="AG29" s="464"/>
      <c r="AH29" s="464"/>
      <c r="AI29" s="464"/>
    </row>
    <row r="30" spans="3:35" s="64" customFormat="1" ht="15.6" customHeight="1">
      <c r="C30" s="129"/>
      <c r="Y30" s="82"/>
      <c r="Z30" s="82"/>
      <c r="AA30" s="464"/>
      <c r="AB30" s="464"/>
      <c r="AC30" s="464"/>
      <c r="AD30" s="464"/>
      <c r="AE30" s="464"/>
      <c r="AF30" s="464"/>
      <c r="AG30" s="464"/>
      <c r="AH30" s="464"/>
      <c r="AI30" s="464"/>
    </row>
    <row r="31" spans="3:35" s="64" customFormat="1" ht="15.6" customHeight="1">
      <c r="C31" s="129"/>
      <c r="E31" s="82"/>
      <c r="F31" s="82"/>
      <c r="G31" s="464"/>
      <c r="H31" s="464"/>
      <c r="I31" s="464"/>
      <c r="J31" s="464"/>
      <c r="K31" s="464"/>
      <c r="L31" s="464"/>
      <c r="M31" s="464"/>
      <c r="N31" s="464"/>
      <c r="O31" s="464"/>
      <c r="Z31" s="324" t="str">
        <f ca="1">Sprache!$E$471</f>
        <v>Investitionskosten in Fr./m² EBF</v>
      </c>
      <c r="AA31" s="459" t="str">
        <f ca="1">AJ4</f>
        <v>Variante A</v>
      </c>
      <c r="AB31" s="459" t="str">
        <f t="shared" ref="AB31:AD31" ca="1" si="4">AK4</f>
        <v>Variante B</v>
      </c>
      <c r="AC31" s="459" t="str">
        <f t="shared" ca="1" si="4"/>
        <v>Variante C</v>
      </c>
      <c r="AD31" s="459" t="str">
        <f t="shared" ca="1" si="4"/>
        <v>Variante D</v>
      </c>
    </row>
    <row r="32" spans="3:35" s="64" customFormat="1" ht="15.6" customHeight="1">
      <c r="C32" s="129"/>
      <c r="E32" s="82"/>
      <c r="F32" s="82"/>
      <c r="G32" s="464"/>
      <c r="H32" s="464"/>
      <c r="I32" s="464"/>
      <c r="J32" s="464"/>
      <c r="K32" s="464"/>
      <c r="L32" s="464"/>
      <c r="M32" s="464"/>
      <c r="N32" s="464"/>
      <c r="O32" s="464"/>
      <c r="Z32" s="129" t="str">
        <f ca="1">Sprache!$E$340</f>
        <v>Wärmeerzeugung 1</v>
      </c>
      <c r="AA32" s="460" t="e">
        <f ca="1">AA28/Projektdaten!$E$23</f>
        <v>#DIV/0!</v>
      </c>
      <c r="AB32" s="460" t="e">
        <f ca="1">AB28/Projektdaten!$E$23</f>
        <v>#DIV/0!</v>
      </c>
      <c r="AC32" s="460" t="e">
        <f ca="1">AC28/Projektdaten!$E$23</f>
        <v>#DIV/0!</v>
      </c>
      <c r="AD32" s="460" t="e">
        <f ca="1">AD28/Projektdaten!$E$23</f>
        <v>#DIV/0!</v>
      </c>
    </row>
    <row r="33" spans="3:35" s="64" customFormat="1" ht="15.6" customHeight="1">
      <c r="C33" s="129"/>
      <c r="E33" s="82"/>
      <c r="F33" s="82"/>
      <c r="G33" s="464"/>
      <c r="H33" s="464"/>
      <c r="L33" s="464"/>
      <c r="M33" s="464"/>
      <c r="N33" s="464"/>
      <c r="O33" s="464"/>
      <c r="Z33" s="129" t="str">
        <f ca="1">Sprache!$E$341</f>
        <v>Wärmeerzeugung 2</v>
      </c>
      <c r="AA33" s="460" t="e">
        <f ca="1">AA29/Projektdaten!$E$23</f>
        <v>#DIV/0!</v>
      </c>
      <c r="AB33" s="460" t="e">
        <f ca="1">AB29/Projektdaten!$E$23</f>
        <v>#DIV/0!</v>
      </c>
      <c r="AC33" s="460" t="e">
        <f ca="1">AC29/Projektdaten!$E$23</f>
        <v>#DIV/0!</v>
      </c>
      <c r="AD33" s="460" t="e">
        <f ca="1">AD29/Projektdaten!$E$23</f>
        <v>#DIV/0!</v>
      </c>
    </row>
    <row r="34" spans="3:35" s="64" customFormat="1" ht="15.6" customHeight="1">
      <c r="C34" s="129"/>
      <c r="D34" s="59"/>
      <c r="E34" s="82"/>
      <c r="F34" s="82"/>
    </row>
    <row r="35" spans="3:35" s="64" customFormat="1" ht="15.6" customHeight="1">
      <c r="C35" s="129"/>
      <c r="D35" s="59"/>
      <c r="E35" s="82"/>
      <c r="F35" s="82"/>
      <c r="Z35" s="125" t="str">
        <f ca="1">Sprache!E475</f>
        <v>Jährliche Nettokosten in Fr./a</v>
      </c>
      <c r="AA35" s="64" t="str">
        <f ca="1">AJ4</f>
        <v>Variante A</v>
      </c>
      <c r="AB35" s="64" t="str">
        <f t="shared" ref="AB35:AD35" ca="1" si="5">AK4</f>
        <v>Variante B</v>
      </c>
      <c r="AC35" s="64" t="str">
        <f t="shared" ca="1" si="5"/>
        <v>Variante C</v>
      </c>
      <c r="AD35" s="64" t="str">
        <f t="shared" ca="1" si="5"/>
        <v>Variante D</v>
      </c>
    </row>
    <row r="36" spans="3:35" ht="15.6" customHeight="1">
      <c r="E36" s="82"/>
      <c r="G36" s="614" t="str">
        <f ca="1">AJ4</f>
        <v>Variante A</v>
      </c>
      <c r="H36" s="615"/>
      <c r="I36" s="614" t="str">
        <f ca="1">AK4</f>
        <v>Variante B</v>
      </c>
      <c r="J36" s="615"/>
      <c r="K36" s="616" t="str">
        <f ca="1">AL4</f>
        <v>Variante C</v>
      </c>
      <c r="L36" s="617"/>
      <c r="M36" s="614" t="str">
        <f ca="1">AM4</f>
        <v>Variante D</v>
      </c>
      <c r="N36" s="617"/>
      <c r="AA36" s="69">
        <f ca="1">G63</f>
        <v>0</v>
      </c>
      <c r="AB36" s="69">
        <f ca="1">I63</f>
        <v>0</v>
      </c>
      <c r="AC36" s="69">
        <f ca="1">K63</f>
        <v>0</v>
      </c>
      <c r="AD36" s="69">
        <f ca="1">M63</f>
        <v>0</v>
      </c>
      <c r="AF36" s="69"/>
      <c r="AH36" s="69"/>
      <c r="AI36" s="69"/>
    </row>
    <row r="37" spans="3:35" ht="15.6" customHeight="1">
      <c r="G37" s="256" t="str">
        <f ca="1">Sprache!$E$340</f>
        <v>Wärmeerzeugung 1</v>
      </c>
      <c r="H37" s="253" t="str">
        <f ca="1">Sprache!$E$341</f>
        <v>Wärmeerzeugung 2</v>
      </c>
      <c r="I37" s="14" t="str">
        <f ca="1">Sprache!$E$340</f>
        <v>Wärmeerzeugung 1</v>
      </c>
      <c r="J37" s="13" t="str">
        <f ca="1">Sprache!$E$341</f>
        <v>Wärmeerzeugung 2</v>
      </c>
      <c r="K37" s="256" t="str">
        <f ca="1">Sprache!$E$340</f>
        <v>Wärmeerzeugung 1</v>
      </c>
      <c r="L37" s="253" t="str">
        <f ca="1">Sprache!$E$341</f>
        <v>Wärmeerzeugung 2</v>
      </c>
      <c r="M37" s="256" t="str">
        <f ca="1">Sprache!$E$340</f>
        <v>Wärmeerzeugung 1</v>
      </c>
      <c r="N37" s="253" t="str">
        <f ca="1">Sprache!$E$341</f>
        <v>Wärmeerzeugung 2</v>
      </c>
      <c r="O37" s="170"/>
    </row>
    <row r="38" spans="3:35" ht="15.6" customHeight="1">
      <c r="G38" s="245" t="str">
        <f>Vergleich!F7</f>
        <v>Bitte wählen …</v>
      </c>
      <c r="H38" s="362" t="str">
        <f>Vergleich!H7</f>
        <v>Bitte wählen …</v>
      </c>
      <c r="I38" s="248" t="str">
        <f>Vergleich!K7</f>
        <v>Bitte wählen …</v>
      </c>
      <c r="J38" s="372" t="str">
        <f>Vergleich!M7</f>
        <v>Bitte wählen …</v>
      </c>
      <c r="K38" s="245" t="str">
        <f>Vergleich!P7</f>
        <v>Bitte wählen …</v>
      </c>
      <c r="L38" s="362" t="str">
        <f>Vergleich!R7</f>
        <v>Bitte wählen …</v>
      </c>
      <c r="M38" s="245" t="str">
        <f>Vergleich!U7</f>
        <v>Bitte wählen …</v>
      </c>
      <c r="N38" s="362" t="str">
        <f>Vergleich!W7</f>
        <v>Bitte wählen …</v>
      </c>
      <c r="O38" s="170"/>
    </row>
    <row r="39" spans="3:35" ht="15.6" customHeight="1">
      <c r="C39" s="129" t="str">
        <f ca="1">Sprache!E109&amp;":"</f>
        <v>Nutzungsgrad Heizung:</v>
      </c>
      <c r="D39" s="58" t="s">
        <v>1183</v>
      </c>
      <c r="E39" s="140" t="s">
        <v>28</v>
      </c>
      <c r="G39" s="363">
        <f ca="1">Energie!E107</f>
        <v>0</v>
      </c>
      <c r="H39" s="364">
        <f ca="1">Energie!F107</f>
        <v>0</v>
      </c>
      <c r="I39" s="361">
        <f ca="1">Energie!G107</f>
        <v>0</v>
      </c>
      <c r="J39" s="373">
        <f ca="1">Energie!H107</f>
        <v>0</v>
      </c>
      <c r="K39" s="374">
        <f ca="1">Energie!I107</f>
        <v>0</v>
      </c>
      <c r="L39" s="364">
        <f ca="1">Energie!J107</f>
        <v>0</v>
      </c>
      <c r="M39" s="374">
        <f ca="1">Energie!K107</f>
        <v>0</v>
      </c>
      <c r="N39" s="364">
        <f ca="1">Energie!L107</f>
        <v>0</v>
      </c>
      <c r="O39" s="182"/>
    </row>
    <row r="40" spans="3:35" ht="15.6" customHeight="1">
      <c r="C40" s="7" t="str">
        <f ca="1">Sprache!E408&amp;":"</f>
        <v>Nutzungsgrad Warmwasser:</v>
      </c>
      <c r="D40" s="58" t="s">
        <v>1184</v>
      </c>
      <c r="E40" s="140" t="s">
        <v>28</v>
      </c>
      <c r="G40" s="363">
        <f ca="1">Energie!E108</f>
        <v>0</v>
      </c>
      <c r="H40" s="364">
        <f ca="1">Energie!F108</f>
        <v>0</v>
      </c>
      <c r="I40" s="361">
        <f ca="1">Energie!G108</f>
        <v>0</v>
      </c>
      <c r="J40" s="373">
        <f ca="1">Energie!H108</f>
        <v>0</v>
      </c>
      <c r="K40" s="374">
        <f ca="1">Energie!I108</f>
        <v>0</v>
      </c>
      <c r="L40" s="364">
        <f ca="1">Energie!J108</f>
        <v>0</v>
      </c>
      <c r="M40" s="374">
        <f ca="1">Energie!K108</f>
        <v>0</v>
      </c>
      <c r="N40" s="364">
        <f ca="1">Energie!L108</f>
        <v>0</v>
      </c>
      <c r="O40" s="182"/>
    </row>
    <row r="41" spans="3:35" ht="15.6" customHeight="1">
      <c r="C41" s="324" t="str">
        <f ca="1">Sprache!E409</f>
        <v>Konventionelle Energiequelle</v>
      </c>
      <c r="D41" s="58"/>
      <c r="E41" s="140"/>
      <c r="G41" s="217"/>
      <c r="H41" s="221"/>
      <c r="I41" s="218"/>
      <c r="J41" s="218"/>
      <c r="K41" s="218"/>
      <c r="L41" s="218"/>
      <c r="M41" s="218"/>
      <c r="N41" s="218"/>
      <c r="O41" s="182"/>
    </row>
    <row r="42" spans="3:35" ht="15.6" customHeight="1">
      <c r="C42" s="129" t="str">
        <f ca="1">Sprache!$E$47&amp;":"</f>
        <v>Heizwärmebedarf:</v>
      </c>
      <c r="D42" s="59" t="s">
        <v>220</v>
      </c>
      <c r="E42" s="35" t="s">
        <v>263</v>
      </c>
      <c r="G42" s="363">
        <f ca="1">Energie!E110</f>
        <v>0</v>
      </c>
      <c r="H42" s="366">
        <f ca="1">Energie!F110</f>
        <v>0</v>
      </c>
      <c r="I42" s="365">
        <f ca="1">Energie!G110</f>
        <v>0</v>
      </c>
      <c r="J42" s="375">
        <f ca="1">Energie!H110</f>
        <v>0</v>
      </c>
      <c r="K42" s="369">
        <f ca="1">Energie!I110</f>
        <v>0</v>
      </c>
      <c r="L42" s="366">
        <f ca="1">Energie!J110</f>
        <v>0</v>
      </c>
      <c r="M42" s="369">
        <f ca="1">Energie!K110</f>
        <v>0</v>
      </c>
      <c r="N42" s="366">
        <f ca="1">Energie!L110</f>
        <v>0</v>
      </c>
      <c r="O42" s="182"/>
    </row>
    <row r="43" spans="3:35" ht="15.6" customHeight="1">
      <c r="C43" s="129" t="str">
        <f ca="1">Sprache!$E$328&amp;":"</f>
        <v>Wärmebedarf für Warmwasser:</v>
      </c>
      <c r="D43" s="59" t="s">
        <v>1103</v>
      </c>
      <c r="E43" s="35" t="s">
        <v>263</v>
      </c>
      <c r="G43" s="363">
        <f ca="1">Energie!E111</f>
        <v>0</v>
      </c>
      <c r="H43" s="366">
        <f ca="1">Energie!F111</f>
        <v>0</v>
      </c>
      <c r="I43" s="365">
        <f ca="1">Energie!G111</f>
        <v>0</v>
      </c>
      <c r="J43" s="375">
        <f ca="1">Energie!H111</f>
        <v>0</v>
      </c>
      <c r="K43" s="369">
        <f ca="1">Energie!I111</f>
        <v>0</v>
      </c>
      <c r="L43" s="366">
        <f ca="1">Energie!J111</f>
        <v>0</v>
      </c>
      <c r="M43" s="369">
        <f ca="1">Energie!K111</f>
        <v>0</v>
      </c>
      <c r="N43" s="366">
        <f ca="1">Energie!L111</f>
        <v>0</v>
      </c>
      <c r="O43" s="182"/>
    </row>
    <row r="44" spans="3:35" ht="15.6" customHeight="1">
      <c r="C44" s="7" t="str">
        <f ca="1">Sprache!$E$110</f>
        <v>Endenergie:</v>
      </c>
      <c r="D44" s="58" t="s">
        <v>1178</v>
      </c>
      <c r="E44" s="35" t="s">
        <v>263</v>
      </c>
      <c r="G44" s="363">
        <f ca="1">Energie!E112</f>
        <v>0</v>
      </c>
      <c r="H44" s="366">
        <f ca="1">Energie!F112</f>
        <v>0</v>
      </c>
      <c r="I44" s="365">
        <f ca="1">Energie!G112</f>
        <v>0</v>
      </c>
      <c r="J44" s="375">
        <f ca="1">Energie!H112</f>
        <v>0</v>
      </c>
      <c r="K44" s="369">
        <f ca="1">Energie!I112</f>
        <v>0</v>
      </c>
      <c r="L44" s="366">
        <f ca="1">Energie!J112</f>
        <v>0</v>
      </c>
      <c r="M44" s="369">
        <f ca="1">Energie!K112</f>
        <v>0</v>
      </c>
      <c r="N44" s="366">
        <f ca="1">Energie!L112</f>
        <v>0</v>
      </c>
      <c r="O44" s="182"/>
    </row>
    <row r="45" spans="3:35" ht="15.6" customHeight="1">
      <c r="C45" s="7" t="str">
        <f ca="1">Sprache!$E$111</f>
        <v>Umweltbelastungspunkte</v>
      </c>
      <c r="D45" s="58" t="s">
        <v>264</v>
      </c>
      <c r="E45" s="140" t="s">
        <v>28</v>
      </c>
      <c r="G45" s="245">
        <f ca="1">Energie!E120</f>
        <v>0</v>
      </c>
      <c r="H45" s="362">
        <f ca="1">Energie!F120</f>
        <v>0</v>
      </c>
      <c r="I45" s="248">
        <f ca="1">Energie!G120</f>
        <v>0</v>
      </c>
      <c r="J45" s="372">
        <f ca="1">Energie!H120</f>
        <v>0</v>
      </c>
      <c r="K45" s="245">
        <f ca="1">Energie!I120</f>
        <v>0</v>
      </c>
      <c r="L45" s="362">
        <f ca="1">Energie!J120</f>
        <v>0</v>
      </c>
      <c r="M45" s="245">
        <f ca="1">Energie!K120</f>
        <v>0</v>
      </c>
      <c r="N45" s="362">
        <f ca="1">Energie!L120</f>
        <v>0</v>
      </c>
      <c r="O45" s="182"/>
    </row>
    <row r="46" spans="3:35" ht="15.6" customHeight="1">
      <c r="C46" s="129" t="str">
        <f ca="1">Sprache!E$112&amp;":"</f>
        <v>Treibhausgase (KBOB):</v>
      </c>
      <c r="D46" s="58" t="s">
        <v>212</v>
      </c>
      <c r="E46" s="35" t="s">
        <v>132</v>
      </c>
      <c r="G46" s="245">
        <f ca="1">Energie!E116</f>
        <v>0</v>
      </c>
      <c r="H46" s="362">
        <f ca="1">Energie!F116</f>
        <v>0</v>
      </c>
      <c r="I46" s="248">
        <f ca="1">Energie!G116</f>
        <v>0</v>
      </c>
      <c r="J46" s="372">
        <f ca="1">Energie!H116</f>
        <v>0</v>
      </c>
      <c r="K46" s="245">
        <f ca="1">Energie!I116</f>
        <v>0</v>
      </c>
      <c r="L46" s="362">
        <f ca="1">Energie!J116</f>
        <v>0</v>
      </c>
      <c r="M46" s="245">
        <f ca="1">Energie!K116</f>
        <v>0</v>
      </c>
      <c r="N46" s="362">
        <f ca="1">Energie!L116</f>
        <v>0</v>
      </c>
      <c r="O46" s="182"/>
    </row>
    <row r="47" spans="3:35" ht="15.6" customHeight="1">
      <c r="C47" s="129" t="str">
        <f ca="1">Sprache!$E$411&amp;":"</f>
        <v>Treibhausgase (Vollzug):</v>
      </c>
      <c r="D47" s="58" t="s">
        <v>212</v>
      </c>
      <c r="E47" s="35" t="s">
        <v>132</v>
      </c>
      <c r="G47" s="245">
        <f ca="1">Energie!E118</f>
        <v>0</v>
      </c>
      <c r="H47" s="362">
        <f ca="1">Energie!F118</f>
        <v>0</v>
      </c>
      <c r="I47" s="248">
        <f ca="1">Energie!G118</f>
        <v>0</v>
      </c>
      <c r="J47" s="372">
        <f ca="1">Energie!H118</f>
        <v>0</v>
      </c>
      <c r="K47" s="245">
        <f ca="1">Energie!I118</f>
        <v>0</v>
      </c>
      <c r="L47" s="362">
        <f ca="1">Energie!J118</f>
        <v>0</v>
      </c>
      <c r="M47" s="245">
        <f ca="1">Energie!K118</f>
        <v>0</v>
      </c>
      <c r="N47" s="362">
        <f ca="1">Energie!L118</f>
        <v>0</v>
      </c>
      <c r="O47" s="183"/>
    </row>
    <row r="48" spans="3:35" ht="15.6" customHeight="1">
      <c r="C48" s="324" t="str">
        <f ca="1">Sprache!E410</f>
        <v>Bio-Energiequelle</v>
      </c>
      <c r="E48" s="1"/>
      <c r="G48" s="219"/>
      <c r="H48" s="220"/>
      <c r="I48" s="220"/>
      <c r="J48" s="220"/>
      <c r="K48" s="220"/>
      <c r="L48" s="220"/>
      <c r="M48" s="220"/>
      <c r="N48" s="220"/>
      <c r="O48" s="184"/>
    </row>
    <row r="49" spans="3:15" ht="15.6" customHeight="1">
      <c r="C49" s="129" t="str">
        <f ca="1">Sprache!$E$47&amp;":"</f>
        <v>Heizwärmebedarf:</v>
      </c>
      <c r="D49" s="59" t="s">
        <v>220</v>
      </c>
      <c r="E49" s="35" t="s">
        <v>263</v>
      </c>
      <c r="G49" s="369">
        <f ca="1">Energie!E124</f>
        <v>0</v>
      </c>
      <c r="H49" s="370">
        <f ca="1">Energie!F124</f>
        <v>0</v>
      </c>
      <c r="I49" s="367">
        <f ca="1">Energie!G124</f>
        <v>0</v>
      </c>
      <c r="J49" s="376">
        <f ca="1">Energie!H124</f>
        <v>0</v>
      </c>
      <c r="K49" s="471">
        <f ca="1">Energie!I124</f>
        <v>0</v>
      </c>
      <c r="L49" s="370">
        <f ca="1">Energie!J124</f>
        <v>0</v>
      </c>
      <c r="M49" s="471">
        <f ca="1">Energie!K124</f>
        <v>0</v>
      </c>
      <c r="N49" s="370">
        <f ca="1">Energie!L124</f>
        <v>0</v>
      </c>
      <c r="O49" s="184"/>
    </row>
    <row r="50" spans="3:15" ht="15.6" customHeight="1">
      <c r="C50" s="129" t="str">
        <f ca="1">Sprache!$E$328&amp;":"</f>
        <v>Wärmebedarf für Warmwasser:</v>
      </c>
      <c r="D50" s="59" t="s">
        <v>1103</v>
      </c>
      <c r="E50" s="35" t="s">
        <v>263</v>
      </c>
      <c r="G50" s="369">
        <f ca="1">Energie!E125</f>
        <v>0</v>
      </c>
      <c r="H50" s="370">
        <f ca="1">Energie!F125</f>
        <v>0</v>
      </c>
      <c r="I50" s="367">
        <f ca="1">Energie!G125</f>
        <v>0</v>
      </c>
      <c r="J50" s="376">
        <f ca="1">Energie!H125</f>
        <v>0</v>
      </c>
      <c r="K50" s="471">
        <f ca="1">Energie!I125</f>
        <v>0</v>
      </c>
      <c r="L50" s="370">
        <f ca="1">Energie!J125</f>
        <v>0</v>
      </c>
      <c r="M50" s="471">
        <f ca="1">Energie!K125</f>
        <v>0</v>
      </c>
      <c r="N50" s="370">
        <f ca="1">Energie!L125</f>
        <v>0</v>
      </c>
      <c r="O50" s="184"/>
    </row>
    <row r="51" spans="3:15" ht="15.6" customHeight="1">
      <c r="C51" s="7" t="str">
        <f ca="1">Sprache!$E$110</f>
        <v>Endenergie:</v>
      </c>
      <c r="D51" s="58" t="s">
        <v>1178</v>
      </c>
      <c r="E51" s="35" t="s">
        <v>263</v>
      </c>
      <c r="G51" s="369">
        <f ca="1">Energie!E126</f>
        <v>0</v>
      </c>
      <c r="H51" s="370">
        <f ca="1">Energie!F126</f>
        <v>0</v>
      </c>
      <c r="I51" s="367">
        <f ca="1">Energie!G126</f>
        <v>0</v>
      </c>
      <c r="J51" s="376">
        <f ca="1">Energie!H126</f>
        <v>0</v>
      </c>
      <c r="K51" s="471">
        <f ca="1">Energie!I126</f>
        <v>0</v>
      </c>
      <c r="L51" s="370">
        <f ca="1">Energie!J126</f>
        <v>0</v>
      </c>
      <c r="M51" s="471">
        <f ca="1">Energie!K126</f>
        <v>0</v>
      </c>
      <c r="N51" s="370">
        <f ca="1">Energie!L126</f>
        <v>0</v>
      </c>
      <c r="O51" s="184"/>
    </row>
    <row r="52" spans="3:15" ht="15.6" customHeight="1">
      <c r="C52" s="7" t="str">
        <f ca="1">Sprache!$E$111</f>
        <v>Umweltbelastungspunkte</v>
      </c>
      <c r="D52" s="58" t="s">
        <v>264</v>
      </c>
      <c r="E52" s="140" t="s">
        <v>28</v>
      </c>
      <c r="G52" s="245">
        <f ca="1">Energie!E134</f>
        <v>0</v>
      </c>
      <c r="H52" s="371">
        <f ca="1">Energie!F134</f>
        <v>0</v>
      </c>
      <c r="I52" s="368">
        <f ca="1">Energie!G134</f>
        <v>0</v>
      </c>
      <c r="J52" s="377">
        <f ca="1">Energie!H134</f>
        <v>0</v>
      </c>
      <c r="K52" s="378">
        <f ca="1">Energie!I134</f>
        <v>0</v>
      </c>
      <c r="L52" s="371">
        <f ca="1">Energie!J134</f>
        <v>0</v>
      </c>
      <c r="M52" s="378">
        <f ca="1">Energie!K134</f>
        <v>0</v>
      </c>
      <c r="N52" s="371">
        <f ca="1">Energie!L134</f>
        <v>0</v>
      </c>
      <c r="O52" s="184"/>
    </row>
    <row r="53" spans="3:15" ht="15.6" customHeight="1">
      <c r="C53" s="129" t="str">
        <f ca="1">Sprache!$E$112&amp;":"</f>
        <v>Treibhausgase (KBOB):</v>
      </c>
      <c r="D53" s="58" t="s">
        <v>212</v>
      </c>
      <c r="E53" s="35" t="s">
        <v>132</v>
      </c>
      <c r="G53" s="245">
        <f ca="1">Energie!E130</f>
        <v>0</v>
      </c>
      <c r="H53" s="362">
        <f ca="1">Energie!F130</f>
        <v>0</v>
      </c>
      <c r="I53" s="248">
        <f ca="1">Energie!G130</f>
        <v>0</v>
      </c>
      <c r="J53" s="372">
        <f ca="1">Energie!H130</f>
        <v>0</v>
      </c>
      <c r="K53" s="245">
        <f ca="1">Energie!I130</f>
        <v>0</v>
      </c>
      <c r="L53" s="362">
        <f ca="1">Energie!J130</f>
        <v>0</v>
      </c>
      <c r="M53" s="245">
        <f ca="1">Energie!K130</f>
        <v>0</v>
      </c>
      <c r="N53" s="362">
        <f ca="1">Energie!L130</f>
        <v>0</v>
      </c>
      <c r="O53" s="184"/>
    </row>
    <row r="54" spans="3:15" ht="15.6" customHeight="1">
      <c r="C54" s="129" t="str">
        <f ca="1">Sprache!$E$411&amp;":"</f>
        <v>Treibhausgase (Vollzug):</v>
      </c>
      <c r="D54" s="58" t="s">
        <v>212</v>
      </c>
      <c r="E54" s="35" t="s">
        <v>132</v>
      </c>
      <c r="G54" s="245">
        <f ca="1">Energie!E132</f>
        <v>0</v>
      </c>
      <c r="H54" s="362">
        <f ca="1">Energie!F132</f>
        <v>0</v>
      </c>
      <c r="I54" s="248">
        <f ca="1">Energie!G132</f>
        <v>0</v>
      </c>
      <c r="J54" s="372">
        <f ca="1">Energie!H132</f>
        <v>0</v>
      </c>
      <c r="K54" s="245">
        <f ca="1">Energie!I132</f>
        <v>0</v>
      </c>
      <c r="L54" s="362">
        <f ca="1">Energie!J132</f>
        <v>0</v>
      </c>
      <c r="M54" s="245">
        <f ca="1">Energie!K132</f>
        <v>0</v>
      </c>
      <c r="N54" s="362">
        <f ca="1">Energie!L132</f>
        <v>0</v>
      </c>
      <c r="O54" s="184"/>
    </row>
    <row r="55" spans="3:15" ht="15.6" customHeight="1">
      <c r="C55" s="7"/>
      <c r="G55" s="108"/>
      <c r="H55" s="108"/>
      <c r="I55" s="108"/>
      <c r="J55" s="108"/>
      <c r="K55" s="108"/>
      <c r="L55" s="108"/>
      <c r="M55" s="108"/>
      <c r="N55" s="108"/>
      <c r="O55" s="108"/>
    </row>
    <row r="56" spans="3:15" ht="15.6" customHeight="1">
      <c r="C56" s="222" t="str">
        <f ca="1">Sprache!E202</f>
        <v>Jährliche Kosten</v>
      </c>
      <c r="G56" s="170"/>
      <c r="H56" s="170"/>
      <c r="I56" s="170"/>
      <c r="J56" s="170"/>
      <c r="K56" s="170"/>
      <c r="L56" s="170"/>
      <c r="M56" s="170"/>
      <c r="N56" s="170"/>
      <c r="O56" s="170"/>
    </row>
    <row r="57" spans="3:15" ht="15.6" customHeight="1">
      <c r="C57" s="129" t="str">
        <f ca="1">Sprache!$E$113&amp;":"</f>
        <v>Investitionskosten:</v>
      </c>
      <c r="D57" s="58" t="s">
        <v>208</v>
      </c>
      <c r="E57" s="35" t="s">
        <v>225</v>
      </c>
      <c r="G57" s="378">
        <f ca="1">Variante_A!$BK$11</f>
        <v>0</v>
      </c>
      <c r="H57" s="377">
        <f ca="1">Variante_A!$BL$11</f>
        <v>0</v>
      </c>
      <c r="I57" s="378">
        <f ca="1">Variante_B!$BK$11</f>
        <v>0</v>
      </c>
      <c r="J57" s="371">
        <f ca="1">Variante_B!$BL$11</f>
        <v>0</v>
      </c>
      <c r="K57" s="378">
        <f ca="1">Variante_C!$BK$11</f>
        <v>0</v>
      </c>
      <c r="L57" s="371">
        <f ca="1">Variante_C!$BL$11</f>
        <v>0</v>
      </c>
      <c r="M57" s="378">
        <f ca="1">Variante_D!$BK$11</f>
        <v>0</v>
      </c>
      <c r="N57" s="371">
        <f ca="1">Variante_D!$BL$11</f>
        <v>0</v>
      </c>
      <c r="O57" s="184"/>
    </row>
    <row r="58" spans="3:15" ht="15.6" customHeight="1">
      <c r="C58" s="129" t="str">
        <f ca="1">Sprache!$E$260&amp;":"</f>
        <v>Unterhaltskosten:</v>
      </c>
      <c r="D58" s="58" t="s">
        <v>209</v>
      </c>
      <c r="E58" s="35" t="s">
        <v>225</v>
      </c>
      <c r="G58" s="378">
        <f ca="1">Variante_A!$BK$12</f>
        <v>0</v>
      </c>
      <c r="H58" s="377">
        <f ca="1">Variante_A!$BL$12</f>
        <v>0</v>
      </c>
      <c r="I58" s="378">
        <f ca="1">Variante_B!$BK$12</f>
        <v>0</v>
      </c>
      <c r="J58" s="371">
        <f ca="1">Variante_B!$BL$12</f>
        <v>0</v>
      </c>
      <c r="K58" s="378">
        <f ca="1">Variante_C!$BK$12</f>
        <v>0</v>
      </c>
      <c r="L58" s="371">
        <f ca="1">Variante_C!$BL$12</f>
        <v>0</v>
      </c>
      <c r="M58" s="378">
        <f ca="1">Variante_D!$BK$12</f>
        <v>0</v>
      </c>
      <c r="N58" s="371">
        <f ca="1">Variante_D!$BL$12</f>
        <v>0</v>
      </c>
      <c r="O58" s="184"/>
    </row>
    <row r="59" spans="3:15" ht="15.6" customHeight="1">
      <c r="C59" s="129" t="str">
        <f ca="1">Sprache!$E$123&amp;":"</f>
        <v>Energiekosten:</v>
      </c>
      <c r="D59" s="58" t="s">
        <v>210</v>
      </c>
      <c r="E59" s="35" t="s">
        <v>225</v>
      </c>
      <c r="G59" s="378">
        <f ca="1">Variante_A!$BK$13</f>
        <v>0</v>
      </c>
      <c r="H59" s="377">
        <f ca="1">Variante_A!$BL$13</f>
        <v>0</v>
      </c>
      <c r="I59" s="378">
        <f ca="1">Variante_B!$BK$13</f>
        <v>0</v>
      </c>
      <c r="J59" s="371">
        <f ca="1">Variante_B!$BL$13</f>
        <v>0</v>
      </c>
      <c r="K59" s="378">
        <f ca="1">Variante_C!$BK$13</f>
        <v>0</v>
      </c>
      <c r="L59" s="371">
        <f ca="1">Variante_C!$BL$13</f>
        <v>0</v>
      </c>
      <c r="M59" s="378">
        <f ca="1">Variante_D!$BK$13</f>
        <v>0</v>
      </c>
      <c r="N59" s="371">
        <f ca="1">Variante_D!$BL$13</f>
        <v>0</v>
      </c>
      <c r="O59" s="184"/>
    </row>
    <row r="60" spans="3:15" ht="15.6" customHeight="1">
      <c r="C60" s="129" t="str">
        <f ca="1">Sprache!E412&amp;":"</f>
        <v>Gewinn Verkauf/Eigennutzung Strom:</v>
      </c>
      <c r="D60" s="58"/>
      <c r="E60" s="35" t="s">
        <v>225</v>
      </c>
      <c r="G60" s="378">
        <f ca="1">Variante_A!$BK$14</f>
        <v>0</v>
      </c>
      <c r="H60" s="377">
        <f ca="1">Variante_A!$BL$14</f>
        <v>0</v>
      </c>
      <c r="I60" s="378">
        <f ca="1">Variante_B!$BK$14</f>
        <v>0</v>
      </c>
      <c r="J60" s="371">
        <f ca="1">Variante_B!$BL$14</f>
        <v>0</v>
      </c>
      <c r="K60" s="378">
        <f ca="1">Variante_C!$BK$14</f>
        <v>0</v>
      </c>
      <c r="L60" s="371">
        <f ca="1">Variante_C!$BL$14</f>
        <v>0</v>
      </c>
      <c r="M60" s="378">
        <f ca="1">Variante_D!$BK$14</f>
        <v>0</v>
      </c>
      <c r="N60" s="371">
        <f ca="1">Variante_D!$BL$14</f>
        <v>0</v>
      </c>
      <c r="O60" s="184"/>
    </row>
    <row r="61" spans="3:15" ht="15.6" customHeight="1">
      <c r="C61" s="129" t="str">
        <f ca="1">Sprache!E413&amp;":"</f>
        <v>Restwert der Anlage:</v>
      </c>
      <c r="D61" s="58"/>
      <c r="E61" s="35" t="s">
        <v>225</v>
      </c>
      <c r="G61" s="378">
        <f ca="1">Variante_A!$BK$15</f>
        <v>0</v>
      </c>
      <c r="H61" s="377">
        <f ca="1">Variante_A!$BL$15</f>
        <v>0</v>
      </c>
      <c r="I61" s="378">
        <f ca="1">Variante_B!$BK$15</f>
        <v>0</v>
      </c>
      <c r="J61" s="371">
        <f ca="1">Variante_B!$BL$15</f>
        <v>0</v>
      </c>
      <c r="K61" s="378">
        <f ca="1">Variante_C!$BK$15</f>
        <v>0</v>
      </c>
      <c r="L61" s="371">
        <f ca="1">Variante_C!$BL$15</f>
        <v>0</v>
      </c>
      <c r="M61" s="378">
        <f ca="1">Variante_D!$BK$15</f>
        <v>0</v>
      </c>
      <c r="N61" s="371">
        <f ca="1">Variante_D!$BL$15</f>
        <v>0</v>
      </c>
      <c r="O61" s="184"/>
    </row>
    <row r="62" spans="3:15" ht="15.6" customHeight="1">
      <c r="C62" s="129" t="str">
        <f ca="1">Sprache!E159&amp;":"</f>
        <v>Summe:</v>
      </c>
      <c r="D62" s="58"/>
      <c r="E62" s="35" t="s">
        <v>225</v>
      </c>
      <c r="G62" s="378">
        <f ca="1">SUM(G57:G61)</f>
        <v>0</v>
      </c>
      <c r="H62" s="377">
        <f t="shared" ref="H62:N62" ca="1" si="6">SUM(H57:H61)</f>
        <v>0</v>
      </c>
      <c r="I62" s="378">
        <f t="shared" ca="1" si="6"/>
        <v>0</v>
      </c>
      <c r="J62" s="371">
        <f t="shared" ca="1" si="6"/>
        <v>0</v>
      </c>
      <c r="K62" s="368">
        <f t="shared" ca="1" si="6"/>
        <v>0</v>
      </c>
      <c r="L62" s="377">
        <f t="shared" ca="1" si="6"/>
        <v>0</v>
      </c>
      <c r="M62" s="378">
        <f t="shared" ca="1" si="6"/>
        <v>0</v>
      </c>
      <c r="N62" s="371">
        <f t="shared" ca="1" si="6"/>
        <v>0</v>
      </c>
      <c r="O62" s="184"/>
    </row>
    <row r="63" spans="3:15" ht="15.6" customHeight="1">
      <c r="C63" s="129" t="str">
        <f ca="1">Sprache!E414&amp;":"</f>
        <v>Summe Variante:</v>
      </c>
      <c r="D63" s="58"/>
      <c r="E63" s="35" t="s">
        <v>225</v>
      </c>
      <c r="G63" s="378">
        <f ca="1">SUM(G62:H62)</f>
        <v>0</v>
      </c>
      <c r="H63" s="380"/>
      <c r="I63" s="378">
        <f ca="1">SUM(I62:J62)</f>
        <v>0</v>
      </c>
      <c r="J63" s="380"/>
      <c r="K63" s="368">
        <f ca="1">SUM(K62:L62)</f>
        <v>0</v>
      </c>
      <c r="L63" s="380"/>
      <c r="M63" s="378">
        <f ca="1">SUM(M62:N62)</f>
        <v>0</v>
      </c>
      <c r="N63" s="380"/>
      <c r="O63" s="184"/>
    </row>
    <row r="64" spans="3:15" ht="15.6" customHeight="1">
      <c r="C64" s="7"/>
      <c r="D64" s="58"/>
      <c r="G64" s="184"/>
      <c r="H64" s="184"/>
      <c r="I64" s="184"/>
      <c r="J64" s="184"/>
      <c r="K64" s="184"/>
      <c r="L64" s="184"/>
      <c r="M64" s="184"/>
      <c r="N64" s="184"/>
      <c r="O64" s="184"/>
    </row>
    <row r="65" spans="3:18">
      <c r="C65" s="120" t="str">
        <f ca="1">Sprache!E462</f>
        <v>Gestehungskosten</v>
      </c>
      <c r="G65" s="170"/>
      <c r="H65" s="170"/>
      <c r="I65" s="170"/>
      <c r="J65" s="170"/>
      <c r="K65" s="170"/>
      <c r="L65" s="170"/>
      <c r="M65" s="170"/>
      <c r="N65" s="170"/>
      <c r="O65" s="170"/>
    </row>
    <row r="66" spans="3:18" ht="15.6" customHeight="1">
      <c r="C66" s="7" t="str">
        <f ca="1">Sprache!E116&amp;":"</f>
        <v>spez. Wärmekosten:</v>
      </c>
      <c r="D66" s="58" t="s">
        <v>215</v>
      </c>
      <c r="E66" s="35" t="s">
        <v>194</v>
      </c>
      <c r="G66" s="369">
        <f ca="1">IFERROR(G63/(Projektdaten!$L$53+Projektdaten!$L$54)*0.001,0)</f>
        <v>0</v>
      </c>
      <c r="H66" s="379"/>
      <c r="I66" s="369">
        <f ca="1">IFERROR(I63/(Projektdaten!$L$53+Projektdaten!$L$54)*0.001,0)</f>
        <v>0</v>
      </c>
      <c r="J66" s="379"/>
      <c r="K66" s="369">
        <f ca="1">IFERROR(K63/(Projektdaten!$L$53+Projektdaten!$L$54)*0.001,0)</f>
        <v>0</v>
      </c>
      <c r="L66" s="379"/>
      <c r="M66" s="365">
        <f ca="1">IFERROR(M63/(Projektdaten!$L$53+Projektdaten!$L$54)*0.001,0)</f>
        <v>0</v>
      </c>
      <c r="N66" s="379"/>
      <c r="O66" s="33"/>
    </row>
    <row r="67" spans="3:18" ht="15.6" customHeight="1">
      <c r="C67" s="7" t="str">
        <f ca="1">Sprache!E124</f>
        <v>spez. Leistungskosten:</v>
      </c>
      <c r="D67" s="58" t="s">
        <v>1185</v>
      </c>
      <c r="E67" s="35" t="s">
        <v>195</v>
      </c>
      <c r="G67" s="245">
        <f ca="1">IFERROR(G63/Projektdaten!L52,0)</f>
        <v>0</v>
      </c>
      <c r="H67" s="379"/>
      <c r="I67" s="245">
        <f ca="1">IFERROR(I63/Projektdaten!L52,0)</f>
        <v>0</v>
      </c>
      <c r="J67" s="379"/>
      <c r="K67" s="245">
        <f ca="1">IFERROR(K63/Projektdaten!L52,0)</f>
        <v>0</v>
      </c>
      <c r="L67" s="379"/>
      <c r="M67" s="248">
        <f ca="1">IFERROR(M63/Projektdaten!L52,0)</f>
        <v>0</v>
      </c>
      <c r="N67" s="379"/>
      <c r="O67" s="33"/>
    </row>
    <row r="68" spans="3:18" ht="15.6" customHeight="1">
      <c r="C68" s="7" t="str">
        <f ca="1">Sprache!E474</f>
        <v>spez. Kosten pro EBF</v>
      </c>
      <c r="D68" s="58" t="s">
        <v>1701</v>
      </c>
      <c r="E68" s="35" t="s">
        <v>858</v>
      </c>
      <c r="G68" s="245">
        <f ca="1">IFERROR(G63/Projektdaten!$E$23,0)</f>
        <v>0</v>
      </c>
      <c r="H68" s="379"/>
      <c r="I68" s="245">
        <f ca="1">IFERROR(I63/Projektdaten!$E$23,0)</f>
        <v>0</v>
      </c>
      <c r="J68" s="379"/>
      <c r="K68" s="245">
        <f ca="1">IFERROR(K63/Projektdaten!$E$23,0)</f>
        <v>0</v>
      </c>
      <c r="L68" s="379"/>
      <c r="M68" s="245">
        <f ca="1">IFERROR(M63/Projektdaten!$E$23,0)</f>
        <v>0</v>
      </c>
      <c r="N68" s="379"/>
      <c r="O68" s="33"/>
    </row>
    <row r="69" spans="3:18" ht="15.6" customHeight="1">
      <c r="D69" s="58"/>
      <c r="R69"/>
    </row>
    <row r="70" spans="3:18" ht="15.6" customHeight="1">
      <c r="C70" s="120" t="str">
        <f ca="1">Sprache!E113</f>
        <v>Investitionskosten</v>
      </c>
      <c r="D70" s="58"/>
      <c r="F70" s="35" t="str">
        <f ca="1">Sprache!E342</f>
        <v>eBKP-H</v>
      </c>
      <c r="G70" s="117"/>
      <c r="H70" s="117"/>
      <c r="I70" s="117"/>
      <c r="J70" s="117"/>
      <c r="K70" s="117"/>
      <c r="L70" s="117"/>
      <c r="M70" s="117"/>
      <c r="N70" s="117"/>
      <c r="R70"/>
    </row>
    <row r="71" spans="3:18" ht="15.6" customHeight="1">
      <c r="C71" s="129" t="str">
        <f ca="1">Sprache!E416&amp;":"</f>
        <v>Rodung, Rückbau:</v>
      </c>
      <c r="D71" s="58" t="s">
        <v>261</v>
      </c>
      <c r="E71" s="35" t="s">
        <v>175</v>
      </c>
      <c r="F71" s="82" t="s">
        <v>1248</v>
      </c>
      <c r="G71" s="245">
        <f ca="1">Variante_A!$AF$18</f>
        <v>0</v>
      </c>
      <c r="H71" s="362">
        <f>Variante_A!$AI$18</f>
        <v>0</v>
      </c>
      <c r="I71" s="245">
        <f ca="1">Variante_B!$AF$18</f>
        <v>0</v>
      </c>
      <c r="J71" s="362">
        <f>Variante_B!$AI$18</f>
        <v>0</v>
      </c>
      <c r="K71" s="245">
        <f ca="1">Variante_C!$AF$18</f>
        <v>0</v>
      </c>
      <c r="L71" s="362">
        <f>Variante_C!$AI$18</f>
        <v>0</v>
      </c>
      <c r="M71" s="245">
        <f ca="1">Variante_D!$AF$18</f>
        <v>0</v>
      </c>
      <c r="N71" s="362">
        <f>Variante_D!$AI$18</f>
        <v>0</v>
      </c>
      <c r="O71" s="69"/>
      <c r="R71"/>
    </row>
    <row r="72" spans="3:18" ht="15.6" customHeight="1">
      <c r="C72" s="129" t="str">
        <f ca="1">Sprache!E417&amp;":"</f>
        <v>Ergänzende Leistung zu Konstruktion:</v>
      </c>
      <c r="D72" s="58" t="s">
        <v>261</v>
      </c>
      <c r="E72" s="35" t="s">
        <v>175</v>
      </c>
      <c r="F72" s="82" t="s">
        <v>1230</v>
      </c>
      <c r="G72" s="245">
        <f ca="1">Variante_A!$AF$19</f>
        <v>0</v>
      </c>
      <c r="H72" s="362">
        <f ca="1">Variante_A!$AI$19</f>
        <v>0</v>
      </c>
      <c r="I72" s="245">
        <f ca="1">Variante_B!$AF$19</f>
        <v>0</v>
      </c>
      <c r="J72" s="362">
        <f ca="1">Variante_B!$AI$19</f>
        <v>0</v>
      </c>
      <c r="K72" s="245">
        <f ca="1">Variante_C!$AF$19</f>
        <v>0</v>
      </c>
      <c r="L72" s="362">
        <f ca="1">Variante_C!$AI$19</f>
        <v>0</v>
      </c>
      <c r="M72" s="245">
        <f ca="1">Variante_D!$AF$19</f>
        <v>0</v>
      </c>
      <c r="N72" s="362">
        <f ca="1">Variante_D!$AI$19</f>
        <v>0</v>
      </c>
      <c r="O72" s="69"/>
      <c r="R72"/>
    </row>
    <row r="73" spans="3:18" ht="15.6" customHeight="1">
      <c r="C73" s="129" t="str">
        <f ca="1">Sprache!E418&amp;":"</f>
        <v>Anlage Erzeugung Starkstrom:</v>
      </c>
      <c r="D73" s="58" t="s">
        <v>261</v>
      </c>
      <c r="E73" s="35" t="s">
        <v>175</v>
      </c>
      <c r="F73" s="35" t="s">
        <v>1223</v>
      </c>
      <c r="G73" s="245">
        <f ca="1">Variante_A!$AF$20</f>
        <v>0</v>
      </c>
      <c r="H73" s="362">
        <f>Variante_A!$AI$20</f>
        <v>0</v>
      </c>
      <c r="I73" s="245">
        <f ca="1">Variante_B!$AF$20</f>
        <v>0</v>
      </c>
      <c r="J73" s="362">
        <f>Variante_B!$AI$20</f>
        <v>0</v>
      </c>
      <c r="K73" s="245">
        <f ca="1">Variante_C!$AF$20</f>
        <v>0</v>
      </c>
      <c r="L73" s="362">
        <f>Variante_C!$AI$20</f>
        <v>0</v>
      </c>
      <c r="M73" s="245">
        <f ca="1">Variante_D!$AF$20</f>
        <v>0</v>
      </c>
      <c r="N73" s="362">
        <f>Variante_D!$AI$20</f>
        <v>0</v>
      </c>
      <c r="O73" s="69"/>
      <c r="R73"/>
    </row>
    <row r="74" spans="3:18" ht="15.6" customHeight="1">
      <c r="C74" s="129" t="str">
        <f ca="1">Sprache!E419&amp;":"</f>
        <v>Installation Starkstrom:</v>
      </c>
      <c r="D74" s="58" t="s">
        <v>261</v>
      </c>
      <c r="E74" s="35" t="s">
        <v>175</v>
      </c>
      <c r="F74" s="82" t="s">
        <v>1244</v>
      </c>
      <c r="G74" s="245">
        <f ca="1">Variante_A!$AF$21</f>
        <v>0</v>
      </c>
      <c r="H74" s="362">
        <f ca="1">Variante_A!$AI$21</f>
        <v>0</v>
      </c>
      <c r="I74" s="245">
        <f ca="1">Variante_B!$AF$21</f>
        <v>0</v>
      </c>
      <c r="J74" s="362">
        <f ca="1">Variante_B!$AI$21</f>
        <v>0</v>
      </c>
      <c r="K74" s="245">
        <f ca="1">Variante_C!$AF$21</f>
        <v>0</v>
      </c>
      <c r="L74" s="362">
        <f ca="1">Variante_C!$AI$21</f>
        <v>0</v>
      </c>
      <c r="M74" s="245">
        <f ca="1">Variante_D!$AF$21</f>
        <v>0</v>
      </c>
      <c r="N74" s="362">
        <f ca="1">Variante_D!$AI$21</f>
        <v>0</v>
      </c>
      <c r="O74" s="69"/>
      <c r="R74"/>
    </row>
    <row r="75" spans="3:18" ht="15">
      <c r="C75" s="129" t="str">
        <f ca="1">Sprache!E420&amp;":"</f>
        <v>Gebäudeautomation:</v>
      </c>
      <c r="D75" s="58" t="s">
        <v>261</v>
      </c>
      <c r="E75" s="35" t="s">
        <v>175</v>
      </c>
      <c r="F75" s="82" t="s">
        <v>1228</v>
      </c>
      <c r="G75" s="245">
        <f ca="1">Variante_A!$AF$22</f>
        <v>0</v>
      </c>
      <c r="H75" s="362">
        <f>Variante_A!$AI$22</f>
        <v>0</v>
      </c>
      <c r="I75" s="245">
        <f ca="1">Variante_B!$AF$22</f>
        <v>0</v>
      </c>
      <c r="J75" s="362">
        <f>Variante_B!$AI$22</f>
        <v>0</v>
      </c>
      <c r="K75" s="245">
        <f ca="1">Variante_C!$AF$22</f>
        <v>0</v>
      </c>
      <c r="L75" s="362">
        <f>Variante_C!$AI$22</f>
        <v>0</v>
      </c>
      <c r="M75" s="245">
        <f ca="1">Variante_D!$AF$22</f>
        <v>0</v>
      </c>
      <c r="N75" s="362">
        <f>Variante_D!$AI$22</f>
        <v>0</v>
      </c>
      <c r="O75" s="69"/>
      <c r="R75"/>
    </row>
    <row r="76" spans="3:18" ht="15">
      <c r="C76" s="129" t="str">
        <f ca="1">Sprache!E421&amp;":"</f>
        <v>Wärmequellen, -senken, Lager:</v>
      </c>
      <c r="D76" s="58" t="s">
        <v>261</v>
      </c>
      <c r="E76" s="35" t="s">
        <v>175</v>
      </c>
      <c r="F76" s="82" t="s">
        <v>1217</v>
      </c>
      <c r="G76" s="245">
        <f ca="1">Variante_A!$AF$23</f>
        <v>0</v>
      </c>
      <c r="H76" s="362">
        <f ca="1">Variante_A!$AI$23</f>
        <v>0</v>
      </c>
      <c r="I76" s="245">
        <f ca="1">Variante_B!$AF$23</f>
        <v>0</v>
      </c>
      <c r="J76" s="362">
        <f ca="1">Variante_B!$AI$23</f>
        <v>0</v>
      </c>
      <c r="K76" s="245">
        <f ca="1">Variante_C!$AF$23</f>
        <v>0</v>
      </c>
      <c r="L76" s="362">
        <f ca="1">Variante_C!$AI$23</f>
        <v>0</v>
      </c>
      <c r="M76" s="245">
        <f ca="1">Variante_D!$AF$23</f>
        <v>0</v>
      </c>
      <c r="N76" s="362">
        <f ca="1">Variante_D!$AI$23</f>
        <v>0</v>
      </c>
      <c r="O76" s="69"/>
      <c r="R76"/>
    </row>
    <row r="77" spans="3:18" ht="15">
      <c r="C77" s="129" t="str">
        <f ca="1">Sprache!E105&amp;":"</f>
        <v>Wärmeerzeugung:</v>
      </c>
      <c r="D77" s="58" t="s">
        <v>261</v>
      </c>
      <c r="E77" s="35" t="s">
        <v>175</v>
      </c>
      <c r="F77" s="82" t="s">
        <v>1215</v>
      </c>
      <c r="G77" s="245">
        <f ca="1">Variante_A!$AF$24</f>
        <v>0</v>
      </c>
      <c r="H77" s="362">
        <f ca="1">Variante_A!$AI$24</f>
        <v>0</v>
      </c>
      <c r="I77" s="245">
        <f ca="1">Variante_B!$AF$24</f>
        <v>0</v>
      </c>
      <c r="J77" s="362">
        <f ca="1">Variante_B!$AI$24</f>
        <v>0</v>
      </c>
      <c r="K77" s="245">
        <f ca="1">Variante_C!$AF$24</f>
        <v>0</v>
      </c>
      <c r="L77" s="362">
        <f ca="1">Variante_C!$AI$24</f>
        <v>0</v>
      </c>
      <c r="M77" s="245">
        <f ca="1">Variante_D!$AF$24</f>
        <v>0</v>
      </c>
      <c r="N77" s="362">
        <f ca="1">Variante_D!$AI$24</f>
        <v>0</v>
      </c>
      <c r="O77" s="69"/>
      <c r="R77"/>
    </row>
    <row r="78" spans="3:18" ht="15">
      <c r="C78" s="129" t="str">
        <f ca="1">Sprache!E209&amp;":"</f>
        <v>Thermische Solaranlage:</v>
      </c>
      <c r="D78" s="58" t="s">
        <v>261</v>
      </c>
      <c r="E78" s="35" t="s">
        <v>175</v>
      </c>
      <c r="F78" s="82" t="s">
        <v>1254</v>
      </c>
      <c r="G78" s="245">
        <f ca="1">Variante_A!$AF$25</f>
        <v>0</v>
      </c>
      <c r="H78" s="362">
        <f>Variante_A!$AI$25</f>
        <v>0</v>
      </c>
      <c r="I78" s="245">
        <f ca="1">Variante_B!$AF$25</f>
        <v>0</v>
      </c>
      <c r="J78" s="362">
        <f>Variante_B!$AI$25</f>
        <v>0</v>
      </c>
      <c r="K78" s="245">
        <f ca="1">Variante_C!$AF$25</f>
        <v>0</v>
      </c>
      <c r="L78" s="362">
        <f>Variante_C!$AI$25</f>
        <v>0</v>
      </c>
      <c r="M78" s="245">
        <f ca="1">Variante_D!$AF$25</f>
        <v>0</v>
      </c>
      <c r="N78" s="362">
        <f>Variante_D!$AI$25</f>
        <v>0</v>
      </c>
      <c r="O78" s="69"/>
      <c r="R78"/>
    </row>
    <row r="79" spans="3:18" ht="15">
      <c r="C79" s="129" t="str">
        <f ca="1">Sprache!E383&amp;":"</f>
        <v>Kamin:</v>
      </c>
      <c r="D79" s="58" t="s">
        <v>261</v>
      </c>
      <c r="E79" s="35" t="s">
        <v>175</v>
      </c>
      <c r="F79" s="82" t="s">
        <v>1256</v>
      </c>
      <c r="G79" s="245">
        <f ca="1">Variante_A!$AF$26</f>
        <v>0</v>
      </c>
      <c r="H79" s="362">
        <f ca="1">Variante_A!$AI$26</f>
        <v>0</v>
      </c>
      <c r="I79" s="245">
        <f ca="1">Variante_B!$AF$26</f>
        <v>0</v>
      </c>
      <c r="J79" s="362">
        <f ca="1">Variante_B!$AI$26</f>
        <v>0</v>
      </c>
      <c r="K79" s="245">
        <f ca="1">Variante_C!$AF$26</f>
        <v>0</v>
      </c>
      <c r="L79" s="362">
        <f ca="1">Variante_C!$AI$26</f>
        <v>0</v>
      </c>
      <c r="M79" s="245">
        <f ca="1">Variante_D!$AF$26</f>
        <v>0</v>
      </c>
      <c r="N79" s="362">
        <f ca="1">Variante_D!$AI$26</f>
        <v>0</v>
      </c>
      <c r="O79" s="69"/>
      <c r="R79"/>
    </row>
    <row r="80" spans="3:18">
      <c r="C80" s="129" t="str">
        <f ca="1">Sprache!E422&amp;":"</f>
        <v>Wärmespeicherung:</v>
      </c>
      <c r="D80" s="58" t="s">
        <v>261</v>
      </c>
      <c r="E80" s="35" t="s">
        <v>175</v>
      </c>
      <c r="F80" s="82" t="s">
        <v>1218</v>
      </c>
      <c r="G80" s="245">
        <f ca="1">Variante_A!$AF$27</f>
        <v>0</v>
      </c>
      <c r="H80" s="362">
        <f ca="1">Variante_A!$AI$27</f>
        <v>0</v>
      </c>
      <c r="I80" s="245">
        <f ca="1">Variante_B!$AF$27</f>
        <v>0</v>
      </c>
      <c r="J80" s="362">
        <f ca="1">Variante_B!$AI$27</f>
        <v>0</v>
      </c>
      <c r="K80" s="245">
        <f ca="1">Variante_C!$AF$27</f>
        <v>0</v>
      </c>
      <c r="L80" s="362">
        <f ca="1">Variante_C!$AI$27</f>
        <v>0</v>
      </c>
      <c r="M80" s="245">
        <f ca="1">Variante_D!$AF$27</f>
        <v>0</v>
      </c>
      <c r="N80" s="362">
        <f ca="1">Variante_D!$AI$27</f>
        <v>0</v>
      </c>
      <c r="O80" s="69"/>
    </row>
    <row r="81" spans="1:15">
      <c r="C81" s="129" t="str">
        <f ca="1">Sprache!E423&amp;":"</f>
        <v>Wärmeverteilung:</v>
      </c>
      <c r="D81" s="58" t="s">
        <v>261</v>
      </c>
      <c r="E81" s="35" t="s">
        <v>175</v>
      </c>
      <c r="F81" s="82" t="s">
        <v>1219</v>
      </c>
      <c r="G81" s="245">
        <f ca="1">Variante_A!$AF$28</f>
        <v>0</v>
      </c>
      <c r="H81" s="362">
        <f>Variante_A!$AI$28</f>
        <v>0</v>
      </c>
      <c r="I81" s="245">
        <f ca="1">Variante_B!$AF$28</f>
        <v>0</v>
      </c>
      <c r="J81" s="362">
        <f>Variante_B!$AI$28</f>
        <v>0</v>
      </c>
      <c r="K81" s="245">
        <f ca="1">Variante_C!$AF$28</f>
        <v>0</v>
      </c>
      <c r="L81" s="362">
        <f>Variante_C!$AI$28</f>
        <v>0</v>
      </c>
      <c r="M81" s="245">
        <f ca="1">Variante_D!$AF$28</f>
        <v>0</v>
      </c>
      <c r="N81" s="362">
        <f>Variante_D!$AI$28</f>
        <v>0</v>
      </c>
      <c r="O81" s="69"/>
    </row>
    <row r="82" spans="1:15">
      <c r="C82" s="129" t="str">
        <f ca="1">Sprache!E424&amp;":"</f>
        <v>Wärmeabgabe:</v>
      </c>
      <c r="D82" s="58" t="s">
        <v>261</v>
      </c>
      <c r="E82" s="35" t="s">
        <v>175</v>
      </c>
      <c r="F82" s="82" t="s">
        <v>1226</v>
      </c>
      <c r="G82" s="245">
        <f ca="1">Variante_A!$AF$29</f>
        <v>0</v>
      </c>
      <c r="H82" s="362">
        <f>Variante_A!$AI$29</f>
        <v>0</v>
      </c>
      <c r="I82" s="245">
        <f ca="1">Variante_B!$AF$29</f>
        <v>0</v>
      </c>
      <c r="J82" s="362">
        <f>Variante_B!$AI$29</f>
        <v>0</v>
      </c>
      <c r="K82" s="245">
        <f ca="1">Variante_C!$AF$29</f>
        <v>0</v>
      </c>
      <c r="L82" s="362">
        <f>Variante_C!$AI$29</f>
        <v>0</v>
      </c>
      <c r="M82" s="245">
        <f ca="1">Variante_D!$AF$29</f>
        <v>0</v>
      </c>
      <c r="N82" s="362">
        <f>Variante_D!$AI$29</f>
        <v>0</v>
      </c>
      <c r="O82" s="69"/>
    </row>
    <row r="83" spans="1:15">
      <c r="C83" s="129" t="str">
        <f ca="1">Sprache!E425&amp;":"</f>
        <v>Wasserspeicher:</v>
      </c>
      <c r="D83" s="58" t="s">
        <v>261</v>
      </c>
      <c r="E83" s="35" t="s">
        <v>175</v>
      </c>
      <c r="F83" s="82" t="s">
        <v>1225</v>
      </c>
      <c r="G83" s="245">
        <f ca="1">Variante_A!$AF$30</f>
        <v>0</v>
      </c>
      <c r="H83" s="362">
        <f>Variante_A!$AI$30</f>
        <v>0</v>
      </c>
      <c r="I83" s="245">
        <f ca="1">Variante_B!$AF$30</f>
        <v>0</v>
      </c>
      <c r="J83" s="362">
        <f>Variante_B!$AI$30</f>
        <v>0</v>
      </c>
      <c r="K83" s="245">
        <f ca="1">Variante_C!$AF$30</f>
        <v>0</v>
      </c>
      <c r="L83" s="362">
        <f>Variante_C!$AI$30</f>
        <v>0</v>
      </c>
      <c r="M83" s="245">
        <f ca="1">Variante_D!$AF$30</f>
        <v>0</v>
      </c>
      <c r="N83" s="362">
        <f>Variante_D!$AI$30</f>
        <v>0</v>
      </c>
      <c r="O83" s="69"/>
    </row>
    <row r="84" spans="1:15">
      <c r="C84" s="129" t="str">
        <f ca="1">Sprache!E426&amp;":"</f>
        <v>Umgebungsgestaltung:</v>
      </c>
      <c r="D84" s="58" t="s">
        <v>261</v>
      </c>
      <c r="E84" s="35" t="s">
        <v>175</v>
      </c>
      <c r="F84" s="82" t="s">
        <v>1229</v>
      </c>
      <c r="G84" s="245">
        <f ca="1">Variante_A!$AF$31</f>
        <v>0</v>
      </c>
      <c r="H84" s="362">
        <f ca="1">Variante_A!$AI$31</f>
        <v>0</v>
      </c>
      <c r="I84" s="245">
        <f ca="1">Variante_B!$AF$31</f>
        <v>0</v>
      </c>
      <c r="J84" s="362">
        <f ca="1">Variante_B!$AI$31</f>
        <v>0</v>
      </c>
      <c r="K84" s="245">
        <f ca="1">Variante_C!$AF$31</f>
        <v>0</v>
      </c>
      <c r="L84" s="362">
        <f ca="1">Variante_C!$AI$31</f>
        <v>0</v>
      </c>
      <c r="M84" s="245">
        <f ca="1">Variante_D!$AF$31</f>
        <v>0</v>
      </c>
      <c r="N84" s="362">
        <f ca="1">Variante_D!$AI$31</f>
        <v>0</v>
      </c>
      <c r="O84" s="69"/>
    </row>
    <row r="85" spans="1:15">
      <c r="C85" s="129" t="str">
        <f ca="1">Sprache!$E$353&amp;":"</f>
        <v>Investitionskosten (Summe):</v>
      </c>
      <c r="D85" s="58" t="s">
        <v>261</v>
      </c>
      <c r="E85" s="35" t="s">
        <v>175</v>
      </c>
      <c r="F85" s="1"/>
      <c r="G85" s="245">
        <f t="shared" ref="G85:N85" ca="1" si="7">SUM(G71:G84)</f>
        <v>0</v>
      </c>
      <c r="H85" s="362">
        <f t="shared" ca="1" si="7"/>
        <v>0</v>
      </c>
      <c r="I85" s="245">
        <f t="shared" ca="1" si="7"/>
        <v>0</v>
      </c>
      <c r="J85" s="362">
        <f t="shared" ca="1" si="7"/>
        <v>0</v>
      </c>
      <c r="K85" s="245">
        <f t="shared" ca="1" si="7"/>
        <v>0</v>
      </c>
      <c r="L85" s="362">
        <f t="shared" ca="1" si="7"/>
        <v>0</v>
      </c>
      <c r="M85" s="245">
        <f t="shared" ca="1" si="7"/>
        <v>0</v>
      </c>
      <c r="N85" s="362">
        <f t="shared" ca="1" si="7"/>
        <v>0</v>
      </c>
      <c r="O85" s="69"/>
    </row>
    <row r="86" spans="1:15" ht="14.25">
      <c r="A86" s="267"/>
      <c r="B86" s="268"/>
      <c r="C86" s="324" t="str">
        <f ca="1">Sprache!$E$354</f>
        <v>Honorar, Gebühren</v>
      </c>
      <c r="D86" s="58"/>
      <c r="F86" s="1"/>
      <c r="G86" s="227"/>
      <c r="H86" s="227"/>
      <c r="I86" s="227"/>
      <c r="J86" s="227"/>
      <c r="K86" s="227"/>
      <c r="L86" s="227"/>
      <c r="M86" s="227"/>
      <c r="N86" s="227"/>
      <c r="O86" s="69"/>
    </row>
    <row r="87" spans="1:15" ht="14.25">
      <c r="A87" s="267"/>
      <c r="C87" s="322" t="str">
        <f ca="1">Sprache!$E$354&amp;":"</f>
        <v>Honorar, Gebühren:</v>
      </c>
      <c r="D87" s="58"/>
      <c r="E87" s="35" t="s">
        <v>175</v>
      </c>
      <c r="F87" s="35" t="s">
        <v>1221</v>
      </c>
      <c r="G87" s="245">
        <f ca="1">Variante_A!$M$157</f>
        <v>0</v>
      </c>
      <c r="H87" s="380"/>
      <c r="I87" s="245">
        <f ca="1">Variante_B!$M$157</f>
        <v>0</v>
      </c>
      <c r="J87" s="380"/>
      <c r="K87" s="245">
        <f ca="1">Variante_C!$M$157</f>
        <v>0</v>
      </c>
      <c r="L87" s="380"/>
      <c r="M87" s="245">
        <f ca="1">Variante_D!$M$157</f>
        <v>0</v>
      </c>
      <c r="N87" s="380"/>
      <c r="O87" s="69"/>
    </row>
    <row r="88" spans="1:15" ht="14.25">
      <c r="A88" s="267"/>
      <c r="C88" s="322" t="str">
        <f ca="1">Sprache!$E$159&amp;":"</f>
        <v>Summe:</v>
      </c>
      <c r="D88" s="58"/>
      <c r="E88" s="35" t="s">
        <v>175</v>
      </c>
      <c r="G88" s="245">
        <f ca="1">G85+G87</f>
        <v>0</v>
      </c>
      <c r="H88" s="362">
        <f t="shared" ref="H88:N88" ca="1" si="8">H85+H87</f>
        <v>0</v>
      </c>
      <c r="I88" s="245">
        <f t="shared" ca="1" si="8"/>
        <v>0</v>
      </c>
      <c r="J88" s="362">
        <f t="shared" ca="1" si="8"/>
        <v>0</v>
      </c>
      <c r="K88" s="245">
        <f t="shared" ca="1" si="8"/>
        <v>0</v>
      </c>
      <c r="L88" s="362">
        <f t="shared" ca="1" si="8"/>
        <v>0</v>
      </c>
      <c r="M88" s="245">
        <f t="shared" ca="1" si="8"/>
        <v>0</v>
      </c>
      <c r="N88" s="362">
        <f t="shared" ca="1" si="8"/>
        <v>0</v>
      </c>
      <c r="O88" s="69"/>
    </row>
    <row r="89" spans="1:15" ht="14.25">
      <c r="A89" s="267"/>
      <c r="C89" s="322" t="str">
        <f ca="1">Sprache!$E$414&amp;":"</f>
        <v>Summe Variante:</v>
      </c>
      <c r="D89" s="58"/>
      <c r="E89" s="35" t="s">
        <v>175</v>
      </c>
      <c r="G89" s="245">
        <f ca="1">G88+H88</f>
        <v>0</v>
      </c>
      <c r="H89" s="380"/>
      <c r="I89" s="245">
        <f ca="1">I88+J88</f>
        <v>0</v>
      </c>
      <c r="J89" s="380"/>
      <c r="K89" s="245">
        <f ca="1">K88+L88</f>
        <v>0</v>
      </c>
      <c r="L89" s="380"/>
      <c r="M89" s="245">
        <f ca="1">M88+N88</f>
        <v>0</v>
      </c>
      <c r="N89" s="380"/>
      <c r="O89" s="69"/>
    </row>
    <row r="90" spans="1:15">
      <c r="C90" s="7"/>
      <c r="D90" s="58"/>
      <c r="G90" s="69"/>
      <c r="H90" s="69"/>
      <c r="I90" s="69"/>
      <c r="J90" s="69"/>
      <c r="K90" s="69"/>
      <c r="L90" s="69"/>
      <c r="M90" s="69"/>
      <c r="N90" s="69"/>
      <c r="O90" s="69"/>
    </row>
    <row r="91" spans="1:15">
      <c r="C91" s="120" t="str">
        <f ca="1">Sprache!E264</f>
        <v>Subventionen</v>
      </c>
      <c r="D91" s="58"/>
      <c r="G91" s="69"/>
      <c r="H91" s="69"/>
      <c r="I91" s="69"/>
      <c r="J91" s="69"/>
      <c r="K91" s="69"/>
      <c r="L91" s="69"/>
      <c r="M91" s="69"/>
      <c r="N91" s="69"/>
      <c r="O91" s="69"/>
    </row>
    <row r="92" spans="1:15">
      <c r="C92" s="7" t="str">
        <f ca="1">Sprache!E134&amp;":"</f>
        <v>Wärmeerzeugung:</v>
      </c>
      <c r="D92" s="58"/>
      <c r="E92" s="35" t="s">
        <v>175</v>
      </c>
      <c r="F92" s="82" t="s">
        <v>1215</v>
      </c>
      <c r="G92" s="245">
        <f ca="1">Variante_A!$AG$24</f>
        <v>0</v>
      </c>
      <c r="H92" s="362">
        <f ca="1">Variante_A!$AJ$24</f>
        <v>0</v>
      </c>
      <c r="I92" s="245">
        <f ca="1">Variante_B!$AG$24</f>
        <v>0</v>
      </c>
      <c r="J92" s="362">
        <f ca="1">Variante_B!$AJ$24</f>
        <v>0</v>
      </c>
      <c r="K92" s="245">
        <f ca="1">Variante_C!$AG$24</f>
        <v>0</v>
      </c>
      <c r="L92" s="362">
        <f ca="1">Variante_C!$AJ$24</f>
        <v>0</v>
      </c>
      <c r="M92" s="245">
        <f ca="1">Variante_D!$AG$24</f>
        <v>0</v>
      </c>
      <c r="N92" s="362">
        <f ca="1">Variante_D!$AJ$24</f>
        <v>0</v>
      </c>
      <c r="O92" s="69"/>
    </row>
    <row r="93" spans="1:15">
      <c r="C93" s="7" t="str">
        <f ca="1">Sprache!E209 &amp; ":"</f>
        <v>Thermische Solaranlage:</v>
      </c>
      <c r="D93" s="58"/>
      <c r="E93" s="35" t="s">
        <v>175</v>
      </c>
      <c r="F93" s="82" t="s">
        <v>1254</v>
      </c>
      <c r="G93" s="245">
        <f ca="1">Variante_A!$AG$25</f>
        <v>0</v>
      </c>
      <c r="H93" s="380"/>
      <c r="I93" s="245">
        <f ca="1">Variante_B!$AG$25</f>
        <v>0</v>
      </c>
      <c r="J93" s="380"/>
      <c r="K93" s="245">
        <f ca="1">Variante_C!$AG$25</f>
        <v>0</v>
      </c>
      <c r="L93" s="380"/>
      <c r="M93" s="245">
        <f ca="1">Variante_D!$AG$25</f>
        <v>0</v>
      </c>
      <c r="N93" s="380"/>
      <c r="O93" s="69"/>
    </row>
    <row r="94" spans="1:15">
      <c r="C94" s="7" t="str">
        <f ca="1">Sprache!E270 &amp; ":"</f>
        <v>PV-Anlage:</v>
      </c>
      <c r="D94" s="58"/>
      <c r="E94" s="35" t="s">
        <v>175</v>
      </c>
      <c r="F94" s="35" t="s">
        <v>1223</v>
      </c>
      <c r="G94" s="245">
        <f ca="1">Variante_A!$AG$20</f>
        <v>0</v>
      </c>
      <c r="H94" s="380"/>
      <c r="I94" s="245">
        <f ca="1">Variante_B!$AG$20</f>
        <v>0</v>
      </c>
      <c r="J94" s="380"/>
      <c r="K94" s="245">
        <f ca="1">Variante_C!$AG$20</f>
        <v>0</v>
      </c>
      <c r="L94" s="380"/>
      <c r="M94" s="245">
        <f ca="1">Variante_D!$AG$20</f>
        <v>0</v>
      </c>
      <c r="N94" s="380"/>
      <c r="O94" s="69"/>
    </row>
    <row r="95" spans="1:15">
      <c r="C95" s="7" t="str">
        <f ca="1">Sprache!E159&amp;":"</f>
        <v>Summe:</v>
      </c>
      <c r="D95" s="58"/>
      <c r="E95" s="35" t="s">
        <v>175</v>
      </c>
      <c r="G95" s="245">
        <f ca="1">SUM(G92:G94)</f>
        <v>0</v>
      </c>
      <c r="H95" s="362">
        <f t="shared" ref="H95:N95" ca="1" si="9">SUM(H92:H94)</f>
        <v>0</v>
      </c>
      <c r="I95" s="245">
        <f t="shared" ca="1" si="9"/>
        <v>0</v>
      </c>
      <c r="J95" s="362">
        <f t="shared" ca="1" si="9"/>
        <v>0</v>
      </c>
      <c r="K95" s="245">
        <f t="shared" ca="1" si="9"/>
        <v>0</v>
      </c>
      <c r="L95" s="362">
        <f t="shared" ca="1" si="9"/>
        <v>0</v>
      </c>
      <c r="M95" s="245">
        <f t="shared" ca="1" si="9"/>
        <v>0</v>
      </c>
      <c r="N95" s="362">
        <f t="shared" ca="1" si="9"/>
        <v>0</v>
      </c>
      <c r="O95" s="69"/>
    </row>
    <row r="96" spans="1:15">
      <c r="C96" s="7"/>
      <c r="D96" s="58"/>
      <c r="G96" s="227"/>
      <c r="H96" s="227"/>
      <c r="I96" s="227"/>
      <c r="J96" s="227"/>
      <c r="K96" s="227"/>
      <c r="L96" s="227"/>
      <c r="M96" s="227"/>
      <c r="N96" s="227"/>
      <c r="O96" s="69"/>
    </row>
    <row r="97" spans="2:15">
      <c r="C97" s="7" t="str">
        <f ca="1">Sprache!E113&amp;":"</f>
        <v>Investitionskosten:</v>
      </c>
      <c r="D97" s="58" t="s">
        <v>261</v>
      </c>
      <c r="E97" s="35" t="s">
        <v>175</v>
      </c>
      <c r="G97" s="245">
        <f ca="1">G85+G87-G95</f>
        <v>0</v>
      </c>
      <c r="H97" s="362">
        <f ca="1">H85+H87-H95</f>
        <v>0</v>
      </c>
      <c r="I97" s="245">
        <f t="shared" ref="I97:N97" ca="1" si="10">I85+I87-I95</f>
        <v>0</v>
      </c>
      <c r="J97" s="362">
        <f t="shared" ca="1" si="10"/>
        <v>0</v>
      </c>
      <c r="K97" s="245">
        <f t="shared" ca="1" si="10"/>
        <v>0</v>
      </c>
      <c r="L97" s="362">
        <f t="shared" ca="1" si="10"/>
        <v>0</v>
      </c>
      <c r="M97" s="248">
        <f t="shared" ca="1" si="10"/>
        <v>0</v>
      </c>
      <c r="N97" s="362">
        <f t="shared" ca="1" si="10"/>
        <v>0</v>
      </c>
      <c r="O97" s="69"/>
    </row>
    <row r="98" spans="2:15">
      <c r="C98" s="129" t="str">
        <f ca="1">Sprache!$E$113&amp;":"</f>
        <v>Investitionskosten:</v>
      </c>
      <c r="D98" s="58" t="s">
        <v>261</v>
      </c>
      <c r="E98" s="35" t="s">
        <v>175</v>
      </c>
      <c r="G98" s="245">
        <f ca="1">G97+H97</f>
        <v>0</v>
      </c>
      <c r="H98" s="380"/>
      <c r="I98" s="245">
        <f ca="1">I97+J97</f>
        <v>0</v>
      </c>
      <c r="J98" s="380"/>
      <c r="K98" s="245">
        <f ca="1">K97+L97</f>
        <v>0</v>
      </c>
      <c r="L98" s="380"/>
      <c r="M98" s="248">
        <f ca="1">M97+N97</f>
        <v>0</v>
      </c>
      <c r="N98" s="380"/>
      <c r="O98" s="69"/>
    </row>
    <row r="99" spans="2:15">
      <c r="C99" s="129" t="str">
        <f ca="1">Sprache!$E$336&amp;":"</f>
        <v>Mehrwertsteuer (MwSt.):</v>
      </c>
      <c r="D99" s="58"/>
      <c r="E99" s="35" t="s">
        <v>175</v>
      </c>
      <c r="G99" s="245">
        <f ca="1">Variante_A!$AH$33+Variante_A!$AK$33</f>
        <v>0</v>
      </c>
      <c r="H99" s="380"/>
      <c r="I99" s="245">
        <f ca="1">Variante_B!$AH$33+Variante_B!$AK$33</f>
        <v>0</v>
      </c>
      <c r="J99" s="380"/>
      <c r="K99" s="245">
        <f ca="1">Variante_C!$AH$33+Variante_C!$AK$33</f>
        <v>0</v>
      </c>
      <c r="L99" s="380"/>
      <c r="M99" s="245">
        <f ca="1">Variante_D!$AH$33+Variante_D!$AK$33</f>
        <v>0</v>
      </c>
      <c r="N99" s="380"/>
      <c r="O99" s="69"/>
    </row>
    <row r="100" spans="2:15">
      <c r="C100" s="129" t="str">
        <f ca="1">Sprache!$E$356&amp;":"</f>
        <v>Investitionskosten (inkl. MwSt.):</v>
      </c>
      <c r="D100" s="58" t="s">
        <v>261</v>
      </c>
      <c r="E100" s="35" t="s">
        <v>175</v>
      </c>
      <c r="G100" s="245">
        <f ca="1">G98+G99</f>
        <v>0</v>
      </c>
      <c r="H100" s="380"/>
      <c r="I100" s="245">
        <f ca="1">I98+I99</f>
        <v>0</v>
      </c>
      <c r="J100" s="380"/>
      <c r="K100" s="245">
        <f ca="1">K98+K99</f>
        <v>0</v>
      </c>
      <c r="L100" s="380"/>
      <c r="M100" s="245">
        <f ca="1">M98+M99</f>
        <v>0</v>
      </c>
      <c r="N100" s="380"/>
      <c r="O100" s="69"/>
    </row>
    <row r="101" spans="2:15">
      <c r="C101" s="7"/>
      <c r="D101" s="58"/>
      <c r="G101" s="227"/>
      <c r="H101" s="227"/>
      <c r="I101" s="227"/>
      <c r="J101" s="227"/>
      <c r="K101" s="227"/>
      <c r="L101" s="227"/>
      <c r="M101" s="227"/>
      <c r="N101" s="227"/>
      <c r="O101" s="69"/>
    </row>
    <row r="102" spans="2:15">
      <c r="B102" s="65"/>
      <c r="C102" s="120" t="str">
        <f ca="1">Sprache!E201</f>
        <v>Jährliche Unterhaltskosten (inkl. MwSt.)</v>
      </c>
      <c r="D102" s="58"/>
      <c r="G102" s="227"/>
      <c r="H102" s="227"/>
      <c r="I102" s="227"/>
      <c r="J102" s="227"/>
      <c r="K102" s="227"/>
      <c r="L102" s="227"/>
      <c r="M102" s="227"/>
      <c r="N102" s="227"/>
      <c r="O102" s="69"/>
    </row>
    <row r="103" spans="2:15" ht="15.75">
      <c r="C103" s="7" t="str">
        <f ca="1">Sprache!E134&amp;":"</f>
        <v>Wärmeerzeugung:</v>
      </c>
      <c r="D103" s="58" t="s">
        <v>216</v>
      </c>
      <c r="E103" s="35" t="s">
        <v>225</v>
      </c>
      <c r="G103" s="245">
        <f ca="1">SUM(Variante_A!$M$163:$M$207)*(1+Projektdaten!$E$62)</f>
        <v>0</v>
      </c>
      <c r="H103" s="362">
        <f ca="1">SUM(Variante_A!$X$163:$X$207)*(1+Projektdaten!$E$62)</f>
        <v>0</v>
      </c>
      <c r="I103" s="245">
        <f ca="1">SUM(Variante_B!$M$163:$M$207)*(1+Projektdaten!$E$62)</f>
        <v>0</v>
      </c>
      <c r="J103" s="362">
        <f ca="1">SUM(Variante_B!$X$163:$X$207)*(1+Projektdaten!$E$62)</f>
        <v>0</v>
      </c>
      <c r="K103" s="245">
        <f ca="1">SUM(Variante_C!$M$163:$M$207)*(1+Projektdaten!$E$62)</f>
        <v>0</v>
      </c>
      <c r="L103" s="362">
        <f ca="1">SUM(Variante_C!$X$163:$X$207)*(1+Projektdaten!$E$62)</f>
        <v>0</v>
      </c>
      <c r="M103" s="245">
        <f ca="1">SUM(Variante_D!$M$163:$M$207)*(1+Projektdaten!$E$62)</f>
        <v>0</v>
      </c>
      <c r="N103" s="362">
        <f ca="1">SUM(Variante_D!$X$163:$X$207)*(1+Projektdaten!$E$62)</f>
        <v>0</v>
      </c>
      <c r="O103" s="69"/>
    </row>
    <row r="104" spans="2:15" ht="15.75">
      <c r="C104" s="7" t="str">
        <f ca="1">Sprache!E209 &amp; ":"</f>
        <v>Thermische Solaranlage:</v>
      </c>
      <c r="D104" s="58" t="s">
        <v>216</v>
      </c>
      <c r="E104" s="35" t="s">
        <v>225</v>
      </c>
      <c r="G104" s="245">
        <f ca="1">Variante_A!$M$211*(1+Projektdaten!$E$62)</f>
        <v>0</v>
      </c>
      <c r="H104" s="380"/>
      <c r="I104" s="245">
        <f ca="1">Variante_B!$M$211*(1+Projektdaten!$E$62)</f>
        <v>0</v>
      </c>
      <c r="J104" s="380"/>
      <c r="K104" s="245">
        <f ca="1">Variante_C!$M$211*(1+Projektdaten!$E$62)</f>
        <v>0</v>
      </c>
      <c r="L104" s="380"/>
      <c r="M104" s="245">
        <f ca="1">Variante_D!$M$211*(1+Projektdaten!$E$62)</f>
        <v>0</v>
      </c>
      <c r="N104" s="380"/>
      <c r="O104" s="69"/>
    </row>
    <row r="105" spans="2:15" ht="15.75">
      <c r="C105" s="7" t="str">
        <f ca="1">Sprache!E270&amp;":"</f>
        <v>PV-Anlage:</v>
      </c>
      <c r="D105" s="58" t="s">
        <v>216</v>
      </c>
      <c r="E105" s="35" t="s">
        <v>225</v>
      </c>
      <c r="G105" s="245">
        <f ca="1">Variante_A!$M$214*(1+Projektdaten!$E$62)</f>
        <v>0</v>
      </c>
      <c r="H105" s="380"/>
      <c r="I105" s="245">
        <f ca="1">Variante_B!$M$214*(1+Projektdaten!$E$62)</f>
        <v>0</v>
      </c>
      <c r="J105" s="380"/>
      <c r="K105" s="245">
        <f ca="1">Variante_C!$M$214*(1+Projektdaten!$E$62)</f>
        <v>0</v>
      </c>
      <c r="L105" s="380"/>
      <c r="M105" s="245">
        <f ca="1">Variante_D!$M$214*(1+Projektdaten!$E$62)</f>
        <v>0</v>
      </c>
      <c r="N105" s="380"/>
      <c r="O105" s="69"/>
    </row>
    <row r="106" spans="2:15" ht="15.75">
      <c r="C106" s="7" t="str">
        <f ca="1">Sprache!E159&amp;":"</f>
        <v>Summe:</v>
      </c>
      <c r="D106" s="58" t="s">
        <v>216</v>
      </c>
      <c r="E106" s="35" t="s">
        <v>225</v>
      </c>
      <c r="G106" s="245">
        <f ca="1">SUM(G103:G105)</f>
        <v>0</v>
      </c>
      <c r="H106" s="362">
        <f t="shared" ref="H106:N106" ca="1" si="11">SUM(H103:H105)</f>
        <v>0</v>
      </c>
      <c r="I106" s="245">
        <f t="shared" ca="1" si="11"/>
        <v>0</v>
      </c>
      <c r="J106" s="362">
        <f t="shared" ca="1" si="11"/>
        <v>0</v>
      </c>
      <c r="K106" s="245">
        <f t="shared" ca="1" si="11"/>
        <v>0</v>
      </c>
      <c r="L106" s="362">
        <f t="shared" ca="1" si="11"/>
        <v>0</v>
      </c>
      <c r="M106" s="245">
        <f t="shared" ca="1" si="11"/>
        <v>0</v>
      </c>
      <c r="N106" s="362">
        <f t="shared" ca="1" si="11"/>
        <v>0</v>
      </c>
      <c r="O106" s="69"/>
    </row>
    <row r="107" spans="2:15">
      <c r="C107" s="7"/>
      <c r="D107" s="58"/>
      <c r="G107" s="227"/>
      <c r="H107" s="227"/>
      <c r="I107" s="227"/>
      <c r="J107" s="227"/>
      <c r="K107" s="227"/>
      <c r="L107" s="227"/>
      <c r="M107" s="227"/>
      <c r="N107" s="227"/>
      <c r="O107" s="69"/>
    </row>
    <row r="108" spans="2:15">
      <c r="C108" s="120" t="str">
        <f ca="1">Sprache!E432</f>
        <v>Energiekosten (inkl. MwSt.)</v>
      </c>
      <c r="D108" s="58"/>
      <c r="G108" s="35"/>
      <c r="H108" s="35"/>
      <c r="I108" s="35"/>
      <c r="J108" s="35"/>
      <c r="K108" s="35"/>
      <c r="L108" s="35"/>
      <c r="M108" s="35"/>
      <c r="N108" s="35"/>
    </row>
    <row r="109" spans="2:15" ht="15.75">
      <c r="C109" s="7" t="str">
        <f ca="1">Sprache!E133 &amp; ":"</f>
        <v>Leistungskosten:</v>
      </c>
      <c r="D109" s="58" t="s">
        <v>217</v>
      </c>
      <c r="E109" s="35" t="s">
        <v>225</v>
      </c>
      <c r="G109" s="245">
        <f ca="1">Energie!E157</f>
        <v>0</v>
      </c>
      <c r="H109" s="362">
        <f ca="1">Energie!F157</f>
        <v>0</v>
      </c>
      <c r="I109" s="245">
        <f ca="1">Energie!G157</f>
        <v>0</v>
      </c>
      <c r="J109" s="362">
        <f ca="1">Energie!H157</f>
        <v>0</v>
      </c>
      <c r="K109" s="245">
        <f ca="1">Energie!I157</f>
        <v>0</v>
      </c>
      <c r="L109" s="362">
        <f ca="1">Energie!J157</f>
        <v>0</v>
      </c>
      <c r="M109" s="245">
        <f ca="1">Energie!K157</f>
        <v>0</v>
      </c>
      <c r="N109" s="362">
        <f ca="1">Energie!L157</f>
        <v>0</v>
      </c>
      <c r="O109" s="69"/>
    </row>
    <row r="110" spans="2:15" ht="15.75">
      <c r="C110" s="7" t="str">
        <f ca="1">Sprache!E141 &amp; ":"</f>
        <v>Energiekosten:</v>
      </c>
      <c r="D110" s="58" t="s">
        <v>218</v>
      </c>
      <c r="E110" s="35" t="s">
        <v>225</v>
      </c>
      <c r="G110" s="245">
        <f ca="1">Energie!E158</f>
        <v>0</v>
      </c>
      <c r="H110" s="362">
        <f ca="1">Energie!F158</f>
        <v>0</v>
      </c>
      <c r="I110" s="245">
        <f ca="1">Energie!G158</f>
        <v>0</v>
      </c>
      <c r="J110" s="362">
        <f ca="1">Energie!H158</f>
        <v>0</v>
      </c>
      <c r="K110" s="245">
        <f ca="1">Energie!I158</f>
        <v>0</v>
      </c>
      <c r="L110" s="362">
        <f ca="1">Energie!J158</f>
        <v>0</v>
      </c>
      <c r="M110" s="245">
        <f ca="1">Energie!K158</f>
        <v>0</v>
      </c>
      <c r="N110" s="362">
        <f ca="1">Energie!L158</f>
        <v>0</v>
      </c>
      <c r="O110" s="69"/>
    </row>
    <row r="111" spans="2:15">
      <c r="C111" s="7" t="str">
        <f ca="1">Sprache!E283&amp;":"</f>
        <v>Erlös aus Stromverkauf:</v>
      </c>
      <c r="D111" s="58"/>
      <c r="E111" s="35" t="s">
        <v>225</v>
      </c>
      <c r="G111" s="245">
        <f ca="1">-Energie!E159</f>
        <v>0</v>
      </c>
      <c r="H111" s="362">
        <f ca="1">-Energie!F159</f>
        <v>0</v>
      </c>
      <c r="I111" s="245">
        <f ca="1">-Energie!G159</f>
        <v>0</v>
      </c>
      <c r="J111" s="362">
        <f ca="1">-Energie!H159</f>
        <v>0</v>
      </c>
      <c r="K111" s="245">
        <f ca="1">-Energie!I159</f>
        <v>0</v>
      </c>
      <c r="L111" s="362">
        <f ca="1">-Energie!J159</f>
        <v>0</v>
      </c>
      <c r="M111" s="245">
        <f ca="1">-Energie!K159</f>
        <v>0</v>
      </c>
      <c r="N111" s="362">
        <f ca="1">-Energie!L159</f>
        <v>0</v>
      </c>
      <c r="O111" s="69"/>
    </row>
    <row r="112" spans="2:15">
      <c r="C112" s="7" t="str">
        <f ca="1">Sprache!E470&amp;":"</f>
        <v>Einsparungen durch Eigennutzung:</v>
      </c>
      <c r="D112" s="58"/>
      <c r="E112" s="35" t="s">
        <v>225</v>
      </c>
      <c r="G112" s="245">
        <f ca="1">-Energie!E160</f>
        <v>0</v>
      </c>
      <c r="H112" s="362">
        <f ca="1">-Energie!F160</f>
        <v>0</v>
      </c>
      <c r="I112" s="245">
        <f ca="1">-Energie!G160</f>
        <v>0</v>
      </c>
      <c r="J112" s="362">
        <f ca="1">-Energie!H160</f>
        <v>0</v>
      </c>
      <c r="K112" s="245">
        <f ca="1">-Energie!I160</f>
        <v>0</v>
      </c>
      <c r="L112" s="362">
        <f ca="1">-Energie!J160</f>
        <v>0</v>
      </c>
      <c r="M112" s="245">
        <f ca="1">-Energie!K160</f>
        <v>0</v>
      </c>
      <c r="N112" s="362">
        <f ca="1">-Energie!L160</f>
        <v>0</v>
      </c>
      <c r="O112" s="69"/>
    </row>
    <row r="113" spans="3:15" ht="15.75">
      <c r="C113" s="7" t="str">
        <f ca="1">Sprache!E117&amp;":"</f>
        <v>CO2-Abgabe (in Energiekosten enthalten):</v>
      </c>
      <c r="D113" s="58" t="s">
        <v>222</v>
      </c>
      <c r="E113" s="35" t="s">
        <v>225</v>
      </c>
      <c r="G113" s="245">
        <f ca="1">Energie!E161</f>
        <v>0</v>
      </c>
      <c r="H113" s="362">
        <f ca="1">Energie!F161</f>
        <v>0</v>
      </c>
      <c r="I113" s="245">
        <f ca="1">Energie!G161</f>
        <v>0</v>
      </c>
      <c r="J113" s="362">
        <f ca="1">Energie!H161</f>
        <v>0</v>
      </c>
      <c r="K113" s="245">
        <f ca="1">Energie!I161</f>
        <v>0</v>
      </c>
      <c r="L113" s="362">
        <f ca="1">Energie!J161</f>
        <v>0</v>
      </c>
      <c r="M113" s="245">
        <f ca="1">Energie!K161</f>
        <v>0</v>
      </c>
      <c r="N113" s="362">
        <f ca="1">Energie!L161</f>
        <v>0</v>
      </c>
      <c r="O113" s="69"/>
    </row>
    <row r="114" spans="3:15">
      <c r="C114" s="7" t="str">
        <f ca="1">Sprache!$E$159&amp;":"</f>
        <v>Summe:</v>
      </c>
      <c r="D114" s="58"/>
      <c r="E114" s="35" t="s">
        <v>225</v>
      </c>
      <c r="G114" s="245">
        <f ca="1">SUM(G109:G112)</f>
        <v>0</v>
      </c>
      <c r="H114" s="362">
        <f t="shared" ref="H114:N114" ca="1" si="12">SUM(H109:H112)</f>
        <v>0</v>
      </c>
      <c r="I114" s="245">
        <f t="shared" ca="1" si="12"/>
        <v>0</v>
      </c>
      <c r="J114" s="362">
        <f t="shared" ca="1" si="12"/>
        <v>0</v>
      </c>
      <c r="K114" s="245">
        <f t="shared" ca="1" si="12"/>
        <v>0</v>
      </c>
      <c r="L114" s="362">
        <f t="shared" ca="1" si="12"/>
        <v>0</v>
      </c>
      <c r="M114" s="245">
        <f t="shared" ca="1" si="12"/>
        <v>0</v>
      </c>
      <c r="N114" s="362">
        <f t="shared" ca="1" si="12"/>
        <v>0</v>
      </c>
      <c r="O114" s="69"/>
    </row>
    <row r="115" spans="3:15">
      <c r="C115" s="7"/>
      <c r="G115" s="35"/>
      <c r="H115" s="35"/>
      <c r="I115" s="35"/>
      <c r="J115" s="35"/>
      <c r="K115" s="35"/>
      <c r="L115" s="35"/>
      <c r="M115" s="35"/>
      <c r="N115" s="35"/>
    </row>
    <row r="116" spans="3:15">
      <c r="C116" s="222" t="str">
        <f ca="1">Sprache!E415</f>
        <v>Lebenszykluskosten (inkl. MwSt.)</v>
      </c>
      <c r="G116" s="35"/>
      <c r="H116" s="35"/>
      <c r="I116" s="35"/>
      <c r="J116" s="35"/>
      <c r="K116" s="35"/>
      <c r="L116" s="35"/>
      <c r="M116" s="35"/>
      <c r="N116" s="35"/>
    </row>
    <row r="117" spans="3:15">
      <c r="C117" s="129" t="str">
        <f ca="1">Sprache!$E$113&amp;":"</f>
        <v>Investitionskosten:</v>
      </c>
      <c r="E117" s="35" t="s">
        <v>175</v>
      </c>
      <c r="G117" s="245">
        <f ca="1">-Variante_A!$BK$4</f>
        <v>0</v>
      </c>
      <c r="H117" s="362">
        <f ca="1">-Variante_A!$BL$4</f>
        <v>0</v>
      </c>
      <c r="I117" s="245">
        <f ca="1">-Variante_B!$BK$4</f>
        <v>0</v>
      </c>
      <c r="J117" s="362">
        <f ca="1">-Variante_B!$BL$4</f>
        <v>0</v>
      </c>
      <c r="K117" s="245">
        <f ca="1">-Variante_C!$BK$4</f>
        <v>0</v>
      </c>
      <c r="L117" s="362">
        <f ca="1">-Variante_C!$BL$4</f>
        <v>0</v>
      </c>
      <c r="M117" s="245">
        <f ca="1">-Variante_D!$BK$4</f>
        <v>0</v>
      </c>
      <c r="N117" s="362">
        <f ca="1">-Variante_D!$BL$4</f>
        <v>0</v>
      </c>
    </row>
    <row r="118" spans="3:15">
      <c r="C118" s="129" t="str">
        <f ca="1">Sprache!$E$260&amp;":"</f>
        <v>Unterhaltskosten:</v>
      </c>
      <c r="E118" s="35" t="s">
        <v>175</v>
      </c>
      <c r="G118" s="245">
        <f ca="1">-Variante_A!$BK$5</f>
        <v>0</v>
      </c>
      <c r="H118" s="362">
        <f ca="1">-Variante_A!$BL$5</f>
        <v>0</v>
      </c>
      <c r="I118" s="245">
        <f ca="1">-Variante_B!$BK$5</f>
        <v>0</v>
      </c>
      <c r="J118" s="362">
        <f ca="1">-Variante_B!$BL$5</f>
        <v>0</v>
      </c>
      <c r="K118" s="245">
        <f ca="1">-Variante_C!$BK$5</f>
        <v>0</v>
      </c>
      <c r="L118" s="362">
        <f ca="1">-Variante_C!$BL$5</f>
        <v>0</v>
      </c>
      <c r="M118" s="245">
        <f ca="1">-Variante_D!$BK$5</f>
        <v>0</v>
      </c>
      <c r="N118" s="362">
        <f ca="1">-Variante_D!$BL$5</f>
        <v>0</v>
      </c>
    </row>
    <row r="119" spans="3:15">
      <c r="C119" s="129" t="str">
        <f ca="1">Sprache!$E$123&amp;":"</f>
        <v>Energiekosten:</v>
      </c>
      <c r="E119" s="35" t="s">
        <v>175</v>
      </c>
      <c r="G119" s="245">
        <f ca="1">-Variante_A!$BK$6</f>
        <v>0</v>
      </c>
      <c r="H119" s="362">
        <f ca="1">-Variante_A!$BL$6</f>
        <v>0</v>
      </c>
      <c r="I119" s="245">
        <f ca="1">-Variante_B!$BK$6</f>
        <v>0</v>
      </c>
      <c r="J119" s="362">
        <f ca="1">-Variante_B!$BL$6</f>
        <v>0</v>
      </c>
      <c r="K119" s="245">
        <f ca="1">-Variante_C!$BK$6</f>
        <v>0</v>
      </c>
      <c r="L119" s="362">
        <f ca="1">-Variante_C!$BL$6</f>
        <v>0</v>
      </c>
      <c r="M119" s="245">
        <f ca="1">-Variante_D!$BK$6</f>
        <v>0</v>
      </c>
      <c r="N119" s="362">
        <f ca="1">-Variante_D!$BL$6</f>
        <v>0</v>
      </c>
    </row>
    <row r="120" spans="3:15" ht="14.25">
      <c r="C120" s="322" t="str">
        <f ca="1">Sprache!$E$159&amp;":"</f>
        <v>Summe:</v>
      </c>
      <c r="E120" s="35" t="s">
        <v>175</v>
      </c>
      <c r="G120" s="245">
        <f ca="1">SUM(G117:G119)</f>
        <v>0</v>
      </c>
      <c r="H120" s="362">
        <f t="shared" ref="H120:N120" ca="1" si="13">SUM(H117:H119)</f>
        <v>0</v>
      </c>
      <c r="I120" s="245">
        <f t="shared" ca="1" si="13"/>
        <v>0</v>
      </c>
      <c r="J120" s="362">
        <f t="shared" ca="1" si="13"/>
        <v>0</v>
      </c>
      <c r="K120" s="245">
        <f t="shared" ca="1" si="13"/>
        <v>0</v>
      </c>
      <c r="L120" s="362">
        <f t="shared" ca="1" si="13"/>
        <v>0</v>
      </c>
      <c r="M120" s="245">
        <f t="shared" ca="1" si="13"/>
        <v>0</v>
      </c>
      <c r="N120" s="362">
        <f t="shared" ca="1" si="13"/>
        <v>0</v>
      </c>
    </row>
    <row r="121" spans="3:15" ht="14.25">
      <c r="C121" s="322" t="str">
        <f ca="1">Sprache!$E$414&amp;":"</f>
        <v>Summe Variante:</v>
      </c>
      <c r="E121" s="35" t="s">
        <v>175</v>
      </c>
      <c r="G121" s="245">
        <f ca="1">G120+H120</f>
        <v>0</v>
      </c>
      <c r="H121" s="380"/>
      <c r="I121" s="245">
        <f ca="1">I120+J120</f>
        <v>0</v>
      </c>
      <c r="J121" s="380"/>
      <c r="K121" s="245">
        <f ca="1">K120+L120</f>
        <v>0</v>
      </c>
      <c r="L121" s="380"/>
      <c r="M121" s="245">
        <f ca="1">M120+N120</f>
        <v>0</v>
      </c>
      <c r="N121" s="380"/>
    </row>
  </sheetData>
  <sheetProtection algorithmName="SHA-512" hashValue="vH3YakpvlArIQjDegH9aM/LCZHYqzV7e0CZeI5aIPtBfRcPC40aT2JUrCUIQT0f0WkLA2Uri9bRFCI/wa88W+w==" saltValue="x5sw0wqgwXDoA9xCN7rdSA==" spinCount="100000" sheet="1" objects="1" scenarios="1"/>
  <mergeCells count="4">
    <mergeCell ref="G36:H36"/>
    <mergeCell ref="I36:J36"/>
    <mergeCell ref="K36:L36"/>
    <mergeCell ref="M36:N36"/>
  </mergeCells>
  <phoneticPr fontId="28" type="noConversion"/>
  <pageMargins left="0.70866141732283472" right="0.70866141732283472" top="1.1811023622047245" bottom="0.78740157480314965" header="0.31496062992125984" footer="0.31496062992125984"/>
  <pageSetup paperSize="9" scale="39" fitToHeight="0" orientation="landscape" horizontalDpi="1200" verticalDpi="1200" r:id="rId1"/>
  <headerFooter>
    <oddHeader>&amp;R&amp;G</oddHeader>
    <oddFooter>&amp;C&amp;D&amp;R&amp;P/&amp;N</oddFooter>
  </headerFooter>
  <rowBreaks count="1" manualBreakCount="1">
    <brk id="69" max="22"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AE158"/>
  <sheetViews>
    <sheetView zoomScale="80" zoomScaleNormal="80" workbookViewId="0">
      <selection activeCell="F7" sqref="F7"/>
    </sheetView>
  </sheetViews>
  <sheetFormatPr baseColWidth="10" defaultColWidth="11.42578125" defaultRowHeight="12.75"/>
  <cols>
    <col min="1" max="1" width="3.5703125" style="1" customWidth="1"/>
    <col min="2" max="2" width="8.85546875" style="288" customWidth="1"/>
    <col min="3" max="3" width="33.42578125" style="288" customWidth="1"/>
    <col min="4" max="4" width="50.140625" style="288" bestFit="1" customWidth="1"/>
    <col min="5" max="5" width="7.140625" style="1" customWidth="1"/>
    <col min="6" max="6" width="10.140625" style="1" customWidth="1"/>
    <col min="7" max="7" width="9.7109375" style="1" customWidth="1"/>
    <col min="8" max="22" width="9.42578125" style="1" customWidth="1"/>
    <col min="23" max="23" width="11.42578125" style="1" customWidth="1"/>
    <col min="24" max="24" width="9.42578125" style="1" customWidth="1"/>
    <col min="25" max="31" width="10.42578125" style="1" customWidth="1"/>
    <col min="32" max="32" width="2.85546875" style="1" customWidth="1"/>
    <col min="33" max="16384" width="11.42578125" style="1"/>
  </cols>
  <sheetData>
    <row r="1" spans="1:31" ht="18">
      <c r="B1" s="409" t="str">
        <f ca="1">Sprache!E211</f>
        <v>Grundlagen für die Berechnung der Investitionskosten</v>
      </c>
    </row>
    <row r="3" spans="1:31">
      <c r="B3" s="64" t="str">
        <f ca="1">Sprache!E342</f>
        <v>eBKP-H</v>
      </c>
      <c r="F3" s="619" t="s">
        <v>259</v>
      </c>
      <c r="G3" s="620"/>
      <c r="H3" s="619" t="s">
        <v>247</v>
      </c>
      <c r="I3" s="620"/>
      <c r="J3" s="619" t="s">
        <v>248</v>
      </c>
      <c r="K3" s="620"/>
      <c r="L3" s="619" t="s">
        <v>249</v>
      </c>
      <c r="M3" s="620"/>
      <c r="N3" s="619" t="s">
        <v>250</v>
      </c>
      <c r="O3" s="620"/>
      <c r="P3" s="619" t="s">
        <v>251</v>
      </c>
      <c r="Q3" s="620"/>
      <c r="R3" s="619" t="s">
        <v>252</v>
      </c>
      <c r="S3" s="620"/>
      <c r="T3" s="619" t="s">
        <v>253</v>
      </c>
      <c r="U3" s="620"/>
      <c r="V3" s="619" t="s">
        <v>254</v>
      </c>
      <c r="W3" s="620"/>
      <c r="X3" s="619" t="s">
        <v>666</v>
      </c>
      <c r="Y3" s="620"/>
      <c r="Z3" s="619" t="s">
        <v>667</v>
      </c>
      <c r="AA3" s="620"/>
      <c r="AB3" s="619" t="s">
        <v>668</v>
      </c>
      <c r="AC3" s="620"/>
      <c r="AD3" s="619" t="s">
        <v>669</v>
      </c>
      <c r="AE3" s="620"/>
    </row>
    <row r="4" spans="1:31">
      <c r="F4" s="618" t="s">
        <v>175</v>
      </c>
      <c r="G4" s="618"/>
      <c r="H4" s="618" t="s">
        <v>175</v>
      </c>
      <c r="I4" s="618"/>
      <c r="J4" s="618" t="s">
        <v>175</v>
      </c>
      <c r="K4" s="618"/>
      <c r="L4" s="618" t="s">
        <v>175</v>
      </c>
      <c r="M4" s="618"/>
      <c r="N4" s="618" t="s">
        <v>175</v>
      </c>
      <c r="O4" s="618"/>
      <c r="P4" s="618" t="s">
        <v>175</v>
      </c>
      <c r="Q4" s="618"/>
      <c r="R4" s="618" t="s">
        <v>175</v>
      </c>
      <c r="S4" s="618"/>
      <c r="T4" s="618" t="s">
        <v>175</v>
      </c>
      <c r="U4" s="618"/>
      <c r="V4" s="618" t="s">
        <v>175</v>
      </c>
      <c r="W4" s="618"/>
      <c r="X4" s="618" t="s">
        <v>175</v>
      </c>
      <c r="Y4" s="618"/>
      <c r="Z4" s="618" t="s">
        <v>175</v>
      </c>
      <c r="AA4" s="618"/>
      <c r="AB4" s="618" t="s">
        <v>175</v>
      </c>
      <c r="AC4" s="618"/>
      <c r="AD4" s="618" t="s">
        <v>175</v>
      </c>
      <c r="AE4" s="618"/>
    </row>
    <row r="5" spans="1:31">
      <c r="F5" s="16" t="str">
        <f ca="1">Sprache!$E$33</f>
        <v>eigene</v>
      </c>
      <c r="G5" s="16" t="str">
        <f ca="1">Sprache!$E$34</f>
        <v>Standard</v>
      </c>
      <c r="H5" s="16" t="str">
        <f ca="1">Sprache!$E$33</f>
        <v>eigene</v>
      </c>
      <c r="I5" s="16" t="str">
        <f ca="1">Sprache!$E$34</f>
        <v>Standard</v>
      </c>
      <c r="J5" s="16" t="str">
        <f ca="1">Sprache!$E$33</f>
        <v>eigene</v>
      </c>
      <c r="K5" s="16" t="str">
        <f ca="1">Sprache!$E$34</f>
        <v>Standard</v>
      </c>
      <c r="L5" s="16" t="str">
        <f ca="1">Sprache!$E$33</f>
        <v>eigene</v>
      </c>
      <c r="M5" s="16" t="str">
        <f ca="1">Sprache!$E$34</f>
        <v>Standard</v>
      </c>
      <c r="N5" s="16" t="str">
        <f ca="1">Sprache!$E$33</f>
        <v>eigene</v>
      </c>
      <c r="O5" s="16" t="str">
        <f ca="1">Sprache!$E$34</f>
        <v>Standard</v>
      </c>
      <c r="P5" s="16" t="str">
        <f ca="1">Sprache!$E$33</f>
        <v>eigene</v>
      </c>
      <c r="Q5" s="16" t="str">
        <f ca="1">Sprache!$E$34</f>
        <v>Standard</v>
      </c>
      <c r="R5" s="16" t="str">
        <f ca="1">Sprache!$E$33</f>
        <v>eigene</v>
      </c>
      <c r="S5" s="16" t="str">
        <f ca="1">Sprache!$E$34</f>
        <v>Standard</v>
      </c>
      <c r="T5" s="16" t="str">
        <f ca="1">Sprache!$E$33</f>
        <v>eigene</v>
      </c>
      <c r="U5" s="16" t="str">
        <f ca="1">Sprache!$E$34</f>
        <v>Standard</v>
      </c>
      <c r="V5" s="16" t="str">
        <f ca="1">Sprache!$E$33</f>
        <v>eigene</v>
      </c>
      <c r="W5" s="16" t="str">
        <f ca="1">Sprache!$E$34</f>
        <v>Standard</v>
      </c>
      <c r="X5" s="16" t="str">
        <f ca="1">Sprache!$E$33</f>
        <v>eigene</v>
      </c>
      <c r="Y5" s="16" t="str">
        <f ca="1">Sprache!$E$34</f>
        <v>Standard</v>
      </c>
      <c r="Z5" s="16" t="str">
        <f ca="1">Sprache!$E$33</f>
        <v>eigene</v>
      </c>
      <c r="AA5" s="16" t="str">
        <f ca="1">Sprache!$E$34</f>
        <v>Standard</v>
      </c>
      <c r="AB5" s="16" t="str">
        <f ca="1">Sprache!$E$33</f>
        <v>eigene</v>
      </c>
      <c r="AC5" s="16" t="str">
        <f ca="1">Sprache!$E$34</f>
        <v>Standard</v>
      </c>
      <c r="AD5" s="16" t="str">
        <f ca="1">Sprache!$E$33</f>
        <v>eigene</v>
      </c>
      <c r="AE5" s="16" t="str">
        <f ca="1">Sprache!$E$34</f>
        <v>Standard</v>
      </c>
    </row>
    <row r="6" spans="1:31">
      <c r="A6" s="125" t="s">
        <v>261</v>
      </c>
      <c r="B6" s="125" t="str">
        <f ca="1">Sprache!E16</f>
        <v>Öl</v>
      </c>
      <c r="E6" s="64"/>
    </row>
    <row r="7" spans="1:31">
      <c r="A7" s="125"/>
      <c r="B7" s="304" t="s">
        <v>1217</v>
      </c>
      <c r="C7" s="131" t="str">
        <f ca="1">Sprache!$E$421</f>
        <v>Wärmequellen, -senken, Lager</v>
      </c>
      <c r="D7" s="131" t="str">
        <f ca="1">Sprache!E376</f>
        <v>Tankanlage (Öl)</v>
      </c>
      <c r="E7" s="131"/>
      <c r="F7" s="391"/>
      <c r="G7" s="358">
        <f>Standardwerte!$K$26*Investition_Basis!F7</f>
        <v>1500</v>
      </c>
      <c r="H7" s="391"/>
      <c r="I7" s="358">
        <f>Standardwerte!$K$26*Investition_Basis!G7</f>
        <v>1500</v>
      </c>
      <c r="J7" s="391"/>
      <c r="K7" s="358">
        <f>Standardwerte!$K$26*Investition_Basis!H7</f>
        <v>1700</v>
      </c>
      <c r="L7" s="391"/>
      <c r="M7" s="358">
        <f>Standardwerte!$K$26*Investition_Basis!I7</f>
        <v>1700</v>
      </c>
      <c r="N7" s="391"/>
      <c r="O7" s="358">
        <f>Standardwerte!$K$26*Investition_Basis!J7</f>
        <v>2900</v>
      </c>
      <c r="P7" s="391"/>
      <c r="Q7" s="358">
        <f>Standardwerte!$K$26*Investition_Basis!K7</f>
        <v>3300</v>
      </c>
      <c r="R7" s="391"/>
      <c r="S7" s="358">
        <f>Standardwerte!$K$26*Investition_Basis!L7</f>
        <v>3300</v>
      </c>
      <c r="T7" s="391"/>
      <c r="U7" s="358">
        <f>Standardwerte!$K$26*Investition_Basis!M7</f>
        <v>5300</v>
      </c>
      <c r="V7" s="391"/>
      <c r="W7" s="358">
        <f>Standardwerte!$K$26*Investition_Basis!N7</f>
        <v>5300</v>
      </c>
      <c r="X7" s="391"/>
      <c r="Y7" s="358">
        <f>Standardwerte!$K$26*Investition_Basis!O7</f>
        <v>9000</v>
      </c>
      <c r="Z7" s="391"/>
      <c r="AA7" s="358">
        <f>Standardwerte!$K$26*Investition_Basis!P7</f>
        <v>12000</v>
      </c>
      <c r="AB7" s="391"/>
      <c r="AC7" s="358">
        <f>Standardwerte!$K$26*Investition_Basis!Q7</f>
        <v>18000</v>
      </c>
      <c r="AD7" s="391"/>
      <c r="AE7" s="358">
        <f>Standardwerte!$K$26*Investition_Basis!R7</f>
        <v>24000</v>
      </c>
    </row>
    <row r="8" spans="1:31">
      <c r="A8" s="125"/>
      <c r="B8" s="305" t="s">
        <v>1215</v>
      </c>
      <c r="C8" s="126" t="str">
        <f ca="1">Sprache!$E$377</f>
        <v>Wärmeerzeugung</v>
      </c>
      <c r="D8" s="126" t="str">
        <f ca="1">Sprache!E164</f>
        <v>Öl Heizkessel, Abgaswärmetauscher, Neutralisationsbox</v>
      </c>
      <c r="E8" s="126"/>
      <c r="F8" s="36"/>
      <c r="G8" s="89">
        <f>Standardwerte!$K$26*Investition_Basis!F8</f>
        <v>9400</v>
      </c>
      <c r="H8" s="36"/>
      <c r="I8" s="89">
        <f>Standardwerte!$K$26*Investition_Basis!G8</f>
        <v>9400</v>
      </c>
      <c r="J8" s="36"/>
      <c r="K8" s="89">
        <f>Standardwerte!$K$26*Investition_Basis!H8</f>
        <v>10400</v>
      </c>
      <c r="L8" s="36"/>
      <c r="M8" s="89">
        <f>Standardwerte!$K$26*Investition_Basis!I8</f>
        <v>15200</v>
      </c>
      <c r="N8" s="36"/>
      <c r="O8" s="89">
        <f>Standardwerte!$K$26*Investition_Basis!J8</f>
        <v>20300</v>
      </c>
      <c r="P8" s="36"/>
      <c r="Q8" s="89">
        <f>Standardwerte!$K$26*Investition_Basis!K8</f>
        <v>32900</v>
      </c>
      <c r="R8" s="36"/>
      <c r="S8" s="89">
        <f>Standardwerte!$K$26*Investition_Basis!L8</f>
        <v>40500</v>
      </c>
      <c r="T8" s="36"/>
      <c r="U8" s="89">
        <f>Standardwerte!$K$26*Investition_Basis!M8</f>
        <v>67600</v>
      </c>
      <c r="V8" s="36"/>
      <c r="W8" s="89">
        <f>Standardwerte!$K$26*Investition_Basis!N8</f>
        <v>99200</v>
      </c>
      <c r="X8" s="36"/>
      <c r="Y8" s="89">
        <f>Standardwerte!$K$26*Investition_Basis!O8</f>
        <v>99100</v>
      </c>
      <c r="Z8" s="36"/>
      <c r="AA8" s="89">
        <f>Standardwerte!$K$26*Investition_Basis!P8</f>
        <v>120100</v>
      </c>
      <c r="AB8" s="36"/>
      <c r="AC8" s="89">
        <f>Standardwerte!$K$26*Investition_Basis!Q8</f>
        <v>169100</v>
      </c>
      <c r="AD8" s="36"/>
      <c r="AE8" s="89">
        <f>Standardwerte!$K$26*Investition_Basis!R8</f>
        <v>215700</v>
      </c>
    </row>
    <row r="9" spans="1:31">
      <c r="A9" s="125"/>
      <c r="B9" s="305" t="s">
        <v>1215</v>
      </c>
      <c r="C9" s="126" t="str">
        <f ca="1">Sprache!$E$377</f>
        <v>Wärmeerzeugung</v>
      </c>
      <c r="D9" s="126" t="str">
        <f ca="1">Sprache!$E$379</f>
        <v>Armaturen, Apparate, Rohrleitungen, Dämmung</v>
      </c>
      <c r="E9" s="126"/>
      <c r="F9" s="36"/>
      <c r="G9" s="89">
        <f>Standardwerte!$K$26*Investition_Basis!F9</f>
        <v>3500</v>
      </c>
      <c r="H9" s="36"/>
      <c r="I9" s="89">
        <f>Standardwerte!$K$26*Investition_Basis!G9</f>
        <v>3500</v>
      </c>
      <c r="J9" s="36"/>
      <c r="K9" s="89">
        <f>Standardwerte!$K$26*Investition_Basis!H9</f>
        <v>3500</v>
      </c>
      <c r="L9" s="36"/>
      <c r="M9" s="89">
        <f>Standardwerte!$K$26*Investition_Basis!I9</f>
        <v>4600</v>
      </c>
      <c r="N9" s="36"/>
      <c r="O9" s="89">
        <f>Standardwerte!$K$26*Investition_Basis!J9</f>
        <v>5100</v>
      </c>
      <c r="P9" s="36"/>
      <c r="Q9" s="89">
        <f>Standardwerte!$K$26*Investition_Basis!K9</f>
        <v>5600</v>
      </c>
      <c r="R9" s="36"/>
      <c r="S9" s="89">
        <f>Standardwerte!$K$26*Investition_Basis!L9</f>
        <v>6600</v>
      </c>
      <c r="T9" s="36"/>
      <c r="U9" s="89">
        <f>Standardwerte!$K$26*Investition_Basis!M9</f>
        <v>7700</v>
      </c>
      <c r="V9" s="36"/>
      <c r="W9" s="89">
        <f>Standardwerte!$K$26*Investition_Basis!N9</f>
        <v>9400</v>
      </c>
      <c r="X9" s="36"/>
      <c r="Y9" s="89">
        <f>Standardwerte!$K$26*Investition_Basis!O9</f>
        <v>12000</v>
      </c>
      <c r="Z9" s="36"/>
      <c r="AA9" s="89">
        <f>Standardwerte!$K$26*Investition_Basis!P9</f>
        <v>15000</v>
      </c>
      <c r="AB9" s="36"/>
      <c r="AC9" s="89">
        <f>Standardwerte!$K$26*Investition_Basis!Q9</f>
        <v>24000</v>
      </c>
      <c r="AD9" s="36"/>
      <c r="AE9" s="89">
        <f>Standardwerte!$K$26*Investition_Basis!R9</f>
        <v>30000</v>
      </c>
    </row>
    <row r="10" spans="1:31">
      <c r="A10" s="125"/>
      <c r="B10" s="305" t="s">
        <v>1215</v>
      </c>
      <c r="C10" s="126" t="str">
        <f ca="1">Sprache!$E$377</f>
        <v>Wärmeerzeugung</v>
      </c>
      <c r="D10" s="126" t="str">
        <f ca="1">Sprache!$E$382</f>
        <v>Transport und Montage</v>
      </c>
      <c r="E10" s="126"/>
      <c r="F10" s="36"/>
      <c r="G10" s="89">
        <f>Standardwerte!$K$26*Investition_Basis!F10</f>
        <v>8500</v>
      </c>
      <c r="H10" s="36"/>
      <c r="I10" s="89">
        <f>Standardwerte!$K$26*Investition_Basis!G10</f>
        <v>8500</v>
      </c>
      <c r="J10" s="36"/>
      <c r="K10" s="89">
        <f>Standardwerte!$K$26*Investition_Basis!H10</f>
        <v>8500</v>
      </c>
      <c r="L10" s="36"/>
      <c r="M10" s="89">
        <f>Standardwerte!$K$26*Investition_Basis!I10</f>
        <v>8700</v>
      </c>
      <c r="N10" s="36"/>
      <c r="O10" s="89">
        <f>Standardwerte!$K$26*Investition_Basis!J10</f>
        <v>8700</v>
      </c>
      <c r="P10" s="36"/>
      <c r="Q10" s="89">
        <f>Standardwerte!$K$26*Investition_Basis!K10</f>
        <v>8700</v>
      </c>
      <c r="R10" s="36"/>
      <c r="S10" s="89">
        <f>Standardwerte!$K$26*Investition_Basis!L10</f>
        <v>13900</v>
      </c>
      <c r="T10" s="36"/>
      <c r="U10" s="89">
        <f>Standardwerte!$K$26*Investition_Basis!M10</f>
        <v>13900</v>
      </c>
      <c r="V10" s="36"/>
      <c r="W10" s="89">
        <f>Standardwerte!$K$26*Investition_Basis!N10</f>
        <v>13900</v>
      </c>
      <c r="X10" s="36"/>
      <c r="Y10" s="89">
        <f>Standardwerte!$K$26*Investition_Basis!O10</f>
        <v>20000</v>
      </c>
      <c r="Z10" s="36"/>
      <c r="AA10" s="89">
        <f>Standardwerte!$K$26*Investition_Basis!P10</f>
        <v>26000</v>
      </c>
      <c r="AB10" s="36"/>
      <c r="AC10" s="89">
        <f>Standardwerte!$K$26*Investition_Basis!Q10</f>
        <v>35500</v>
      </c>
      <c r="AD10" s="36"/>
      <c r="AE10" s="89">
        <f>Standardwerte!$K$26*Investition_Basis!R10</f>
        <v>45000</v>
      </c>
    </row>
    <row r="11" spans="1:31">
      <c r="A11" s="125"/>
      <c r="B11" s="306" t="s">
        <v>1215</v>
      </c>
      <c r="C11" s="297" t="str">
        <f ca="1">Sprache!$E$377</f>
        <v>Wärmeerzeugung</v>
      </c>
      <c r="D11" s="134" t="str">
        <f ca="1">Sprache!$E$383</f>
        <v>Kamin</v>
      </c>
      <c r="E11" s="134"/>
      <c r="F11" s="392"/>
      <c r="G11" s="360">
        <f>Standardwerte!$K$26*Investition_Basis!F11</f>
        <v>4000</v>
      </c>
      <c r="H11" s="392"/>
      <c r="I11" s="360">
        <f>Standardwerte!$K$26*Investition_Basis!G11</f>
        <v>4000</v>
      </c>
      <c r="J11" s="392"/>
      <c r="K11" s="360">
        <f>Standardwerte!$K$26*Investition_Basis!H11</f>
        <v>4200</v>
      </c>
      <c r="L11" s="392"/>
      <c r="M11" s="360">
        <f>Standardwerte!$K$26*Investition_Basis!I11</f>
        <v>4500</v>
      </c>
      <c r="N11" s="392"/>
      <c r="O11" s="360">
        <f>Standardwerte!$K$26*Investition_Basis!J11</f>
        <v>7000</v>
      </c>
      <c r="P11" s="392"/>
      <c r="Q11" s="360">
        <f>Standardwerte!$K$26*Investition_Basis!K11</f>
        <v>10600</v>
      </c>
      <c r="R11" s="392"/>
      <c r="S11" s="360">
        <f>Standardwerte!$K$26*Investition_Basis!L11</f>
        <v>11700</v>
      </c>
      <c r="T11" s="392"/>
      <c r="U11" s="360">
        <f>Standardwerte!$K$26*Investition_Basis!M11</f>
        <v>17100</v>
      </c>
      <c r="V11" s="392"/>
      <c r="W11" s="360">
        <f>Standardwerte!$K$26*Investition_Basis!N11</f>
        <v>21400</v>
      </c>
      <c r="X11" s="392"/>
      <c r="Y11" s="360">
        <f>Standardwerte!$K$26*Investition_Basis!O11</f>
        <v>26000</v>
      </c>
      <c r="Z11" s="392"/>
      <c r="AA11" s="360">
        <f>Standardwerte!$K$26*Investition_Basis!P11</f>
        <v>32000</v>
      </c>
      <c r="AB11" s="392"/>
      <c r="AC11" s="360">
        <f>Standardwerte!$K$26*Investition_Basis!Q11</f>
        <v>38000</v>
      </c>
      <c r="AD11" s="392"/>
      <c r="AE11" s="360">
        <f>Standardwerte!$K$26*Investition_Basis!R11</f>
        <v>48000</v>
      </c>
    </row>
    <row r="12" spans="1:31">
      <c r="A12" s="125"/>
      <c r="E12" s="64"/>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row>
    <row r="13" spans="1:31">
      <c r="A13" s="125" t="s">
        <v>990</v>
      </c>
      <c r="B13" s="125" t="str">
        <f ca="1">Sprache!E17</f>
        <v>Erdgas</v>
      </c>
      <c r="E13" s="64"/>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row>
    <row r="14" spans="1:31">
      <c r="A14" s="125"/>
      <c r="B14" s="304" t="s">
        <v>1217</v>
      </c>
      <c r="C14" s="131" t="str">
        <f ca="1">Sprache!$E$421</f>
        <v>Wärmequellen, -senken, Lager</v>
      </c>
      <c r="D14" s="131" t="str">
        <f ca="1">Sprache!$E$375</f>
        <v>Anschlussgebühren (Wärmenetz, Gas)</v>
      </c>
      <c r="E14" s="131"/>
      <c r="F14" s="391"/>
      <c r="G14" s="358">
        <f>Standardwerte!$K$26*Investition_Basis!F14</f>
        <v>4000</v>
      </c>
      <c r="H14" s="391"/>
      <c r="I14" s="358">
        <f>Standardwerte!$K$26*Investition_Basis!G14</f>
        <v>4000</v>
      </c>
      <c r="J14" s="391"/>
      <c r="K14" s="358">
        <f>Standardwerte!$K$26*Investition_Basis!H14</f>
        <v>4000</v>
      </c>
      <c r="L14" s="391"/>
      <c r="M14" s="358">
        <f>Standardwerte!$K$26*Investition_Basis!I14</f>
        <v>5000</v>
      </c>
      <c r="N14" s="391"/>
      <c r="O14" s="358">
        <f>Standardwerte!$K$26*Investition_Basis!J14</f>
        <v>6000</v>
      </c>
      <c r="P14" s="391"/>
      <c r="Q14" s="358">
        <f>Standardwerte!$K$26*Investition_Basis!K14</f>
        <v>6000</v>
      </c>
      <c r="R14" s="391"/>
      <c r="S14" s="358">
        <f>Standardwerte!$K$26*Investition_Basis!L14</f>
        <v>8000</v>
      </c>
      <c r="T14" s="391"/>
      <c r="U14" s="358">
        <f>Standardwerte!$K$26*Investition_Basis!M14</f>
        <v>10000</v>
      </c>
      <c r="V14" s="391"/>
      <c r="W14" s="358">
        <f>Standardwerte!$K$26*Investition_Basis!N14</f>
        <v>12000</v>
      </c>
      <c r="X14" s="391"/>
      <c r="Y14" s="358">
        <f>Standardwerte!$K$26*Investition_Basis!O14</f>
        <v>12000</v>
      </c>
      <c r="Z14" s="391"/>
      <c r="AA14" s="358">
        <f>Standardwerte!$K$26*Investition_Basis!P14</f>
        <v>12000</v>
      </c>
      <c r="AB14" s="391"/>
      <c r="AC14" s="358">
        <f>Standardwerte!$K$26*Investition_Basis!Q14</f>
        <v>12000</v>
      </c>
      <c r="AD14" s="391"/>
      <c r="AE14" s="358">
        <f>Standardwerte!$K$26*Investition_Basis!R14</f>
        <v>12000</v>
      </c>
    </row>
    <row r="15" spans="1:31">
      <c r="A15" s="125"/>
      <c r="B15" s="305" t="s">
        <v>1215</v>
      </c>
      <c r="C15" s="126" t="str">
        <f ca="1">Sprache!$E$377</f>
        <v>Wärmeerzeugung</v>
      </c>
      <c r="D15" s="126" t="str">
        <f ca="1">Sprache!E170</f>
        <v>Gasheizkessel</v>
      </c>
      <c r="E15" s="126"/>
      <c r="F15" s="36"/>
      <c r="G15" s="89">
        <f>Standardwerte!$K$26*Investition_Basis!F15</f>
        <v>5100</v>
      </c>
      <c r="H15" s="36"/>
      <c r="I15" s="89">
        <f>Standardwerte!$K$26*Investition_Basis!G15</f>
        <v>5100</v>
      </c>
      <c r="J15" s="36"/>
      <c r="K15" s="89">
        <f>Standardwerte!$K$26*Investition_Basis!H15</f>
        <v>5600</v>
      </c>
      <c r="L15" s="36"/>
      <c r="M15" s="89">
        <f>Standardwerte!$K$26*Investition_Basis!I15</f>
        <v>6100</v>
      </c>
      <c r="N15" s="36"/>
      <c r="O15" s="89">
        <f>Standardwerte!$K$26*Investition_Basis!J15</f>
        <v>10700</v>
      </c>
      <c r="P15" s="36"/>
      <c r="Q15" s="89">
        <f>Standardwerte!$K$26*Investition_Basis!K15</f>
        <v>15800</v>
      </c>
      <c r="R15" s="36"/>
      <c r="S15" s="89">
        <f>Standardwerte!$K$26*Investition_Basis!L15</f>
        <v>26500</v>
      </c>
      <c r="T15" s="36"/>
      <c r="U15" s="89">
        <f>Standardwerte!$K$26*Investition_Basis!M15</f>
        <v>40800</v>
      </c>
      <c r="V15" s="36"/>
      <c r="W15" s="89">
        <f>Standardwerte!$K$26*Investition_Basis!N15</f>
        <v>66300</v>
      </c>
      <c r="X15" s="36"/>
      <c r="Y15" s="89">
        <f>Standardwerte!$K$26*Investition_Basis!O15</f>
        <v>75000</v>
      </c>
      <c r="Z15" s="36"/>
      <c r="AA15" s="89">
        <f>Standardwerte!$K$26*Investition_Basis!P15</f>
        <v>100000</v>
      </c>
      <c r="AB15" s="36"/>
      <c r="AC15" s="89">
        <f>Standardwerte!$K$26*Investition_Basis!Q15</f>
        <v>140000</v>
      </c>
      <c r="AD15" s="36"/>
      <c r="AE15" s="89">
        <f>Standardwerte!$K$26*Investition_Basis!R15</f>
        <v>185000</v>
      </c>
    </row>
    <row r="16" spans="1:31">
      <c r="A16" s="125"/>
      <c r="B16" s="305" t="s">
        <v>1215</v>
      </c>
      <c r="C16" s="126" t="str">
        <f ca="1">Sprache!$E$377</f>
        <v>Wärmeerzeugung</v>
      </c>
      <c r="D16" s="126" t="str">
        <f ca="1">Sprache!$E$379</f>
        <v>Armaturen, Apparate, Rohrleitungen, Dämmung</v>
      </c>
      <c r="E16" s="126"/>
      <c r="F16" s="36"/>
      <c r="G16" s="89">
        <f>Standardwerte!$K$26*Investition_Basis!F16</f>
        <v>3600</v>
      </c>
      <c r="H16" s="36"/>
      <c r="I16" s="89">
        <f>Standardwerte!$K$26*Investition_Basis!G16</f>
        <v>3600</v>
      </c>
      <c r="J16" s="36"/>
      <c r="K16" s="89">
        <f>Standardwerte!$K$26*Investition_Basis!H16</f>
        <v>4600</v>
      </c>
      <c r="L16" s="36"/>
      <c r="M16" s="89">
        <f>Standardwerte!$K$26*Investition_Basis!I16</f>
        <v>4600</v>
      </c>
      <c r="N16" s="36"/>
      <c r="O16" s="89">
        <f>Standardwerte!$K$26*Investition_Basis!J16</f>
        <v>5100</v>
      </c>
      <c r="P16" s="36"/>
      <c r="Q16" s="89">
        <f>Standardwerte!$K$26*Investition_Basis!K16</f>
        <v>5600</v>
      </c>
      <c r="R16" s="36"/>
      <c r="S16" s="89">
        <f>Standardwerte!$K$26*Investition_Basis!L16</f>
        <v>6600</v>
      </c>
      <c r="T16" s="36"/>
      <c r="U16" s="89">
        <f>Standardwerte!$K$26*Investition_Basis!M16</f>
        <v>7700</v>
      </c>
      <c r="V16" s="36"/>
      <c r="W16" s="89">
        <f>Standardwerte!$K$26*Investition_Basis!N16</f>
        <v>9400</v>
      </c>
      <c r="X16" s="36"/>
      <c r="Y16" s="89">
        <f>Standardwerte!$K$26*Investition_Basis!O16</f>
        <v>12000</v>
      </c>
      <c r="Z16" s="36"/>
      <c r="AA16" s="89">
        <f>Standardwerte!$K$26*Investition_Basis!P16</f>
        <v>15000</v>
      </c>
      <c r="AB16" s="36"/>
      <c r="AC16" s="89">
        <f>Standardwerte!$K$26*Investition_Basis!Q16</f>
        <v>24000</v>
      </c>
      <c r="AD16" s="36"/>
      <c r="AE16" s="89">
        <f>Standardwerte!$K$26*Investition_Basis!R16</f>
        <v>30000</v>
      </c>
    </row>
    <row r="17" spans="1:31">
      <c r="A17" s="125"/>
      <c r="B17" s="305" t="s">
        <v>1215</v>
      </c>
      <c r="C17" s="126" t="str">
        <f ca="1">Sprache!$E$377</f>
        <v>Wärmeerzeugung</v>
      </c>
      <c r="D17" s="126" t="str">
        <f ca="1">Sprache!$E$382</f>
        <v>Transport und Montage</v>
      </c>
      <c r="E17" s="126"/>
      <c r="F17" s="36"/>
      <c r="G17" s="89">
        <f>Standardwerte!$K$26*Investition_Basis!F17</f>
        <v>6000</v>
      </c>
      <c r="H17" s="36"/>
      <c r="I17" s="89">
        <f>Standardwerte!$K$26*Investition_Basis!G17</f>
        <v>6000</v>
      </c>
      <c r="J17" s="36"/>
      <c r="K17" s="89">
        <f>Standardwerte!$K$26*Investition_Basis!H17</f>
        <v>6000</v>
      </c>
      <c r="L17" s="36"/>
      <c r="M17" s="89">
        <f>Standardwerte!$K$26*Investition_Basis!I17</f>
        <v>7500</v>
      </c>
      <c r="N17" s="36"/>
      <c r="O17" s="89">
        <f>Standardwerte!$K$26*Investition_Basis!J17</f>
        <v>8700</v>
      </c>
      <c r="P17" s="36"/>
      <c r="Q17" s="89">
        <f>Standardwerte!$K$26*Investition_Basis!K17</f>
        <v>8700</v>
      </c>
      <c r="R17" s="36"/>
      <c r="S17" s="89">
        <f>Standardwerte!$K$26*Investition_Basis!L17</f>
        <v>13900</v>
      </c>
      <c r="T17" s="36"/>
      <c r="U17" s="89">
        <f>Standardwerte!$K$26*Investition_Basis!M17</f>
        <v>13900</v>
      </c>
      <c r="V17" s="36"/>
      <c r="W17" s="89">
        <f>Standardwerte!$K$26*Investition_Basis!N17</f>
        <v>13900</v>
      </c>
      <c r="X17" s="36"/>
      <c r="Y17" s="89">
        <f>Standardwerte!$K$26*Investition_Basis!O17</f>
        <v>20000</v>
      </c>
      <c r="Z17" s="36"/>
      <c r="AA17" s="89">
        <f>Standardwerte!$K$26*Investition_Basis!P17</f>
        <v>26000</v>
      </c>
      <c r="AB17" s="36"/>
      <c r="AC17" s="89">
        <f>Standardwerte!$K$26*Investition_Basis!Q17</f>
        <v>35500</v>
      </c>
      <c r="AD17" s="36"/>
      <c r="AE17" s="89">
        <f>Standardwerte!$K$26*Investition_Basis!R17</f>
        <v>45000</v>
      </c>
    </row>
    <row r="18" spans="1:31">
      <c r="A18" s="125"/>
      <c r="B18" s="306" t="s">
        <v>1215</v>
      </c>
      <c r="C18" s="297" t="str">
        <f ca="1">Sprache!$E$377</f>
        <v>Wärmeerzeugung</v>
      </c>
      <c r="D18" s="134" t="str">
        <f ca="1">Sprache!$E$383</f>
        <v>Kamin</v>
      </c>
      <c r="E18" s="134"/>
      <c r="F18" s="392"/>
      <c r="G18" s="360">
        <f>Standardwerte!$K$26*Investition_Basis!F18</f>
        <v>4000</v>
      </c>
      <c r="H18" s="392"/>
      <c r="I18" s="360">
        <f>Standardwerte!$K$26*Investition_Basis!G18</f>
        <v>4000</v>
      </c>
      <c r="J18" s="392"/>
      <c r="K18" s="360">
        <f>Standardwerte!$K$26*Investition_Basis!H18</f>
        <v>4200</v>
      </c>
      <c r="L18" s="392"/>
      <c r="M18" s="360">
        <f>Standardwerte!$K$26*Investition_Basis!I18</f>
        <v>4500</v>
      </c>
      <c r="N18" s="392"/>
      <c r="O18" s="360">
        <f>Standardwerte!$K$26*Investition_Basis!J18</f>
        <v>7000</v>
      </c>
      <c r="P18" s="392"/>
      <c r="Q18" s="360">
        <f>Standardwerte!$K$26*Investition_Basis!K18</f>
        <v>10600</v>
      </c>
      <c r="R18" s="392"/>
      <c r="S18" s="360">
        <f>Standardwerte!$K$26*Investition_Basis!L18</f>
        <v>11700</v>
      </c>
      <c r="T18" s="392"/>
      <c r="U18" s="360">
        <f>Standardwerte!$K$26*Investition_Basis!M18</f>
        <v>17100</v>
      </c>
      <c r="V18" s="392"/>
      <c r="W18" s="360">
        <f>Standardwerte!$K$26*Investition_Basis!N18</f>
        <v>21400</v>
      </c>
      <c r="X18" s="392"/>
      <c r="Y18" s="360">
        <f>Standardwerte!$K$26*Investition_Basis!O18</f>
        <v>26000</v>
      </c>
      <c r="Z18" s="392"/>
      <c r="AA18" s="360">
        <f>Standardwerte!$K$26*Investition_Basis!P18</f>
        <v>32000</v>
      </c>
      <c r="AB18" s="392"/>
      <c r="AC18" s="360">
        <f>Standardwerte!$K$26*Investition_Basis!Q18</f>
        <v>38000</v>
      </c>
      <c r="AD18" s="392"/>
      <c r="AE18" s="360">
        <f>Standardwerte!$K$26*Investition_Basis!R18</f>
        <v>48000</v>
      </c>
    </row>
    <row r="19" spans="1:31">
      <c r="A19" s="125"/>
      <c r="E19" s="64"/>
      <c r="F19" s="69"/>
      <c r="G19" s="68"/>
      <c r="H19" s="69"/>
      <c r="I19" s="68"/>
      <c r="J19" s="68"/>
      <c r="K19" s="68"/>
      <c r="L19" s="68"/>
      <c r="M19" s="68"/>
      <c r="N19" s="68"/>
      <c r="O19" s="68"/>
      <c r="P19" s="68"/>
      <c r="Q19" s="68"/>
      <c r="R19" s="68"/>
      <c r="S19" s="68"/>
      <c r="T19" s="68"/>
      <c r="U19" s="68"/>
      <c r="V19" s="68"/>
      <c r="W19" s="68"/>
      <c r="X19" s="68"/>
      <c r="Y19" s="68"/>
      <c r="Z19" s="68"/>
      <c r="AA19" s="68"/>
      <c r="AB19" s="68"/>
      <c r="AC19" s="68"/>
      <c r="AD19" s="68"/>
      <c r="AE19" s="68"/>
    </row>
    <row r="20" spans="1:31">
      <c r="A20" s="125" t="s">
        <v>991</v>
      </c>
      <c r="B20" s="125" t="str">
        <f ca="1">Sprache!E18</f>
        <v>Pellets</v>
      </c>
      <c r="C20" s="326"/>
      <c r="E20" s="64"/>
      <c r="F20" s="69"/>
      <c r="G20" s="68"/>
      <c r="H20" s="69"/>
      <c r="I20" s="68"/>
      <c r="J20" s="68"/>
      <c r="K20" s="68"/>
      <c r="L20" s="68"/>
      <c r="M20" s="68"/>
      <c r="N20" s="68"/>
      <c r="O20" s="68"/>
      <c r="P20" s="68"/>
      <c r="Q20" s="68"/>
      <c r="R20" s="68"/>
      <c r="S20" s="68"/>
      <c r="T20" s="68"/>
      <c r="U20" s="68"/>
      <c r="V20" s="68"/>
      <c r="W20" s="68"/>
      <c r="X20" s="68"/>
      <c r="Y20" s="68"/>
      <c r="Z20" s="68"/>
      <c r="AA20" s="68"/>
      <c r="AB20" s="68"/>
      <c r="AC20" s="68"/>
      <c r="AD20" s="68"/>
      <c r="AE20" s="68"/>
    </row>
    <row r="21" spans="1:31">
      <c r="A21" s="125"/>
      <c r="B21" s="304" t="s">
        <v>1217</v>
      </c>
      <c r="C21" s="131" t="str">
        <f ca="1">Sprache!$E$421</f>
        <v>Wärmequellen, -senken, Lager</v>
      </c>
      <c r="D21" s="131" t="str">
        <f ca="1">Sprache!E371</f>
        <v>Pelletslager (Technik)</v>
      </c>
      <c r="E21" s="131"/>
      <c r="F21" s="391"/>
      <c r="G21" s="358">
        <f>Standardwerte!$K$26*Investition_Basis!F21</f>
        <v>3000</v>
      </c>
      <c r="H21" s="391"/>
      <c r="I21" s="358">
        <f>Standardwerte!$K$26*Investition_Basis!G21</f>
        <v>3000</v>
      </c>
      <c r="J21" s="391"/>
      <c r="K21" s="358">
        <f>Standardwerte!$K$26*Investition_Basis!H21</f>
        <v>3500</v>
      </c>
      <c r="L21" s="391"/>
      <c r="M21" s="358">
        <f>Standardwerte!$K$26*Investition_Basis!I21</f>
        <v>3500</v>
      </c>
      <c r="N21" s="391"/>
      <c r="O21" s="358">
        <f>Standardwerte!$K$26*Investition_Basis!J21</f>
        <v>3500</v>
      </c>
      <c r="P21" s="391"/>
      <c r="Q21" s="358">
        <f>Standardwerte!$K$26*Investition_Basis!K21</f>
        <v>3600</v>
      </c>
      <c r="R21" s="391"/>
      <c r="S21" s="358">
        <f>Standardwerte!$K$26*Investition_Basis!L21</f>
        <v>4100</v>
      </c>
      <c r="T21" s="391"/>
      <c r="U21" s="358">
        <f>Standardwerte!$K$26*Investition_Basis!M21</f>
        <v>4600</v>
      </c>
      <c r="V21" s="391"/>
      <c r="W21" s="358">
        <f>Standardwerte!$K$26*Investition_Basis!N21</f>
        <v>5600</v>
      </c>
      <c r="X21" s="391"/>
      <c r="Y21" s="358">
        <f>Standardwerte!$K$26*Investition_Basis!O21</f>
        <v>9000</v>
      </c>
      <c r="Z21" s="391"/>
      <c r="AA21" s="358">
        <f>Standardwerte!$K$26*Investition_Basis!P21</f>
        <v>14000</v>
      </c>
      <c r="AB21" s="391"/>
      <c r="AC21" s="358">
        <f>Standardwerte!$K$26*Investition_Basis!Q21</f>
        <v>18000</v>
      </c>
      <c r="AD21" s="391"/>
      <c r="AE21" s="358">
        <f>Standardwerte!$K$26*Investition_Basis!R21</f>
        <v>20000</v>
      </c>
    </row>
    <row r="22" spans="1:31">
      <c r="A22" s="125"/>
      <c r="B22" s="305" t="s">
        <v>1217</v>
      </c>
      <c r="C22" s="131" t="str">
        <f ca="1">Sprache!$E$421</f>
        <v>Wärmequellen, -senken, Lager</v>
      </c>
      <c r="D22" s="126" t="str">
        <f ca="1">Sprache!E372</f>
        <v>Pellets Austragung</v>
      </c>
      <c r="E22" s="126"/>
      <c r="F22" s="36"/>
      <c r="G22" s="89">
        <f>Standardwerte!$K$26*Investition_Basis!F22</f>
        <v>2000</v>
      </c>
      <c r="H22" s="36"/>
      <c r="I22" s="89">
        <f>Standardwerte!$K$26*Investition_Basis!G22</f>
        <v>2000</v>
      </c>
      <c r="J22" s="36"/>
      <c r="K22" s="89">
        <f>Standardwerte!$K$26*Investition_Basis!H22</f>
        <v>3000</v>
      </c>
      <c r="L22" s="36"/>
      <c r="M22" s="89">
        <f>Standardwerte!$K$26*Investition_Basis!I22</f>
        <v>5600</v>
      </c>
      <c r="N22" s="36"/>
      <c r="O22" s="89">
        <f>Standardwerte!$K$26*Investition_Basis!J22</f>
        <v>12000</v>
      </c>
      <c r="P22" s="36"/>
      <c r="Q22" s="89">
        <f>Standardwerte!$K$26*Investition_Basis!K22</f>
        <v>15000</v>
      </c>
      <c r="R22" s="36"/>
      <c r="S22" s="89">
        <f>Standardwerte!$K$26*Investition_Basis!L22</f>
        <v>25000</v>
      </c>
      <c r="T22" s="36"/>
      <c r="U22" s="89">
        <f>Standardwerte!$K$26*Investition_Basis!M22</f>
        <v>35000</v>
      </c>
      <c r="V22" s="36"/>
      <c r="W22" s="89">
        <f>Standardwerte!$K$26*Investition_Basis!N22</f>
        <v>45000</v>
      </c>
      <c r="X22" s="36"/>
      <c r="Y22" s="89">
        <f>Standardwerte!$K$26*Investition_Basis!O22</f>
        <v>60000</v>
      </c>
      <c r="Z22" s="36"/>
      <c r="AA22" s="89">
        <f>Standardwerte!$K$26*Investition_Basis!P22</f>
        <v>70000</v>
      </c>
      <c r="AB22" s="36"/>
      <c r="AC22" s="89">
        <f>Standardwerte!$K$26*Investition_Basis!Q22</f>
        <v>90000</v>
      </c>
      <c r="AD22" s="36"/>
      <c r="AE22" s="89">
        <f>Standardwerte!$K$26*Investition_Basis!R22</f>
        <v>110000</v>
      </c>
    </row>
    <row r="23" spans="1:31">
      <c r="A23" s="125"/>
      <c r="B23" s="305" t="s">
        <v>1215</v>
      </c>
      <c r="C23" s="126" t="str">
        <f ca="1">Sprache!$E$377</f>
        <v>Wärmeerzeugung</v>
      </c>
      <c r="D23" s="126" t="str">
        <f ca="1">Sprache!E440</f>
        <v>Pelletkessel</v>
      </c>
      <c r="E23" s="126"/>
      <c r="F23" s="36"/>
      <c r="G23" s="89">
        <f>Standardwerte!$K$26*Investition_Basis!F23</f>
        <v>12000</v>
      </c>
      <c r="H23" s="36"/>
      <c r="I23" s="89">
        <f>Standardwerte!$K$26*Investition_Basis!G23</f>
        <v>12000</v>
      </c>
      <c r="J23" s="36"/>
      <c r="K23" s="89">
        <f>Standardwerte!$K$26*Investition_Basis!H23</f>
        <v>16000</v>
      </c>
      <c r="L23" s="36"/>
      <c r="M23" s="89">
        <f>Standardwerte!$K$26*Investition_Basis!I23</f>
        <v>19000</v>
      </c>
      <c r="N23" s="36"/>
      <c r="O23" s="89">
        <f>Standardwerte!$K$26*Investition_Basis!J23</f>
        <v>31100</v>
      </c>
      <c r="P23" s="36"/>
      <c r="Q23" s="89">
        <f>Standardwerte!$K$26*Investition_Basis!K23</f>
        <v>39000</v>
      </c>
      <c r="R23" s="36"/>
      <c r="S23" s="89">
        <f>Standardwerte!$K$26*Investition_Basis!L23</f>
        <v>67800</v>
      </c>
      <c r="T23" s="36"/>
      <c r="U23" s="89">
        <f>Standardwerte!$K$26*Investition_Basis!M23</f>
        <v>92800</v>
      </c>
      <c r="V23" s="36"/>
      <c r="W23" s="89">
        <f>Standardwerte!$K$26*Investition_Basis!N23</f>
        <v>115300</v>
      </c>
      <c r="X23" s="36"/>
      <c r="Y23" s="89">
        <f>Standardwerte!$K$26*Investition_Basis!O23</f>
        <v>263000</v>
      </c>
      <c r="Z23" s="36"/>
      <c r="AA23" s="89">
        <f>Standardwerte!$K$26*Investition_Basis!P23</f>
        <v>332000</v>
      </c>
      <c r="AB23" s="36"/>
      <c r="AC23" s="89">
        <f>Standardwerte!$K$26*Investition_Basis!Q23</f>
        <v>384000</v>
      </c>
      <c r="AD23" s="36"/>
      <c r="AE23" s="89">
        <f>Standardwerte!$K$26*Investition_Basis!R23</f>
        <v>453000</v>
      </c>
    </row>
    <row r="24" spans="1:31">
      <c r="A24" s="125"/>
      <c r="B24" s="305" t="s">
        <v>1215</v>
      </c>
      <c r="C24" s="126" t="str">
        <f ca="1">Sprache!$E$377</f>
        <v>Wärmeerzeugung</v>
      </c>
      <c r="D24" s="126" t="str">
        <f ca="1">Sprache!$E$379</f>
        <v>Armaturen, Apparate, Rohrleitungen, Dämmung</v>
      </c>
      <c r="E24" s="126"/>
      <c r="F24" s="36"/>
      <c r="G24" s="89">
        <f>Standardwerte!$K$26*Investition_Basis!F24</f>
        <v>4000</v>
      </c>
      <c r="H24" s="36"/>
      <c r="I24" s="89">
        <f>Standardwerte!$K$26*Investition_Basis!G24</f>
        <v>4000</v>
      </c>
      <c r="J24" s="36"/>
      <c r="K24" s="89">
        <f>Standardwerte!$K$26*Investition_Basis!H24</f>
        <v>4500</v>
      </c>
      <c r="L24" s="36"/>
      <c r="M24" s="89">
        <f>Standardwerte!$K$26*Investition_Basis!I24</f>
        <v>4600</v>
      </c>
      <c r="N24" s="36"/>
      <c r="O24" s="89">
        <f>Standardwerte!$K$26*Investition_Basis!J24</f>
        <v>5100</v>
      </c>
      <c r="P24" s="36"/>
      <c r="Q24" s="89">
        <f>Standardwerte!$K$26*Investition_Basis!K24</f>
        <v>5600</v>
      </c>
      <c r="R24" s="36"/>
      <c r="S24" s="89">
        <f>Standardwerte!$K$26*Investition_Basis!L24</f>
        <v>6600</v>
      </c>
      <c r="T24" s="36"/>
      <c r="U24" s="89">
        <f>Standardwerte!$K$26*Investition_Basis!M24</f>
        <v>7700</v>
      </c>
      <c r="V24" s="36"/>
      <c r="W24" s="89">
        <f>Standardwerte!$K$26*Investition_Basis!N24</f>
        <v>9400</v>
      </c>
      <c r="X24" s="36"/>
      <c r="Y24" s="89">
        <f>Standardwerte!$K$26*Investition_Basis!O24</f>
        <v>12000</v>
      </c>
      <c r="Z24" s="36"/>
      <c r="AA24" s="89">
        <f>Standardwerte!$K$26*Investition_Basis!P24</f>
        <v>15000</v>
      </c>
      <c r="AB24" s="36"/>
      <c r="AC24" s="89">
        <f>Standardwerte!$K$26*Investition_Basis!Q24</f>
        <v>24000</v>
      </c>
      <c r="AD24" s="36"/>
      <c r="AE24" s="89">
        <f>Standardwerte!$K$26*Investition_Basis!R24</f>
        <v>30000</v>
      </c>
    </row>
    <row r="25" spans="1:31">
      <c r="A25" s="125"/>
      <c r="B25" s="305" t="s">
        <v>1218</v>
      </c>
      <c r="C25" s="126" t="str">
        <f ca="1">Sprache!$E$422</f>
        <v>Wärmespeicherung</v>
      </c>
      <c r="D25" s="126" t="str">
        <f ca="1">Sprache!$E$378</f>
        <v>Heizungsspeicher</v>
      </c>
      <c r="E25" s="126"/>
      <c r="F25" s="36"/>
      <c r="G25" s="89">
        <f>Standardwerte!$K$26*Investition_Basis!F25</f>
        <v>1500</v>
      </c>
      <c r="H25" s="36"/>
      <c r="I25" s="89">
        <f>Standardwerte!$K$26*Investition_Basis!G25</f>
        <v>1500</v>
      </c>
      <c r="J25" s="36"/>
      <c r="K25" s="89">
        <f>Standardwerte!$K$26*Investition_Basis!H25</f>
        <v>2000</v>
      </c>
      <c r="L25" s="36"/>
      <c r="M25" s="89">
        <f>Standardwerte!$K$26*Investition_Basis!I25</f>
        <v>2500</v>
      </c>
      <c r="N25" s="36"/>
      <c r="O25" s="89">
        <f>Standardwerte!$K$26*Investition_Basis!J25</f>
        <v>4000</v>
      </c>
      <c r="P25" s="36"/>
      <c r="Q25" s="89">
        <f>Standardwerte!$K$26*Investition_Basis!K25</f>
        <v>5000</v>
      </c>
      <c r="R25" s="36"/>
      <c r="S25" s="89">
        <f>Standardwerte!$K$26*Investition_Basis!L25</f>
        <v>5100</v>
      </c>
      <c r="T25" s="36"/>
      <c r="U25" s="89">
        <f>Standardwerte!$K$26*Investition_Basis!M25</f>
        <v>7700</v>
      </c>
      <c r="V25" s="36"/>
      <c r="W25" s="89">
        <f>Standardwerte!$K$26*Investition_Basis!N25</f>
        <v>10200</v>
      </c>
      <c r="X25" s="36"/>
      <c r="Y25" s="89">
        <f>Standardwerte!$K$26*Investition_Basis!O25</f>
        <v>13000</v>
      </c>
      <c r="Z25" s="36"/>
      <c r="AA25" s="89">
        <f>Standardwerte!$K$26*Investition_Basis!P25</f>
        <v>18000</v>
      </c>
      <c r="AB25" s="36"/>
      <c r="AC25" s="89">
        <f>Standardwerte!$K$26*Investition_Basis!Q25</f>
        <v>25000</v>
      </c>
      <c r="AD25" s="36"/>
      <c r="AE25" s="89">
        <f>Standardwerte!$K$26*Investition_Basis!R25</f>
        <v>36000</v>
      </c>
    </row>
    <row r="26" spans="1:31">
      <c r="A26" s="125"/>
      <c r="B26" s="305" t="s">
        <v>1215</v>
      </c>
      <c r="C26" s="126" t="str">
        <f ca="1">Sprache!$E$377</f>
        <v>Wärmeerzeugung</v>
      </c>
      <c r="D26" s="126" t="str">
        <f ca="1">Sprache!$E$382</f>
        <v>Transport und Montage</v>
      </c>
      <c r="E26" s="126"/>
      <c r="F26" s="36"/>
      <c r="G26" s="89">
        <f>Standardwerte!$K$26*Investition_Basis!F26</f>
        <v>8500</v>
      </c>
      <c r="H26" s="36"/>
      <c r="I26" s="89">
        <f>Standardwerte!$K$26*Investition_Basis!G26</f>
        <v>8500</v>
      </c>
      <c r="J26" s="36"/>
      <c r="K26" s="89">
        <f>Standardwerte!$K$26*Investition_Basis!H26</f>
        <v>8500</v>
      </c>
      <c r="L26" s="36"/>
      <c r="M26" s="89">
        <f>Standardwerte!$K$26*Investition_Basis!I26</f>
        <v>10000</v>
      </c>
      <c r="N26" s="36"/>
      <c r="O26" s="89">
        <f>Standardwerte!$K$26*Investition_Basis!J26</f>
        <v>12000</v>
      </c>
      <c r="P26" s="36"/>
      <c r="Q26" s="89">
        <f>Standardwerte!$K$26*Investition_Basis!K26</f>
        <v>13900</v>
      </c>
      <c r="R26" s="36"/>
      <c r="S26" s="89">
        <f>Standardwerte!$K$26*Investition_Basis!L26</f>
        <v>13900</v>
      </c>
      <c r="T26" s="36"/>
      <c r="U26" s="89">
        <f>Standardwerte!$K$26*Investition_Basis!M26</f>
        <v>17300</v>
      </c>
      <c r="V26" s="36"/>
      <c r="W26" s="89">
        <f>Standardwerte!$K$26*Investition_Basis!N26</f>
        <v>25500</v>
      </c>
      <c r="X26" s="36"/>
      <c r="Y26" s="89">
        <f>Standardwerte!$K$26*Investition_Basis!O26</f>
        <v>37500</v>
      </c>
      <c r="Z26" s="36"/>
      <c r="AA26" s="89">
        <f>Standardwerte!$K$26*Investition_Basis!P26</f>
        <v>50000</v>
      </c>
      <c r="AB26" s="36"/>
      <c r="AC26" s="89">
        <f>Standardwerte!$K$26*Investition_Basis!Q26</f>
        <v>75000</v>
      </c>
      <c r="AD26" s="36"/>
      <c r="AE26" s="89">
        <f>Standardwerte!$K$26*Investition_Basis!R26</f>
        <v>100000</v>
      </c>
    </row>
    <row r="27" spans="1:31">
      <c r="A27" s="125"/>
      <c r="B27" s="307" t="s">
        <v>1215</v>
      </c>
      <c r="C27" s="297" t="str">
        <f ca="1">Sprache!$E$377</f>
        <v>Wärmeerzeugung</v>
      </c>
      <c r="D27" s="134" t="str">
        <f ca="1">Sprache!$E$383</f>
        <v>Kamin</v>
      </c>
      <c r="E27" s="134"/>
      <c r="F27" s="392"/>
      <c r="G27" s="360">
        <f>Standardwerte!$K$26*Investition_Basis!F27</f>
        <v>4000</v>
      </c>
      <c r="H27" s="392"/>
      <c r="I27" s="360">
        <f>Standardwerte!$K$26*Investition_Basis!G27</f>
        <v>4000</v>
      </c>
      <c r="J27" s="392"/>
      <c r="K27" s="360">
        <f>Standardwerte!$K$26*Investition_Basis!H27</f>
        <v>4200</v>
      </c>
      <c r="L27" s="392"/>
      <c r="M27" s="360">
        <f>Standardwerte!$K$26*Investition_Basis!I27</f>
        <v>4500</v>
      </c>
      <c r="N27" s="392"/>
      <c r="O27" s="360">
        <f>Standardwerte!$K$26*Investition_Basis!J27</f>
        <v>7000</v>
      </c>
      <c r="P27" s="392"/>
      <c r="Q27" s="360">
        <f>Standardwerte!$K$26*Investition_Basis!K27</f>
        <v>10600</v>
      </c>
      <c r="R27" s="392"/>
      <c r="S27" s="360">
        <f>Standardwerte!$K$26*Investition_Basis!L27</f>
        <v>11700</v>
      </c>
      <c r="T27" s="392"/>
      <c r="U27" s="360">
        <f>Standardwerte!$K$26*Investition_Basis!M27</f>
        <v>17100</v>
      </c>
      <c r="V27" s="392"/>
      <c r="W27" s="360">
        <f>Standardwerte!$K$26*Investition_Basis!N27</f>
        <v>21400</v>
      </c>
      <c r="X27" s="392"/>
      <c r="Y27" s="360">
        <f>Standardwerte!$K$26*Investition_Basis!O27</f>
        <v>30000</v>
      </c>
      <c r="Z27" s="392"/>
      <c r="AA27" s="360">
        <f>Standardwerte!$K$26*Investition_Basis!P27</f>
        <v>37000</v>
      </c>
      <c r="AB27" s="392"/>
      <c r="AC27" s="360">
        <f>Standardwerte!$K$26*Investition_Basis!Q27</f>
        <v>44000</v>
      </c>
      <c r="AD27" s="392"/>
      <c r="AE27" s="360">
        <f>Standardwerte!$K$26*Investition_Basis!R27</f>
        <v>55000</v>
      </c>
    </row>
    <row r="28" spans="1:31">
      <c r="A28" s="125"/>
      <c r="E28" s="64"/>
      <c r="F28" s="69"/>
      <c r="G28" s="68"/>
      <c r="H28" s="69"/>
      <c r="I28" s="68"/>
      <c r="J28" s="68"/>
      <c r="K28" s="68"/>
      <c r="L28" s="68"/>
      <c r="M28" s="68"/>
      <c r="N28" s="68"/>
      <c r="O28" s="68"/>
      <c r="P28" s="68"/>
      <c r="Q28" s="68"/>
      <c r="R28" s="68"/>
      <c r="S28" s="68"/>
      <c r="T28" s="68"/>
      <c r="U28" s="68"/>
      <c r="V28" s="68"/>
      <c r="W28" s="68"/>
      <c r="X28" s="68"/>
      <c r="Y28" s="68"/>
      <c r="Z28" s="68"/>
      <c r="AA28" s="68"/>
      <c r="AB28" s="68"/>
      <c r="AC28" s="68"/>
      <c r="AD28" s="68"/>
      <c r="AE28" s="68"/>
    </row>
    <row r="29" spans="1:31">
      <c r="A29" s="125" t="s">
        <v>993</v>
      </c>
      <c r="B29" s="125" t="str">
        <f ca="1">Sprache!E19</f>
        <v>Hackschnitzel  (ab 20 kW)</v>
      </c>
      <c r="C29" s="326"/>
      <c r="E29" s="64"/>
      <c r="F29" s="69"/>
      <c r="G29" s="68"/>
      <c r="H29" s="69"/>
      <c r="I29" s="68"/>
      <c r="J29" s="68"/>
      <c r="K29" s="68"/>
      <c r="L29" s="68"/>
      <c r="M29" s="68"/>
      <c r="N29" s="68"/>
      <c r="O29" s="68"/>
      <c r="P29" s="68"/>
      <c r="Q29" s="68"/>
      <c r="R29" s="68"/>
      <c r="S29" s="68"/>
      <c r="T29" s="68"/>
      <c r="U29" s="68"/>
      <c r="V29" s="68"/>
      <c r="W29" s="68"/>
      <c r="X29" s="68"/>
      <c r="Y29" s="68"/>
      <c r="Z29" s="68"/>
      <c r="AA29" s="68"/>
      <c r="AB29" s="68"/>
      <c r="AC29" s="68"/>
      <c r="AD29" s="68"/>
      <c r="AE29" s="68"/>
    </row>
    <row r="30" spans="1:31">
      <c r="A30" s="125"/>
      <c r="B30" s="304" t="s">
        <v>1217</v>
      </c>
      <c r="C30" s="131" t="str">
        <f ca="1">Sprache!$E$421</f>
        <v>Wärmequellen, -senken, Lager</v>
      </c>
      <c r="D30" s="131" t="str">
        <f ca="1">Sprache!E373</f>
        <v>Hackschnitzelsilo</v>
      </c>
      <c r="E30" s="131"/>
      <c r="F30" s="391"/>
      <c r="G30" s="358">
        <f>Standardwerte!$K$26*Investition_Basis!F30</f>
        <v>0</v>
      </c>
      <c r="H30" s="391"/>
      <c r="I30" s="358">
        <f>Standardwerte!$K$26*Investition_Basis!G30</f>
        <v>0</v>
      </c>
      <c r="J30" s="391"/>
      <c r="K30" s="358">
        <f>Standardwerte!$K$26*Investition_Basis!H30</f>
        <v>0</v>
      </c>
      <c r="L30" s="391"/>
      <c r="M30" s="358">
        <f>Standardwerte!$K$26*Investition_Basis!I30</f>
        <v>3500</v>
      </c>
      <c r="N30" s="391"/>
      <c r="O30" s="358">
        <f>Standardwerte!$K$26*Investition_Basis!J30</f>
        <v>3500</v>
      </c>
      <c r="P30" s="391"/>
      <c r="Q30" s="358">
        <f>Standardwerte!$K$26*Investition_Basis!K30</f>
        <v>3600</v>
      </c>
      <c r="R30" s="391"/>
      <c r="S30" s="358">
        <f>Standardwerte!$K$26*Investition_Basis!L30</f>
        <v>4100</v>
      </c>
      <c r="T30" s="391"/>
      <c r="U30" s="358">
        <f>Standardwerte!$K$26*Investition_Basis!M30</f>
        <v>4600</v>
      </c>
      <c r="V30" s="391"/>
      <c r="W30" s="358">
        <f>Standardwerte!$K$26*Investition_Basis!N30</f>
        <v>5600</v>
      </c>
      <c r="X30" s="391"/>
      <c r="Y30" s="358">
        <f>Standardwerte!$K$26*Investition_Basis!O30</f>
        <v>9000</v>
      </c>
      <c r="Z30" s="391"/>
      <c r="AA30" s="358">
        <f>Standardwerte!$K$26*Investition_Basis!P30</f>
        <v>14000</v>
      </c>
      <c r="AB30" s="391"/>
      <c r="AC30" s="358">
        <f>Standardwerte!$K$26*Investition_Basis!Q30</f>
        <v>18000</v>
      </c>
      <c r="AD30" s="391"/>
      <c r="AE30" s="358">
        <f>Standardwerte!$K$26*Investition_Basis!R30</f>
        <v>20000</v>
      </c>
    </row>
    <row r="31" spans="1:31">
      <c r="A31" s="125"/>
      <c r="B31" s="305" t="s">
        <v>1217</v>
      </c>
      <c r="C31" s="131" t="str">
        <f ca="1">Sprache!$E$421</f>
        <v>Wärmequellen, -senken, Lager</v>
      </c>
      <c r="D31" s="126" t="str">
        <f ca="1">Sprache!E374</f>
        <v>Hackschnitzelsilo (Bestückung)</v>
      </c>
      <c r="E31" s="126"/>
      <c r="F31" s="36"/>
      <c r="G31" s="89">
        <f>Standardwerte!$K$26*Investition_Basis!F31</f>
        <v>0</v>
      </c>
      <c r="H31" s="36"/>
      <c r="I31" s="89">
        <f>Standardwerte!$K$26*Investition_Basis!G31</f>
        <v>0</v>
      </c>
      <c r="J31" s="36"/>
      <c r="K31" s="89">
        <f>Standardwerte!$K$26*Investition_Basis!H31</f>
        <v>0</v>
      </c>
      <c r="L31" s="36"/>
      <c r="M31" s="89">
        <f>Standardwerte!$K$26*Investition_Basis!I31</f>
        <v>12000</v>
      </c>
      <c r="N31" s="36"/>
      <c r="O31" s="89">
        <f>Standardwerte!$K$26*Investition_Basis!J31</f>
        <v>25800</v>
      </c>
      <c r="P31" s="36"/>
      <c r="Q31" s="89">
        <f>Standardwerte!$K$26*Investition_Basis!K31</f>
        <v>34200</v>
      </c>
      <c r="R31" s="36"/>
      <c r="S31" s="89">
        <f>Standardwerte!$K$26*Investition_Basis!L31</f>
        <v>43300</v>
      </c>
      <c r="T31" s="36"/>
      <c r="U31" s="89">
        <f>Standardwerte!$K$26*Investition_Basis!M31</f>
        <v>55500</v>
      </c>
      <c r="V31" s="36"/>
      <c r="W31" s="89">
        <f>Standardwerte!$K$26*Investition_Basis!N31</f>
        <v>74000</v>
      </c>
      <c r="X31" s="36"/>
      <c r="Y31" s="89">
        <f>Standardwerte!$K$26*Investition_Basis!O31</f>
        <v>98600</v>
      </c>
      <c r="Z31" s="36"/>
      <c r="AA31" s="89">
        <f>Standardwerte!$K$26*Investition_Basis!P31</f>
        <v>116700</v>
      </c>
      <c r="AB31" s="36"/>
      <c r="AC31" s="89">
        <f>Standardwerte!$K$26*Investition_Basis!Q31</f>
        <v>154800</v>
      </c>
      <c r="AD31" s="36"/>
      <c r="AE31" s="89">
        <f>Standardwerte!$K$26*Investition_Basis!R31</f>
        <v>183300</v>
      </c>
    </row>
    <row r="32" spans="1:31">
      <c r="A32" s="125"/>
      <c r="B32" s="305" t="s">
        <v>1215</v>
      </c>
      <c r="C32" s="126" t="str">
        <f ca="1">Sprache!$E$377</f>
        <v>Wärmeerzeugung</v>
      </c>
      <c r="D32" s="126" t="str">
        <f ca="1">Sprache!E441</f>
        <v>Hackschnitzelkessel</v>
      </c>
      <c r="E32" s="126"/>
      <c r="F32" s="36"/>
      <c r="G32" s="89">
        <f>Standardwerte!$K$26*Investition_Basis!F32</f>
        <v>0</v>
      </c>
      <c r="H32" s="36"/>
      <c r="I32" s="89">
        <f>Standardwerte!$K$26*Investition_Basis!G32</f>
        <v>0</v>
      </c>
      <c r="J32" s="36"/>
      <c r="K32" s="89">
        <f>Standardwerte!$K$26*Investition_Basis!H32</f>
        <v>0</v>
      </c>
      <c r="L32" s="36"/>
      <c r="M32" s="89">
        <f>Standardwerte!$K$26*Investition_Basis!I32</f>
        <v>24500</v>
      </c>
      <c r="N32" s="36"/>
      <c r="O32" s="89">
        <f>Standardwerte!$K$26*Investition_Basis!J32</f>
        <v>42900</v>
      </c>
      <c r="P32" s="36"/>
      <c r="Q32" s="89">
        <f>Standardwerte!$K$26*Investition_Basis!K32</f>
        <v>51200</v>
      </c>
      <c r="R32" s="36"/>
      <c r="S32" s="89">
        <f>Standardwerte!$K$26*Investition_Basis!L32</f>
        <v>86200</v>
      </c>
      <c r="T32" s="36"/>
      <c r="U32" s="89">
        <f>Standardwerte!$K$26*Investition_Basis!M32</f>
        <v>103000</v>
      </c>
      <c r="V32" s="36"/>
      <c r="W32" s="89">
        <f>Standardwerte!$K$26*Investition_Basis!N32</f>
        <v>139700</v>
      </c>
      <c r="X32" s="36"/>
      <c r="Y32" s="89">
        <f>Standardwerte!$K$26*Investition_Basis!O32</f>
        <v>263000</v>
      </c>
      <c r="Z32" s="36"/>
      <c r="AA32" s="89">
        <f>Standardwerte!$K$26*Investition_Basis!P32</f>
        <v>332000</v>
      </c>
      <c r="AB32" s="36"/>
      <c r="AC32" s="89">
        <f>Standardwerte!$K$26*Investition_Basis!Q32</f>
        <v>384000</v>
      </c>
      <c r="AD32" s="36"/>
      <c r="AE32" s="89">
        <f>Standardwerte!$K$26*Investition_Basis!R32</f>
        <v>453000</v>
      </c>
    </row>
    <row r="33" spans="1:31">
      <c r="A33" s="125"/>
      <c r="B33" s="305" t="s">
        <v>1215</v>
      </c>
      <c r="C33" s="126" t="str">
        <f ca="1">Sprache!$E$377</f>
        <v>Wärmeerzeugung</v>
      </c>
      <c r="D33" s="126" t="str">
        <f ca="1">Sprache!$E$379</f>
        <v>Armaturen, Apparate, Rohrleitungen, Dämmung</v>
      </c>
      <c r="E33" s="126"/>
      <c r="F33" s="36"/>
      <c r="G33" s="89">
        <f>Standardwerte!$K$26*Investition_Basis!F33</f>
        <v>0</v>
      </c>
      <c r="H33" s="36"/>
      <c r="I33" s="89">
        <f>Standardwerte!$K$26*Investition_Basis!G33</f>
        <v>0</v>
      </c>
      <c r="J33" s="36"/>
      <c r="K33" s="89">
        <f>Standardwerte!$K$26*Investition_Basis!H33</f>
        <v>0</v>
      </c>
      <c r="L33" s="36"/>
      <c r="M33" s="89">
        <f>Standardwerte!$K$26*Investition_Basis!I33</f>
        <v>3800</v>
      </c>
      <c r="N33" s="36"/>
      <c r="O33" s="89">
        <f>Standardwerte!$K$26*Investition_Basis!J33</f>
        <v>5100</v>
      </c>
      <c r="P33" s="36"/>
      <c r="Q33" s="89">
        <f>Standardwerte!$K$26*Investition_Basis!K33</f>
        <v>5600</v>
      </c>
      <c r="R33" s="36"/>
      <c r="S33" s="89">
        <f>Standardwerte!$K$26*Investition_Basis!L33</f>
        <v>6600</v>
      </c>
      <c r="T33" s="36"/>
      <c r="U33" s="89">
        <f>Standardwerte!$K$26*Investition_Basis!M33</f>
        <v>7700</v>
      </c>
      <c r="V33" s="36"/>
      <c r="W33" s="89">
        <f>Standardwerte!$K$26*Investition_Basis!N33</f>
        <v>9400</v>
      </c>
      <c r="X33" s="36"/>
      <c r="Y33" s="89">
        <f>Standardwerte!$K$26*Investition_Basis!O33</f>
        <v>12000</v>
      </c>
      <c r="Z33" s="36"/>
      <c r="AA33" s="89">
        <f>Standardwerte!$K$26*Investition_Basis!P33</f>
        <v>15000</v>
      </c>
      <c r="AB33" s="36"/>
      <c r="AC33" s="89">
        <f>Standardwerte!$K$26*Investition_Basis!Q33</f>
        <v>24000</v>
      </c>
      <c r="AD33" s="36"/>
      <c r="AE33" s="89">
        <f>Standardwerte!$K$26*Investition_Basis!R33</f>
        <v>30000</v>
      </c>
    </row>
    <row r="34" spans="1:31">
      <c r="A34" s="125"/>
      <c r="B34" s="305" t="s">
        <v>1218</v>
      </c>
      <c r="C34" s="126" t="str">
        <f ca="1">Sprache!$E$422</f>
        <v>Wärmespeicherung</v>
      </c>
      <c r="D34" s="126" t="str">
        <f ca="1">Sprache!$E$378</f>
        <v>Heizungsspeicher</v>
      </c>
      <c r="E34" s="126"/>
      <c r="F34" s="36"/>
      <c r="G34" s="89">
        <f>Standardwerte!$K$26*Investition_Basis!F34</f>
        <v>0</v>
      </c>
      <c r="H34" s="36"/>
      <c r="I34" s="89">
        <f>Standardwerte!$K$26*Investition_Basis!G34</f>
        <v>0</v>
      </c>
      <c r="J34" s="36"/>
      <c r="K34" s="89">
        <f>Standardwerte!$K$26*Investition_Basis!H34</f>
        <v>0</v>
      </c>
      <c r="L34" s="36"/>
      <c r="M34" s="89">
        <f>Standardwerte!$K$26*Investition_Basis!I34</f>
        <v>1200</v>
      </c>
      <c r="N34" s="36"/>
      <c r="O34" s="89">
        <f>Standardwerte!$K$26*Investition_Basis!J34</f>
        <v>2200</v>
      </c>
      <c r="P34" s="36"/>
      <c r="Q34" s="89">
        <f>Standardwerte!$K$26*Investition_Basis!K34</f>
        <v>3100</v>
      </c>
      <c r="R34" s="36"/>
      <c r="S34" s="89">
        <f>Standardwerte!$K$26*Investition_Basis!L34</f>
        <v>5100</v>
      </c>
      <c r="T34" s="36"/>
      <c r="U34" s="89">
        <f>Standardwerte!$K$26*Investition_Basis!M34</f>
        <v>7700</v>
      </c>
      <c r="V34" s="36"/>
      <c r="W34" s="89">
        <f>Standardwerte!$K$26*Investition_Basis!N34</f>
        <v>10200</v>
      </c>
      <c r="X34" s="36"/>
      <c r="Y34" s="89">
        <f>Standardwerte!$K$26*Investition_Basis!O34</f>
        <v>13000</v>
      </c>
      <c r="Z34" s="36"/>
      <c r="AA34" s="89">
        <f>Standardwerte!$K$26*Investition_Basis!P34</f>
        <v>18000</v>
      </c>
      <c r="AB34" s="36"/>
      <c r="AC34" s="89">
        <f>Standardwerte!$K$26*Investition_Basis!Q34</f>
        <v>25000</v>
      </c>
      <c r="AD34" s="36"/>
      <c r="AE34" s="89">
        <f>Standardwerte!$K$26*Investition_Basis!R34</f>
        <v>36000</v>
      </c>
    </row>
    <row r="35" spans="1:31">
      <c r="A35" s="125"/>
      <c r="B35" s="305" t="s">
        <v>1215</v>
      </c>
      <c r="C35" s="126" t="str">
        <f ca="1">Sprache!$E$377</f>
        <v>Wärmeerzeugung</v>
      </c>
      <c r="D35" s="126" t="str">
        <f ca="1">Sprache!$E$382</f>
        <v>Transport und Montage</v>
      </c>
      <c r="E35" s="126"/>
      <c r="F35" s="36"/>
      <c r="G35" s="89">
        <f>Standardwerte!$K$26*Investition_Basis!F35</f>
        <v>0</v>
      </c>
      <c r="H35" s="36"/>
      <c r="I35" s="89">
        <f>Standardwerte!$K$26*Investition_Basis!G35</f>
        <v>0</v>
      </c>
      <c r="J35" s="36"/>
      <c r="K35" s="89">
        <f>Standardwerte!$K$26*Investition_Basis!H35</f>
        <v>0</v>
      </c>
      <c r="L35" s="36"/>
      <c r="M35" s="89">
        <f>Standardwerte!$K$26*Investition_Basis!I35</f>
        <v>8400</v>
      </c>
      <c r="N35" s="36"/>
      <c r="O35" s="89">
        <f>Standardwerte!$K$26*Investition_Basis!J35</f>
        <v>8700</v>
      </c>
      <c r="P35" s="36"/>
      <c r="Q35" s="89">
        <f>Standardwerte!$K$26*Investition_Basis!K35</f>
        <v>13900</v>
      </c>
      <c r="R35" s="36"/>
      <c r="S35" s="89">
        <f>Standardwerte!$K$26*Investition_Basis!L35</f>
        <v>13900</v>
      </c>
      <c r="T35" s="36"/>
      <c r="U35" s="89">
        <f>Standardwerte!$K$26*Investition_Basis!M35</f>
        <v>17300</v>
      </c>
      <c r="V35" s="36"/>
      <c r="W35" s="89">
        <f>Standardwerte!$K$26*Investition_Basis!N35</f>
        <v>25500</v>
      </c>
      <c r="X35" s="36"/>
      <c r="Y35" s="89">
        <f>Standardwerte!$K$26*Investition_Basis!O35</f>
        <v>37500</v>
      </c>
      <c r="Z35" s="36"/>
      <c r="AA35" s="89">
        <f>Standardwerte!$K$26*Investition_Basis!P35</f>
        <v>50000</v>
      </c>
      <c r="AB35" s="36"/>
      <c r="AC35" s="89">
        <f>Standardwerte!$K$26*Investition_Basis!Q35</f>
        <v>75000</v>
      </c>
      <c r="AD35" s="36"/>
      <c r="AE35" s="89">
        <f>Standardwerte!$K$26*Investition_Basis!R35</f>
        <v>100000</v>
      </c>
    </row>
    <row r="36" spans="1:31">
      <c r="A36" s="125"/>
      <c r="B36" s="307" t="s">
        <v>1215</v>
      </c>
      <c r="C36" s="297" t="str">
        <f ca="1">Sprache!$E$377</f>
        <v>Wärmeerzeugung</v>
      </c>
      <c r="D36" s="134" t="str">
        <f ca="1">Sprache!$E$383</f>
        <v>Kamin</v>
      </c>
      <c r="E36" s="134"/>
      <c r="F36" s="392"/>
      <c r="G36" s="360">
        <f>Standardwerte!$K$26*Investition_Basis!F36</f>
        <v>0</v>
      </c>
      <c r="H36" s="392"/>
      <c r="I36" s="360">
        <f>Standardwerte!$K$26*Investition_Basis!G36</f>
        <v>0</v>
      </c>
      <c r="J36" s="392"/>
      <c r="K36" s="360">
        <f>Standardwerte!$K$26*Investition_Basis!H36</f>
        <v>0</v>
      </c>
      <c r="L36" s="392"/>
      <c r="M36" s="360">
        <f>Standardwerte!$K$26*Investition_Basis!I36</f>
        <v>6500</v>
      </c>
      <c r="N36" s="392"/>
      <c r="O36" s="360">
        <f>Standardwerte!$K$26*Investition_Basis!J36</f>
        <v>7000</v>
      </c>
      <c r="P36" s="392"/>
      <c r="Q36" s="360">
        <f>Standardwerte!$K$26*Investition_Basis!K36</f>
        <v>10600</v>
      </c>
      <c r="R36" s="392"/>
      <c r="S36" s="360">
        <f>Standardwerte!$K$26*Investition_Basis!L36</f>
        <v>11700</v>
      </c>
      <c r="T36" s="392"/>
      <c r="U36" s="360">
        <f>Standardwerte!$K$26*Investition_Basis!M36</f>
        <v>17100</v>
      </c>
      <c r="V36" s="392"/>
      <c r="W36" s="360">
        <f>Standardwerte!$K$26*Investition_Basis!N36</f>
        <v>21400</v>
      </c>
      <c r="X36" s="392"/>
      <c r="Y36" s="360">
        <f>Standardwerte!$K$26*Investition_Basis!O36</f>
        <v>30000</v>
      </c>
      <c r="Z36" s="392"/>
      <c r="AA36" s="360">
        <f>Standardwerte!$K$26*Investition_Basis!P36</f>
        <v>37000</v>
      </c>
      <c r="AB36" s="392"/>
      <c r="AC36" s="360">
        <f>Standardwerte!$K$26*Investition_Basis!Q36</f>
        <v>44000</v>
      </c>
      <c r="AD36" s="392"/>
      <c r="AE36" s="360">
        <f>Standardwerte!$K$26*Investition_Basis!R36</f>
        <v>55000</v>
      </c>
    </row>
    <row r="37" spans="1:31">
      <c r="A37" s="125"/>
      <c r="E37" s="64"/>
      <c r="F37" s="69"/>
      <c r="G37" s="68"/>
      <c r="H37" s="69"/>
      <c r="I37" s="68"/>
      <c r="J37" s="68"/>
      <c r="K37" s="68"/>
      <c r="L37" s="68"/>
      <c r="M37" s="68"/>
      <c r="N37" s="68"/>
      <c r="O37" s="68"/>
      <c r="P37" s="68"/>
      <c r="Q37" s="68"/>
      <c r="R37" s="68"/>
      <c r="S37" s="68"/>
      <c r="T37" s="68"/>
      <c r="U37" s="68"/>
      <c r="V37" s="68"/>
      <c r="W37" s="68"/>
      <c r="X37" s="68"/>
      <c r="Y37" s="68"/>
      <c r="Z37" s="68"/>
      <c r="AA37" s="68"/>
      <c r="AB37" s="68"/>
      <c r="AC37" s="68"/>
      <c r="AD37" s="68"/>
      <c r="AE37" s="68"/>
    </row>
    <row r="38" spans="1:31">
      <c r="A38" s="125" t="s">
        <v>996</v>
      </c>
      <c r="B38" s="125" t="str">
        <f ca="1">Sprache!E20</f>
        <v>WP (LW) (max. 200 kW)</v>
      </c>
      <c r="C38" s="326"/>
      <c r="E38" s="64"/>
      <c r="F38" s="69"/>
      <c r="G38" s="68"/>
      <c r="H38" s="69"/>
      <c r="I38" s="68"/>
      <c r="J38" s="68"/>
      <c r="K38" s="68"/>
      <c r="L38" s="68"/>
      <c r="M38" s="68"/>
      <c r="N38" s="68"/>
      <c r="O38" s="68"/>
      <c r="P38" s="68"/>
      <c r="Q38" s="68"/>
      <c r="R38" s="68"/>
      <c r="S38" s="68"/>
      <c r="T38" s="68"/>
      <c r="U38" s="68"/>
      <c r="V38" s="68"/>
      <c r="W38" s="68"/>
      <c r="X38" s="68"/>
      <c r="Y38" s="68"/>
      <c r="Z38" s="68"/>
      <c r="AA38" s="68"/>
      <c r="AB38" s="68"/>
      <c r="AC38" s="68"/>
      <c r="AD38" s="68"/>
      <c r="AE38" s="68"/>
    </row>
    <row r="39" spans="1:31">
      <c r="A39" s="125"/>
      <c r="B39" s="304" t="s">
        <v>1217</v>
      </c>
      <c r="C39" s="131" t="str">
        <f ca="1">Sprache!$E$421</f>
        <v>Wärmequellen, -senken, Lager</v>
      </c>
      <c r="D39" s="131" t="str">
        <f ca="1">Sprache!E370</f>
        <v>Luftkanal (Innenaufstellung)</v>
      </c>
      <c r="E39" s="131"/>
      <c r="F39" s="391"/>
      <c r="G39" s="358">
        <f>Standardwerte!$K$26*Investition_Basis!F39</f>
        <v>3000</v>
      </c>
      <c r="H39" s="391"/>
      <c r="I39" s="358">
        <f>Standardwerte!$K$26*Investition_Basis!G39</f>
        <v>3000</v>
      </c>
      <c r="J39" s="391"/>
      <c r="K39" s="358">
        <f>Standardwerte!$K$26*Investition_Basis!H39</f>
        <v>4500</v>
      </c>
      <c r="L39" s="391"/>
      <c r="M39" s="358">
        <f>Standardwerte!$K$26*Investition_Basis!I39</f>
        <v>6000</v>
      </c>
      <c r="N39" s="391"/>
      <c r="O39" s="358">
        <f>Standardwerte!$K$26*Investition_Basis!J39</f>
        <v>8000</v>
      </c>
      <c r="P39" s="391"/>
      <c r="Q39" s="358">
        <f>Standardwerte!$K$26*Investition_Basis!K39</f>
        <v>9000</v>
      </c>
      <c r="R39" s="391"/>
      <c r="S39" s="358">
        <f>Standardwerte!$K$26*Investition_Basis!L39</f>
        <v>12000</v>
      </c>
      <c r="T39" s="391"/>
      <c r="U39" s="358">
        <f>Standardwerte!$K$26*Investition_Basis!M39</f>
        <v>0</v>
      </c>
      <c r="V39" s="391"/>
      <c r="W39" s="358">
        <f>Standardwerte!$K$26*Investition_Basis!N39</f>
        <v>0</v>
      </c>
      <c r="X39" s="391"/>
      <c r="Y39" s="358">
        <f>Standardwerte!$K$26*Investition_Basis!O39</f>
        <v>0</v>
      </c>
      <c r="Z39" s="391"/>
      <c r="AA39" s="358">
        <f>Standardwerte!$K$26*Investition_Basis!P39</f>
        <v>0</v>
      </c>
      <c r="AB39" s="391"/>
      <c r="AC39" s="358">
        <f>Standardwerte!$K$26*Investition_Basis!Q39</f>
        <v>0</v>
      </c>
      <c r="AD39" s="391"/>
      <c r="AE39" s="358">
        <f>Standardwerte!$K$26*Investition_Basis!R39</f>
        <v>0</v>
      </c>
    </row>
    <row r="40" spans="1:31">
      <c r="A40" s="125"/>
      <c r="B40" s="305" t="s">
        <v>1215</v>
      </c>
      <c r="C40" s="126" t="str">
        <f ca="1">Sprache!$E$377</f>
        <v>Wärmeerzeugung</v>
      </c>
      <c r="D40" s="126" t="str">
        <f ca="1">Sprache!$E$442</f>
        <v xml:space="preserve">Wärmepumpe </v>
      </c>
      <c r="E40" s="126"/>
      <c r="F40" s="36"/>
      <c r="G40" s="89">
        <f>Standardwerte!$K$26*Investition_Basis!F40</f>
        <v>15800</v>
      </c>
      <c r="H40" s="36"/>
      <c r="I40" s="89">
        <f>Standardwerte!$K$26*Investition_Basis!G40</f>
        <v>15800</v>
      </c>
      <c r="J40" s="36"/>
      <c r="K40" s="89">
        <f>Standardwerte!$K$26*Investition_Basis!H40</f>
        <v>17900</v>
      </c>
      <c r="L40" s="36"/>
      <c r="M40" s="89">
        <f>Standardwerte!$K$26*Investition_Basis!I40</f>
        <v>31000</v>
      </c>
      <c r="N40" s="36"/>
      <c r="O40" s="89">
        <f>Standardwerte!$K$26*Investition_Basis!J40</f>
        <v>75000</v>
      </c>
      <c r="P40" s="36"/>
      <c r="Q40" s="89">
        <f>Standardwerte!$K$26*Investition_Basis!K40</f>
        <v>125000</v>
      </c>
      <c r="R40" s="36"/>
      <c r="S40" s="89">
        <f>Standardwerte!$K$26*Investition_Basis!L40</f>
        <v>252000</v>
      </c>
      <c r="T40" s="36"/>
      <c r="U40" s="89">
        <f>Standardwerte!$K$26*Investition_Basis!M40</f>
        <v>0</v>
      </c>
      <c r="V40" s="36"/>
      <c r="W40" s="89">
        <f>Standardwerte!$K$26*Investition_Basis!N40</f>
        <v>0</v>
      </c>
      <c r="X40" s="36"/>
      <c r="Y40" s="89">
        <f>Standardwerte!$K$26*Investition_Basis!O40</f>
        <v>0</v>
      </c>
      <c r="Z40" s="36"/>
      <c r="AA40" s="89">
        <f>Standardwerte!$K$26*Investition_Basis!P40</f>
        <v>0</v>
      </c>
      <c r="AB40" s="36"/>
      <c r="AC40" s="89">
        <f>Standardwerte!$K$26*Investition_Basis!Q40</f>
        <v>0</v>
      </c>
      <c r="AD40" s="36"/>
      <c r="AE40" s="89">
        <f>Standardwerte!$K$26*Investition_Basis!R40</f>
        <v>0</v>
      </c>
    </row>
    <row r="41" spans="1:31">
      <c r="A41" s="125"/>
      <c r="B41" s="305" t="s">
        <v>1215</v>
      </c>
      <c r="C41" s="126" t="str">
        <f ca="1">Sprache!$E$377</f>
        <v>Wärmeerzeugung</v>
      </c>
      <c r="D41" s="126" t="str">
        <f ca="1">Sprache!$E$379</f>
        <v>Armaturen, Apparate, Rohrleitungen, Dämmung</v>
      </c>
      <c r="E41" s="126"/>
      <c r="F41" s="36"/>
      <c r="G41" s="89">
        <f>Standardwerte!$K$26*Investition_Basis!F41</f>
        <v>3800</v>
      </c>
      <c r="H41" s="36"/>
      <c r="I41" s="89">
        <f>Standardwerte!$K$26*Investition_Basis!G41</f>
        <v>3800</v>
      </c>
      <c r="J41" s="36"/>
      <c r="K41" s="89">
        <f>Standardwerte!$K$26*Investition_Basis!H41</f>
        <v>4000</v>
      </c>
      <c r="L41" s="36"/>
      <c r="M41" s="89">
        <f>Standardwerte!$K$26*Investition_Basis!I41</f>
        <v>4500</v>
      </c>
      <c r="N41" s="36"/>
      <c r="O41" s="89">
        <f>Standardwerte!$K$26*Investition_Basis!J41</f>
        <v>6000</v>
      </c>
      <c r="P41" s="36"/>
      <c r="Q41" s="89">
        <f>Standardwerte!$K$26*Investition_Basis!K41</f>
        <v>7200</v>
      </c>
      <c r="R41" s="36"/>
      <c r="S41" s="89">
        <f>Standardwerte!$K$26*Investition_Basis!L41</f>
        <v>15000</v>
      </c>
      <c r="T41" s="36"/>
      <c r="U41" s="89">
        <f>Standardwerte!$K$26*Investition_Basis!M41</f>
        <v>0</v>
      </c>
      <c r="V41" s="36"/>
      <c r="W41" s="89">
        <f>Standardwerte!$K$26*Investition_Basis!N41</f>
        <v>0</v>
      </c>
      <c r="X41" s="36"/>
      <c r="Y41" s="89">
        <f>Standardwerte!$K$26*Investition_Basis!O41</f>
        <v>0</v>
      </c>
      <c r="Z41" s="36"/>
      <c r="AA41" s="89">
        <f>Standardwerte!$K$26*Investition_Basis!P41</f>
        <v>0</v>
      </c>
      <c r="AB41" s="36"/>
      <c r="AC41" s="89">
        <f>Standardwerte!$K$26*Investition_Basis!Q41</f>
        <v>0</v>
      </c>
      <c r="AD41" s="36"/>
      <c r="AE41" s="89">
        <f>Standardwerte!$K$26*Investition_Basis!R41</f>
        <v>0</v>
      </c>
    </row>
    <row r="42" spans="1:31">
      <c r="A42" s="125"/>
      <c r="B42" s="305" t="s">
        <v>1218</v>
      </c>
      <c r="C42" s="126" t="str">
        <f ca="1">Sprache!$E$422</f>
        <v>Wärmespeicherung</v>
      </c>
      <c r="D42" s="126" t="str">
        <f ca="1">Sprache!$E$378</f>
        <v>Heizungsspeicher</v>
      </c>
      <c r="E42" s="126"/>
      <c r="F42" s="36"/>
      <c r="G42" s="89">
        <f>Standardwerte!$K$26*Investition_Basis!F42</f>
        <v>1500</v>
      </c>
      <c r="H42" s="36"/>
      <c r="I42" s="89">
        <f>Standardwerte!$K$26*Investition_Basis!G42</f>
        <v>1500</v>
      </c>
      <c r="J42" s="36"/>
      <c r="K42" s="89">
        <f>Standardwerte!$K$26*Investition_Basis!H42</f>
        <v>2000</v>
      </c>
      <c r="L42" s="36"/>
      <c r="M42" s="89">
        <f>Standardwerte!$K$26*Investition_Basis!I42</f>
        <v>2500</v>
      </c>
      <c r="N42" s="36"/>
      <c r="O42" s="89">
        <f>Standardwerte!$K$26*Investition_Basis!J42</f>
        <v>4000</v>
      </c>
      <c r="P42" s="36"/>
      <c r="Q42" s="89">
        <f>Standardwerte!$K$26*Investition_Basis!K42</f>
        <v>5000</v>
      </c>
      <c r="R42" s="36"/>
      <c r="S42" s="89">
        <f>Standardwerte!$K$26*Investition_Basis!L42</f>
        <v>10000</v>
      </c>
      <c r="T42" s="36"/>
      <c r="U42" s="89">
        <f>Standardwerte!$K$26*Investition_Basis!M42</f>
        <v>0</v>
      </c>
      <c r="V42" s="36"/>
      <c r="W42" s="89">
        <f>Standardwerte!$K$26*Investition_Basis!N42</f>
        <v>0</v>
      </c>
      <c r="X42" s="36"/>
      <c r="Y42" s="89">
        <f>Standardwerte!$K$26*Investition_Basis!O42</f>
        <v>0</v>
      </c>
      <c r="Z42" s="36"/>
      <c r="AA42" s="89">
        <f>Standardwerte!$K$26*Investition_Basis!P42</f>
        <v>0</v>
      </c>
      <c r="AB42" s="36"/>
      <c r="AC42" s="89">
        <f>Standardwerte!$K$26*Investition_Basis!Q42</f>
        <v>0</v>
      </c>
      <c r="AD42" s="36"/>
      <c r="AE42" s="89">
        <f>Standardwerte!$K$26*Investition_Basis!R42</f>
        <v>0</v>
      </c>
    </row>
    <row r="43" spans="1:31">
      <c r="A43" s="125"/>
      <c r="B43" s="305" t="s">
        <v>1215</v>
      </c>
      <c r="C43" s="126" t="str">
        <f ca="1">Sprache!$E$377</f>
        <v>Wärmeerzeugung</v>
      </c>
      <c r="D43" s="126" t="str">
        <f ca="1">Sprache!$E$382</f>
        <v>Transport und Montage</v>
      </c>
      <c r="E43" s="126"/>
      <c r="F43" s="36"/>
      <c r="G43" s="89">
        <f>Standardwerte!$K$26*Investition_Basis!F43</f>
        <v>6000</v>
      </c>
      <c r="H43" s="36"/>
      <c r="I43" s="89">
        <f>Standardwerte!$K$26*Investition_Basis!G43</f>
        <v>6000</v>
      </c>
      <c r="J43" s="36"/>
      <c r="K43" s="89">
        <f>Standardwerte!$K$26*Investition_Basis!H43</f>
        <v>6000</v>
      </c>
      <c r="L43" s="36"/>
      <c r="M43" s="89">
        <f>Standardwerte!$K$26*Investition_Basis!I43</f>
        <v>7500</v>
      </c>
      <c r="N43" s="36"/>
      <c r="O43" s="89">
        <f>Standardwerte!$K$26*Investition_Basis!J43</f>
        <v>15000</v>
      </c>
      <c r="P43" s="36"/>
      <c r="Q43" s="89">
        <f>Standardwerte!$K$26*Investition_Basis!K43</f>
        <v>23000</v>
      </c>
      <c r="R43" s="36"/>
      <c r="S43" s="89">
        <f>Standardwerte!$K$26*Investition_Basis!L43</f>
        <v>46000</v>
      </c>
      <c r="T43" s="36"/>
      <c r="U43" s="89">
        <f>Standardwerte!$K$26*Investition_Basis!M43</f>
        <v>0</v>
      </c>
      <c r="V43" s="36"/>
      <c r="W43" s="89">
        <f>Standardwerte!$K$26*Investition_Basis!N43</f>
        <v>0</v>
      </c>
      <c r="X43" s="36"/>
      <c r="Y43" s="89">
        <f>Standardwerte!$K$26*Investition_Basis!O43</f>
        <v>0</v>
      </c>
      <c r="Z43" s="36"/>
      <c r="AA43" s="89">
        <f>Standardwerte!$K$26*Investition_Basis!P43</f>
        <v>0</v>
      </c>
      <c r="AB43" s="36"/>
      <c r="AC43" s="89">
        <f>Standardwerte!$K$26*Investition_Basis!Q43</f>
        <v>0</v>
      </c>
      <c r="AD43" s="36"/>
      <c r="AE43" s="89">
        <f>Standardwerte!$K$26*Investition_Basis!R43</f>
        <v>0</v>
      </c>
    </row>
    <row r="44" spans="1:31">
      <c r="A44" s="125"/>
      <c r="B44" s="305" t="s">
        <v>1244</v>
      </c>
      <c r="C44" s="126" t="str">
        <f ca="1">Sprache!$E$419</f>
        <v>Installation Starkstrom</v>
      </c>
      <c r="D44" s="126" t="str">
        <f ca="1">Sprache!$E$386</f>
        <v>Anschlussgebühren (Elektro)</v>
      </c>
      <c r="E44" s="126"/>
      <c r="F44" s="36"/>
      <c r="G44" s="89">
        <f>Standardwerte!$K$26*Investition_Basis!F44</f>
        <v>0</v>
      </c>
      <c r="H44" s="36"/>
      <c r="I44" s="89">
        <f>Standardwerte!$K$26*Investition_Basis!G44</f>
        <v>0</v>
      </c>
      <c r="J44" s="36"/>
      <c r="K44" s="89">
        <f>Standardwerte!$K$26*Investition_Basis!H44</f>
        <v>0</v>
      </c>
      <c r="L44" s="36"/>
      <c r="M44" s="89">
        <f>Standardwerte!$K$26*Investition_Basis!I44</f>
        <v>0</v>
      </c>
      <c r="N44" s="36"/>
      <c r="O44" s="89">
        <f>Standardwerte!$K$26*Investition_Basis!J44</f>
        <v>13300</v>
      </c>
      <c r="P44" s="36"/>
      <c r="Q44" s="89">
        <f>Standardwerte!$K$26*Investition_Basis!K44</f>
        <v>21200</v>
      </c>
      <c r="R44" s="36"/>
      <c r="S44" s="89">
        <f>Standardwerte!$K$26*Investition_Basis!L44</f>
        <v>41800</v>
      </c>
      <c r="T44" s="36"/>
      <c r="U44" s="89">
        <f>Standardwerte!$K$26*Investition_Basis!M44</f>
        <v>0</v>
      </c>
      <c r="V44" s="36"/>
      <c r="W44" s="89">
        <f>Standardwerte!$K$26*Investition_Basis!N44</f>
        <v>0</v>
      </c>
      <c r="X44" s="36"/>
      <c r="Y44" s="89">
        <f>Standardwerte!$K$26*Investition_Basis!O44</f>
        <v>0</v>
      </c>
      <c r="Z44" s="36"/>
      <c r="AA44" s="89">
        <f>Standardwerte!$K$26*Investition_Basis!P44</f>
        <v>0</v>
      </c>
      <c r="AB44" s="36"/>
      <c r="AC44" s="89">
        <f>Standardwerte!$K$26*Investition_Basis!Q44</f>
        <v>0</v>
      </c>
      <c r="AD44" s="36"/>
      <c r="AE44" s="89">
        <f>Standardwerte!$K$26*Investition_Basis!R44</f>
        <v>0</v>
      </c>
    </row>
    <row r="45" spans="1:31">
      <c r="A45" s="125"/>
      <c r="B45" s="305" t="s">
        <v>1244</v>
      </c>
      <c r="C45" s="126" t="str">
        <f ca="1">Sprache!$E$419</f>
        <v>Installation Starkstrom</v>
      </c>
      <c r="D45" s="126" t="str">
        <f ca="1">Sprache!E$384</f>
        <v>Zentrale Starkstromanlagen</v>
      </c>
      <c r="E45" s="126"/>
      <c r="F45" s="36"/>
      <c r="G45" s="89">
        <f>Standardwerte!$K$26*Investition_Basis!F45</f>
        <v>0</v>
      </c>
      <c r="H45" s="36"/>
      <c r="I45" s="89">
        <f>Standardwerte!$K$26*Investition_Basis!G45</f>
        <v>0</v>
      </c>
      <c r="J45" s="36"/>
      <c r="K45" s="89">
        <f>Standardwerte!$K$26*Investition_Basis!H45</f>
        <v>0</v>
      </c>
      <c r="L45" s="36"/>
      <c r="M45" s="89">
        <f>Standardwerte!$K$26*Investition_Basis!I45</f>
        <v>0</v>
      </c>
      <c r="N45" s="36"/>
      <c r="O45" s="89">
        <f>Standardwerte!$K$26*Investition_Basis!J45</f>
        <v>3400</v>
      </c>
      <c r="P45" s="36"/>
      <c r="Q45" s="89">
        <f>Standardwerte!$K$26*Investition_Basis!K45</f>
        <v>3400</v>
      </c>
      <c r="R45" s="36"/>
      <c r="S45" s="89">
        <f>Standardwerte!$K$26*Investition_Basis!L45</f>
        <v>6000</v>
      </c>
      <c r="T45" s="36"/>
      <c r="U45" s="89">
        <f>Standardwerte!$K$26*Investition_Basis!M45</f>
        <v>0</v>
      </c>
      <c r="V45" s="36"/>
      <c r="W45" s="89">
        <f>Standardwerte!$K$26*Investition_Basis!N45</f>
        <v>0</v>
      </c>
      <c r="X45" s="36"/>
      <c r="Y45" s="89">
        <f>Standardwerte!$K$26*Investition_Basis!O45</f>
        <v>0</v>
      </c>
      <c r="Z45" s="36"/>
      <c r="AA45" s="89">
        <f>Standardwerte!$K$26*Investition_Basis!P45</f>
        <v>0</v>
      </c>
      <c r="AB45" s="36"/>
      <c r="AC45" s="89">
        <f>Standardwerte!$K$26*Investition_Basis!Q45</f>
        <v>0</v>
      </c>
      <c r="AD45" s="36"/>
      <c r="AE45" s="89">
        <f>Standardwerte!$K$26*Investition_Basis!R45</f>
        <v>0</v>
      </c>
    </row>
    <row r="46" spans="1:31">
      <c r="A46" s="125"/>
      <c r="B46" s="307" t="s">
        <v>1244</v>
      </c>
      <c r="C46" s="297" t="str">
        <f ca="1">Sprache!$E$419</f>
        <v>Installation Starkstrom</v>
      </c>
      <c r="D46" s="297" t="str">
        <f ca="1">Sprache!E$385</f>
        <v>Erschliessung Elektro</v>
      </c>
      <c r="E46" s="134"/>
      <c r="F46" s="392"/>
      <c r="G46" s="360">
        <f>Standardwerte!$K$26*Investition_Basis!F46</f>
        <v>4500</v>
      </c>
      <c r="H46" s="392"/>
      <c r="I46" s="360">
        <f>Standardwerte!$K$26*Investition_Basis!G46</f>
        <v>4500</v>
      </c>
      <c r="J46" s="392"/>
      <c r="K46" s="360">
        <f>Standardwerte!$K$26*Investition_Basis!H46</f>
        <v>5500</v>
      </c>
      <c r="L46" s="392"/>
      <c r="M46" s="360">
        <f>Standardwerte!$K$26*Investition_Basis!I46</f>
        <v>6000</v>
      </c>
      <c r="N46" s="392"/>
      <c r="O46" s="360">
        <f>Standardwerte!$K$26*Investition_Basis!J46</f>
        <v>10000</v>
      </c>
      <c r="P46" s="392"/>
      <c r="Q46" s="360">
        <f>Standardwerte!$K$26*Investition_Basis!K46</f>
        <v>15000</v>
      </c>
      <c r="R46" s="392"/>
      <c r="S46" s="360">
        <f>Standardwerte!$K$26*Investition_Basis!L46</f>
        <v>20000</v>
      </c>
      <c r="T46" s="392"/>
      <c r="U46" s="360">
        <f>Standardwerte!$K$26*Investition_Basis!M46</f>
        <v>0</v>
      </c>
      <c r="V46" s="392"/>
      <c r="W46" s="360">
        <f>Standardwerte!$K$26*Investition_Basis!N46</f>
        <v>0</v>
      </c>
      <c r="X46" s="392"/>
      <c r="Y46" s="360">
        <f>Standardwerte!$K$26*Investition_Basis!O46</f>
        <v>0</v>
      </c>
      <c r="Z46" s="392"/>
      <c r="AA46" s="360">
        <f>Standardwerte!$K$26*Investition_Basis!P46</f>
        <v>0</v>
      </c>
      <c r="AB46" s="392"/>
      <c r="AC46" s="360">
        <f>Standardwerte!$K$26*Investition_Basis!Q46</f>
        <v>0</v>
      </c>
      <c r="AD46" s="392"/>
      <c r="AE46" s="360">
        <f>Standardwerte!$K$26*Investition_Basis!R46</f>
        <v>0</v>
      </c>
    </row>
    <row r="47" spans="1:31">
      <c r="A47" s="125"/>
      <c r="E47" s="64"/>
      <c r="F47" s="69"/>
      <c r="G47" s="68"/>
      <c r="H47" s="69"/>
      <c r="I47" s="68"/>
      <c r="J47" s="68"/>
      <c r="K47" s="68"/>
      <c r="L47" s="68"/>
      <c r="M47" s="68"/>
      <c r="N47" s="68"/>
      <c r="O47" s="68"/>
      <c r="P47" s="68"/>
      <c r="Q47" s="68"/>
      <c r="R47" s="68"/>
      <c r="S47" s="68"/>
      <c r="T47" s="68"/>
      <c r="U47" s="68"/>
      <c r="V47" s="68"/>
      <c r="W47" s="68"/>
      <c r="X47" s="68"/>
      <c r="Y47" s="68"/>
      <c r="Z47" s="68"/>
      <c r="AA47" s="68"/>
      <c r="AC47" s="68"/>
      <c r="AE47" s="68"/>
    </row>
    <row r="48" spans="1:31">
      <c r="A48" s="125" t="s">
        <v>998</v>
      </c>
      <c r="B48" s="125" t="str">
        <f ca="1">Sprache!E21</f>
        <v>WP (WW)</v>
      </c>
      <c r="C48" s="326"/>
      <c r="E48" s="64"/>
      <c r="F48" s="69"/>
      <c r="G48" s="68"/>
      <c r="H48" s="69"/>
      <c r="I48" s="68"/>
      <c r="J48" s="68"/>
      <c r="K48" s="68"/>
      <c r="L48" s="68"/>
      <c r="M48" s="68"/>
      <c r="N48" s="68"/>
      <c r="O48" s="68"/>
      <c r="P48" s="68"/>
      <c r="Q48" s="68"/>
      <c r="R48" s="68"/>
      <c r="S48" s="68"/>
      <c r="T48" s="68"/>
      <c r="U48" s="68"/>
      <c r="V48" s="68"/>
      <c r="W48" s="68"/>
      <c r="X48" s="68"/>
      <c r="Y48" s="68"/>
      <c r="Z48" s="68"/>
      <c r="AA48" s="68"/>
      <c r="AC48" s="68"/>
      <c r="AE48" s="68"/>
    </row>
    <row r="49" spans="1:31">
      <c r="A49" s="125"/>
      <c r="B49" s="304" t="s">
        <v>1217</v>
      </c>
      <c r="C49" s="131" t="str">
        <f ca="1">Sprache!$E$421</f>
        <v>Wärmequellen, -senken, Lager</v>
      </c>
      <c r="D49" s="131" t="str">
        <f ca="1">Sprache!E160</f>
        <v>Grundwasserschacht</v>
      </c>
      <c r="E49" s="131"/>
      <c r="F49" s="391"/>
      <c r="G49" s="358">
        <f>Standardwerte!$K$26*Investition_Basis!F49</f>
        <v>23500</v>
      </c>
      <c r="H49" s="391"/>
      <c r="I49" s="358">
        <f>Standardwerte!$K$26*Investition_Basis!G49</f>
        <v>23500</v>
      </c>
      <c r="J49" s="391"/>
      <c r="K49" s="358">
        <f>Standardwerte!$K$26*Investition_Basis!H49</f>
        <v>25500</v>
      </c>
      <c r="L49" s="391"/>
      <c r="M49" s="358">
        <f>Standardwerte!$K$26*Investition_Basis!I49</f>
        <v>30600</v>
      </c>
      <c r="N49" s="391"/>
      <c r="O49" s="358">
        <f>Standardwerte!$K$26*Investition_Basis!J49</f>
        <v>37100</v>
      </c>
      <c r="P49" s="391"/>
      <c r="Q49" s="358">
        <f>Standardwerte!$K$26*Investition_Basis!K49</f>
        <v>53000</v>
      </c>
      <c r="R49" s="391"/>
      <c r="S49" s="358">
        <f>Standardwerte!$K$26*Investition_Basis!L49</f>
        <v>106100</v>
      </c>
      <c r="T49" s="391"/>
      <c r="U49" s="358">
        <f>Standardwerte!$K$26*Investition_Basis!M49</f>
        <v>185600</v>
      </c>
      <c r="V49" s="391"/>
      <c r="W49" s="358">
        <f>Standardwerte!$K$26*Investition_Basis!N49</f>
        <v>244800</v>
      </c>
      <c r="X49" s="391"/>
      <c r="Y49" s="358">
        <f>Standardwerte!$K$26*Investition_Basis!O49</f>
        <v>370000</v>
      </c>
      <c r="Z49" s="391"/>
      <c r="AA49" s="358">
        <f>Standardwerte!$K$26*Investition_Basis!P49</f>
        <v>500000</v>
      </c>
      <c r="AB49" s="391"/>
      <c r="AC49" s="358">
        <f>Standardwerte!$K$26*Investition_Basis!Q49</f>
        <v>750000</v>
      </c>
      <c r="AD49" s="391"/>
      <c r="AE49" s="358">
        <f>Standardwerte!$K$26*Investition_Basis!R49</f>
        <v>1000000</v>
      </c>
    </row>
    <row r="50" spans="1:31">
      <c r="A50" s="125"/>
      <c r="B50" s="305" t="s">
        <v>1215</v>
      </c>
      <c r="C50" s="126" t="str">
        <f ca="1">Sprache!$E$377</f>
        <v>Wärmeerzeugung</v>
      </c>
      <c r="D50" s="126" t="str">
        <f ca="1">Sprache!$E$442</f>
        <v xml:space="preserve">Wärmepumpe </v>
      </c>
      <c r="E50" s="126"/>
      <c r="F50" s="36"/>
      <c r="G50" s="89">
        <f>Standardwerte!$K$26*Investition_Basis!F50</f>
        <v>8800</v>
      </c>
      <c r="H50" s="36"/>
      <c r="I50" s="89">
        <f>Standardwerte!$K$26*Investition_Basis!G50</f>
        <v>8800</v>
      </c>
      <c r="J50" s="36"/>
      <c r="K50" s="89">
        <f>Standardwerte!$K$26*Investition_Basis!H50</f>
        <v>10700</v>
      </c>
      <c r="L50" s="36"/>
      <c r="M50" s="89">
        <f>Standardwerte!$K$26*Investition_Basis!I50</f>
        <v>18400</v>
      </c>
      <c r="N50" s="36"/>
      <c r="O50" s="89">
        <f>Standardwerte!$K$26*Investition_Basis!J50</f>
        <v>45900</v>
      </c>
      <c r="P50" s="36"/>
      <c r="Q50" s="89">
        <f>Standardwerte!$K$26*Investition_Basis!K50</f>
        <v>62200</v>
      </c>
      <c r="R50" s="36"/>
      <c r="S50" s="89">
        <f>Standardwerte!$K$26*Investition_Basis!L50</f>
        <v>79600</v>
      </c>
      <c r="T50" s="36"/>
      <c r="U50" s="89">
        <f>Standardwerte!$K$26*Investition_Basis!M50</f>
        <v>142800</v>
      </c>
      <c r="V50" s="36"/>
      <c r="W50" s="89">
        <f>Standardwerte!$K$26*Investition_Basis!N50</f>
        <v>183600</v>
      </c>
      <c r="X50" s="36"/>
      <c r="Y50" s="89">
        <f>Standardwerte!$K$26*Investition_Basis!O50</f>
        <v>375000</v>
      </c>
      <c r="Z50" s="36"/>
      <c r="AA50" s="89">
        <f>Standardwerte!$K$26*Investition_Basis!P50</f>
        <v>550000</v>
      </c>
      <c r="AB50" s="36"/>
      <c r="AC50" s="89">
        <f>Standardwerte!$K$26*Investition_Basis!Q50</f>
        <v>750000</v>
      </c>
      <c r="AD50" s="36"/>
      <c r="AE50" s="89">
        <f>Standardwerte!$K$26*Investition_Basis!R50</f>
        <v>1000000</v>
      </c>
    </row>
    <row r="51" spans="1:31">
      <c r="A51" s="125"/>
      <c r="B51" s="305" t="s">
        <v>1215</v>
      </c>
      <c r="C51" s="126" t="str">
        <f ca="1">Sprache!$E$377</f>
        <v>Wärmeerzeugung</v>
      </c>
      <c r="D51" s="126" t="str">
        <f ca="1">Sprache!$E$379</f>
        <v>Armaturen, Apparate, Rohrleitungen, Dämmung</v>
      </c>
      <c r="E51" s="126"/>
      <c r="F51" s="36"/>
      <c r="G51" s="89">
        <f>Standardwerte!$K$26*Investition_Basis!F51</f>
        <v>3600</v>
      </c>
      <c r="H51" s="36"/>
      <c r="I51" s="89">
        <f>Standardwerte!$K$26*Investition_Basis!G51</f>
        <v>3600</v>
      </c>
      <c r="J51" s="36"/>
      <c r="K51" s="89">
        <f>Standardwerte!$K$26*Investition_Basis!H51</f>
        <v>4600</v>
      </c>
      <c r="L51" s="36"/>
      <c r="M51" s="89">
        <f>Standardwerte!$K$26*Investition_Basis!I51</f>
        <v>4600</v>
      </c>
      <c r="N51" s="36"/>
      <c r="O51" s="89">
        <f>Standardwerte!$K$26*Investition_Basis!J51</f>
        <v>5100</v>
      </c>
      <c r="P51" s="36"/>
      <c r="Q51" s="89">
        <f>Standardwerte!$K$26*Investition_Basis!K51</f>
        <v>5600</v>
      </c>
      <c r="R51" s="36"/>
      <c r="S51" s="89">
        <f>Standardwerte!$K$26*Investition_Basis!L51</f>
        <v>6600</v>
      </c>
      <c r="T51" s="36"/>
      <c r="U51" s="89">
        <f>Standardwerte!$K$26*Investition_Basis!M51</f>
        <v>7700</v>
      </c>
      <c r="V51" s="36"/>
      <c r="W51" s="89">
        <f>Standardwerte!$K$26*Investition_Basis!N51</f>
        <v>9400</v>
      </c>
      <c r="X51" s="36"/>
      <c r="Y51" s="89">
        <f>Standardwerte!$K$26*Investition_Basis!O51</f>
        <v>12000</v>
      </c>
      <c r="Z51" s="36"/>
      <c r="AA51" s="89">
        <f>Standardwerte!$K$26*Investition_Basis!P51</f>
        <v>15000</v>
      </c>
      <c r="AB51" s="36"/>
      <c r="AC51" s="89">
        <f>Standardwerte!$K$26*Investition_Basis!Q51</f>
        <v>24000</v>
      </c>
      <c r="AD51" s="36"/>
      <c r="AE51" s="89">
        <f>Standardwerte!$K$26*Investition_Basis!R51</f>
        <v>30000</v>
      </c>
    </row>
    <row r="52" spans="1:31">
      <c r="A52" s="125"/>
      <c r="B52" s="305" t="s">
        <v>1218</v>
      </c>
      <c r="C52" s="126" t="str">
        <f ca="1">Sprache!$E$422</f>
        <v>Wärmespeicherung</v>
      </c>
      <c r="D52" s="126" t="str">
        <f ca="1">Sprache!$E$378</f>
        <v>Heizungsspeicher</v>
      </c>
      <c r="E52" s="126"/>
      <c r="F52" s="36"/>
      <c r="G52" s="89">
        <f>Standardwerte!$K$26*Investition_Basis!F52</f>
        <v>1500</v>
      </c>
      <c r="H52" s="36"/>
      <c r="I52" s="89">
        <f>Standardwerte!$K$26*Investition_Basis!G52</f>
        <v>1500</v>
      </c>
      <c r="J52" s="36"/>
      <c r="K52" s="89">
        <f>Standardwerte!$K$26*Investition_Basis!H52</f>
        <v>2000</v>
      </c>
      <c r="L52" s="36"/>
      <c r="M52" s="89">
        <f>Standardwerte!$K$26*Investition_Basis!I52</f>
        <v>2500</v>
      </c>
      <c r="N52" s="36"/>
      <c r="O52" s="89">
        <f>Standardwerte!$K$26*Investition_Basis!J52</f>
        <v>4000</v>
      </c>
      <c r="P52" s="36"/>
      <c r="Q52" s="89">
        <f>Standardwerte!$K$26*Investition_Basis!K52</f>
        <v>4500</v>
      </c>
      <c r="R52" s="36"/>
      <c r="S52" s="89">
        <f>Standardwerte!$K$26*Investition_Basis!L52</f>
        <v>5400</v>
      </c>
      <c r="T52" s="36"/>
      <c r="U52" s="89">
        <f>Standardwerte!$K$26*Investition_Basis!M52</f>
        <v>6900</v>
      </c>
      <c r="V52" s="36"/>
      <c r="W52" s="89">
        <f>Standardwerte!$K$26*Investition_Basis!N52</f>
        <v>6900</v>
      </c>
      <c r="X52" s="36"/>
      <c r="Y52" s="89">
        <f>Standardwerte!$K$26*Investition_Basis!O52</f>
        <v>6800</v>
      </c>
      <c r="Z52" s="36"/>
      <c r="AA52" s="89">
        <f>Standardwerte!$K$26*Investition_Basis!P52</f>
        <v>10200</v>
      </c>
      <c r="AB52" s="36"/>
      <c r="AC52" s="89">
        <f>Standardwerte!$K$26*Investition_Basis!Q52</f>
        <v>13600</v>
      </c>
      <c r="AD52" s="36"/>
      <c r="AE52" s="89">
        <f>Standardwerte!$K$26*Investition_Basis!R52</f>
        <v>20000</v>
      </c>
    </row>
    <row r="53" spans="1:31">
      <c r="A53" s="125"/>
      <c r="B53" s="305" t="s">
        <v>1215</v>
      </c>
      <c r="C53" s="126" t="str">
        <f ca="1">Sprache!$E$377</f>
        <v>Wärmeerzeugung</v>
      </c>
      <c r="D53" s="126" t="str">
        <f ca="1">Sprache!E381</f>
        <v>Zwischenkreis</v>
      </c>
      <c r="E53" s="126"/>
      <c r="F53" s="36"/>
      <c r="G53" s="89">
        <f>Standardwerte!$K$26*Investition_Basis!F53</f>
        <v>5600</v>
      </c>
      <c r="H53" s="36"/>
      <c r="I53" s="89">
        <f>Standardwerte!$K$26*Investition_Basis!G53</f>
        <v>5600</v>
      </c>
      <c r="J53" s="36"/>
      <c r="K53" s="89">
        <f>Standardwerte!$K$26*Investition_Basis!H53</f>
        <v>6100</v>
      </c>
      <c r="L53" s="36"/>
      <c r="M53" s="89">
        <f>Standardwerte!$K$26*Investition_Basis!I53</f>
        <v>6600</v>
      </c>
      <c r="N53" s="36"/>
      <c r="O53" s="89">
        <f>Standardwerte!$K$26*Investition_Basis!J53</f>
        <v>8300</v>
      </c>
      <c r="P53" s="36"/>
      <c r="Q53" s="89">
        <f>Standardwerte!$K$26*Investition_Basis!K53</f>
        <v>11200</v>
      </c>
      <c r="R53" s="36"/>
      <c r="S53" s="89">
        <f>Standardwerte!$K$26*Investition_Basis!L53</f>
        <v>15300</v>
      </c>
      <c r="T53" s="36"/>
      <c r="U53" s="89">
        <f>Standardwerte!$K$26*Investition_Basis!M53</f>
        <v>19900</v>
      </c>
      <c r="V53" s="36"/>
      <c r="W53" s="89">
        <f>Standardwerte!$K$26*Investition_Basis!N53</f>
        <v>26500</v>
      </c>
      <c r="X53" s="36"/>
      <c r="Y53" s="89">
        <f>Standardwerte!$K$26*Investition_Basis!O53</f>
        <v>38000</v>
      </c>
      <c r="Z53" s="36"/>
      <c r="AA53" s="89">
        <f>Standardwerte!$K$26*Investition_Basis!P53</f>
        <v>50000</v>
      </c>
      <c r="AB53" s="36"/>
      <c r="AC53" s="89">
        <f>Standardwerte!$K$26*Investition_Basis!Q53</f>
        <v>76000</v>
      </c>
      <c r="AD53" s="36"/>
      <c r="AE53" s="89">
        <f>Standardwerte!$K$26*Investition_Basis!R53</f>
        <v>100000</v>
      </c>
    </row>
    <row r="54" spans="1:31">
      <c r="A54" s="125"/>
      <c r="B54" s="305" t="s">
        <v>1215</v>
      </c>
      <c r="C54" s="126" t="str">
        <f ca="1">Sprache!$E$377</f>
        <v>Wärmeerzeugung</v>
      </c>
      <c r="D54" s="126" t="str">
        <f ca="1">Sprache!$E$382</f>
        <v>Transport und Montage</v>
      </c>
      <c r="E54" s="126"/>
      <c r="F54" s="36"/>
      <c r="G54" s="89">
        <f>Standardwerte!$K$26*Investition_Basis!F54</f>
        <v>8700</v>
      </c>
      <c r="H54" s="36"/>
      <c r="I54" s="89">
        <f>Standardwerte!$K$26*Investition_Basis!G54</f>
        <v>8700</v>
      </c>
      <c r="J54" s="36"/>
      <c r="K54" s="89">
        <f>Standardwerte!$K$26*Investition_Basis!H54</f>
        <v>8700</v>
      </c>
      <c r="L54" s="36"/>
      <c r="M54" s="89">
        <f>Standardwerte!$K$26*Investition_Basis!I54</f>
        <v>8700</v>
      </c>
      <c r="N54" s="36"/>
      <c r="O54" s="89">
        <f>Standardwerte!$K$26*Investition_Basis!J54</f>
        <v>8700</v>
      </c>
      <c r="P54" s="36"/>
      <c r="Q54" s="89">
        <f>Standardwerte!$K$26*Investition_Basis!K54</f>
        <v>13900</v>
      </c>
      <c r="R54" s="36"/>
      <c r="S54" s="89">
        <f>Standardwerte!$K$26*Investition_Basis!L54</f>
        <v>13900</v>
      </c>
      <c r="T54" s="36"/>
      <c r="U54" s="89">
        <f>Standardwerte!$K$26*Investition_Basis!M54</f>
        <v>17300</v>
      </c>
      <c r="V54" s="36"/>
      <c r="W54" s="89">
        <f>Standardwerte!$K$26*Investition_Basis!N54</f>
        <v>25500</v>
      </c>
      <c r="X54" s="36"/>
      <c r="Y54" s="89">
        <f>Standardwerte!$K$26*Investition_Basis!O54</f>
        <v>34000</v>
      </c>
      <c r="Z54" s="36"/>
      <c r="AA54" s="89">
        <f>Standardwerte!$K$26*Investition_Basis!P54</f>
        <v>45000</v>
      </c>
      <c r="AB54" s="36"/>
      <c r="AC54" s="89">
        <f>Standardwerte!$K$26*Investition_Basis!Q54</f>
        <v>68000</v>
      </c>
      <c r="AD54" s="36"/>
      <c r="AE54" s="89">
        <f>Standardwerte!$K$26*Investition_Basis!R54</f>
        <v>75000</v>
      </c>
    </row>
    <row r="55" spans="1:31">
      <c r="A55" s="125"/>
      <c r="B55" s="305" t="s">
        <v>1244</v>
      </c>
      <c r="C55" s="126" t="str">
        <f ca="1">Sprache!$E$419</f>
        <v>Installation Starkstrom</v>
      </c>
      <c r="D55" s="126" t="str">
        <f ca="1">Sprache!$E$386</f>
        <v>Anschlussgebühren (Elektro)</v>
      </c>
      <c r="E55" s="126"/>
      <c r="F55" s="36"/>
      <c r="G55" s="89">
        <f>Standardwerte!$K$26*Investition_Basis!F55</f>
        <v>0</v>
      </c>
      <c r="H55" s="36"/>
      <c r="I55" s="89">
        <f>Standardwerte!$K$26*Investition_Basis!G55</f>
        <v>0</v>
      </c>
      <c r="J55" s="36"/>
      <c r="K55" s="89">
        <f>Standardwerte!$K$26*Investition_Basis!H55</f>
        <v>0</v>
      </c>
      <c r="L55" s="36"/>
      <c r="M55" s="89">
        <f>Standardwerte!$K$26*Investition_Basis!I55</f>
        <v>0</v>
      </c>
      <c r="N55" s="36"/>
      <c r="O55" s="89">
        <f>Standardwerte!$K$26*Investition_Basis!J55</f>
        <v>13300</v>
      </c>
      <c r="P55" s="36"/>
      <c r="Q55" s="89">
        <f>Standardwerte!$K$26*Investition_Basis!K55</f>
        <v>21200</v>
      </c>
      <c r="R55" s="36"/>
      <c r="S55" s="89">
        <f>Standardwerte!$K$26*Investition_Basis!L55</f>
        <v>41800</v>
      </c>
      <c r="T55" s="36"/>
      <c r="U55" s="89">
        <f>Standardwerte!$K$26*Investition_Basis!M55</f>
        <v>60200</v>
      </c>
      <c r="V55" s="36"/>
      <c r="W55" s="89">
        <f>Standardwerte!$K$26*Investition_Basis!N55</f>
        <v>76500</v>
      </c>
      <c r="X55" s="36"/>
      <c r="Y55" s="89">
        <f>Standardwerte!$K$26*Investition_Basis!O55</f>
        <v>95000</v>
      </c>
      <c r="Z55" s="36"/>
      <c r="AA55" s="89">
        <f>Standardwerte!$K$26*Investition_Basis!P55</f>
        <v>120000</v>
      </c>
      <c r="AB55" s="36"/>
      <c r="AC55" s="89">
        <f>Standardwerte!$K$26*Investition_Basis!Q55</f>
        <v>130000</v>
      </c>
      <c r="AD55" s="36"/>
      <c r="AE55" s="89">
        <f>Standardwerte!$K$26*Investition_Basis!R55</f>
        <v>150000</v>
      </c>
    </row>
    <row r="56" spans="1:31">
      <c r="A56" s="125"/>
      <c r="B56" s="305" t="s">
        <v>1244</v>
      </c>
      <c r="C56" s="126" t="str">
        <f ca="1">Sprache!$E$419</f>
        <v>Installation Starkstrom</v>
      </c>
      <c r="D56" s="126" t="str">
        <f ca="1">Sprache!E$384</f>
        <v>Zentrale Starkstromanlagen</v>
      </c>
      <c r="E56" s="126"/>
      <c r="F56" s="36"/>
      <c r="G56" s="89">
        <f>Standardwerte!$K$26*Investition_Basis!F56</f>
        <v>0</v>
      </c>
      <c r="H56" s="36"/>
      <c r="I56" s="89">
        <f>Standardwerte!$K$26*Investition_Basis!G56</f>
        <v>0</v>
      </c>
      <c r="J56" s="36"/>
      <c r="K56" s="89">
        <f>Standardwerte!$K$26*Investition_Basis!H56</f>
        <v>0</v>
      </c>
      <c r="L56" s="36"/>
      <c r="M56" s="89">
        <f>Standardwerte!$K$26*Investition_Basis!I56</f>
        <v>0</v>
      </c>
      <c r="N56" s="36"/>
      <c r="O56" s="89">
        <f>Standardwerte!$K$26*Investition_Basis!J56</f>
        <v>3400</v>
      </c>
      <c r="P56" s="36"/>
      <c r="Q56" s="89">
        <f>Standardwerte!$K$26*Investition_Basis!K56</f>
        <v>3400</v>
      </c>
      <c r="R56" s="36"/>
      <c r="S56" s="89">
        <f>Standardwerte!$K$26*Investition_Basis!L56</f>
        <v>6000</v>
      </c>
      <c r="T56" s="36"/>
      <c r="U56" s="89">
        <f>Standardwerte!$K$26*Investition_Basis!M56</f>
        <v>8000</v>
      </c>
      <c r="V56" s="36"/>
      <c r="W56" s="89">
        <f>Standardwerte!$K$26*Investition_Basis!N56</f>
        <v>12000</v>
      </c>
      <c r="X56" s="36"/>
      <c r="Y56" s="89">
        <f>Standardwerte!$K$26*Investition_Basis!O56</f>
        <v>15000</v>
      </c>
      <c r="Z56" s="36"/>
      <c r="AA56" s="89">
        <f>Standardwerte!$K$26*Investition_Basis!P56</f>
        <v>20000</v>
      </c>
      <c r="AB56" s="36"/>
      <c r="AC56" s="89">
        <f>Standardwerte!$K$26*Investition_Basis!Q56</f>
        <v>30000</v>
      </c>
      <c r="AD56" s="36"/>
      <c r="AE56" s="89">
        <f>Standardwerte!$K$26*Investition_Basis!R56</f>
        <v>40000</v>
      </c>
    </row>
    <row r="57" spans="1:31">
      <c r="A57" s="125"/>
      <c r="B57" s="307" t="s">
        <v>1244</v>
      </c>
      <c r="C57" s="297" t="str">
        <f ca="1">Sprache!$E$419</f>
        <v>Installation Starkstrom</v>
      </c>
      <c r="D57" s="297" t="str">
        <f ca="1">Sprache!E$385</f>
        <v>Erschliessung Elektro</v>
      </c>
      <c r="E57" s="134"/>
      <c r="F57" s="392"/>
      <c r="G57" s="360">
        <f>Standardwerte!$K$26*Investition_Basis!F57</f>
        <v>4500</v>
      </c>
      <c r="H57" s="392"/>
      <c r="I57" s="360">
        <f>Standardwerte!$K$26*Investition_Basis!G57</f>
        <v>4500</v>
      </c>
      <c r="J57" s="392"/>
      <c r="K57" s="360">
        <f>Standardwerte!$K$26*Investition_Basis!H57</f>
        <v>5500</v>
      </c>
      <c r="L57" s="392"/>
      <c r="M57" s="360">
        <f>Standardwerte!$K$26*Investition_Basis!I57</f>
        <v>6000</v>
      </c>
      <c r="N57" s="392"/>
      <c r="O57" s="360">
        <f>Standardwerte!$K$26*Investition_Basis!J57</f>
        <v>7000</v>
      </c>
      <c r="P57" s="392"/>
      <c r="Q57" s="360">
        <f>Standardwerte!$K$26*Investition_Basis!K57</f>
        <v>10000</v>
      </c>
      <c r="R57" s="392"/>
      <c r="S57" s="360">
        <f>Standardwerte!$K$26*Investition_Basis!L57</f>
        <v>15000</v>
      </c>
      <c r="T57" s="392"/>
      <c r="U57" s="360">
        <f>Standardwerte!$K$26*Investition_Basis!M57</f>
        <v>18000</v>
      </c>
      <c r="V57" s="392"/>
      <c r="W57" s="360">
        <f>Standardwerte!$K$26*Investition_Basis!N57</f>
        <v>20000</v>
      </c>
      <c r="X57" s="392"/>
      <c r="Y57" s="360">
        <f>Standardwerte!$K$26*Investition_Basis!O57</f>
        <v>23000</v>
      </c>
      <c r="Z57" s="392"/>
      <c r="AA57" s="360">
        <f>Standardwerte!$K$26*Investition_Basis!P57</f>
        <v>30000</v>
      </c>
      <c r="AB57" s="392"/>
      <c r="AC57" s="360">
        <f>Standardwerte!$K$26*Investition_Basis!Q57</f>
        <v>40000</v>
      </c>
      <c r="AD57" s="392"/>
      <c r="AE57" s="360">
        <f>Standardwerte!$K$26*Investition_Basis!R57</f>
        <v>45000</v>
      </c>
    </row>
    <row r="58" spans="1:31">
      <c r="A58" s="125"/>
      <c r="E58" s="64"/>
      <c r="F58" s="69"/>
      <c r="G58" s="68"/>
      <c r="H58" s="69"/>
      <c r="I58" s="68"/>
      <c r="J58" s="68"/>
      <c r="K58" s="68"/>
      <c r="L58" s="68"/>
      <c r="M58" s="68"/>
      <c r="N58" s="68"/>
      <c r="O58" s="68"/>
      <c r="P58" s="68"/>
      <c r="Q58" s="68"/>
      <c r="R58" s="68"/>
      <c r="S58" s="68"/>
      <c r="T58" s="68"/>
      <c r="U58" s="68"/>
      <c r="V58" s="68"/>
      <c r="W58" s="68"/>
      <c r="X58" s="68"/>
      <c r="Y58" s="68"/>
      <c r="Z58" s="68"/>
      <c r="AA58" s="68"/>
      <c r="AB58" s="68"/>
      <c r="AC58" s="68"/>
      <c r="AD58" s="68"/>
      <c r="AE58" s="68"/>
    </row>
    <row r="59" spans="1:31">
      <c r="A59" s="125" t="s">
        <v>1001</v>
      </c>
      <c r="B59" s="125" t="str">
        <f ca="1">Sprache!E22</f>
        <v>WP (SW)</v>
      </c>
      <c r="C59" s="326"/>
      <c r="E59" s="64"/>
      <c r="F59" s="69"/>
      <c r="G59" s="68"/>
      <c r="H59" s="69"/>
      <c r="I59" s="68"/>
      <c r="J59" s="68"/>
      <c r="K59" s="68"/>
      <c r="L59" s="68"/>
      <c r="M59" s="68"/>
      <c r="N59" s="68"/>
      <c r="O59" s="68"/>
      <c r="P59" s="68"/>
      <c r="Q59" s="68"/>
      <c r="R59" s="68"/>
      <c r="S59" s="68"/>
      <c r="T59" s="68"/>
      <c r="U59" s="68"/>
      <c r="V59" s="68"/>
      <c r="W59" s="68"/>
      <c r="X59" s="68"/>
      <c r="Y59" s="68"/>
      <c r="Z59" s="68"/>
      <c r="AA59" s="68"/>
      <c r="AB59" s="68"/>
      <c r="AC59" s="68"/>
      <c r="AD59" s="68"/>
      <c r="AE59" s="68"/>
    </row>
    <row r="60" spans="1:31">
      <c r="A60" s="125"/>
      <c r="B60" s="304" t="s">
        <v>1217</v>
      </c>
      <c r="C60" s="131" t="str">
        <f ca="1">Sprache!$E$421</f>
        <v>Wärmequellen, -senken, Lager</v>
      </c>
      <c r="D60" s="131" t="str">
        <f ca="1">Sprache!E184</f>
        <v>Erdsondenbohrungen/Absorber</v>
      </c>
      <c r="E60" s="131"/>
      <c r="F60" s="391"/>
      <c r="G60" s="358">
        <f>Standardwerte!$K$26*Investition_Basis!F60</f>
        <v>12200</v>
      </c>
      <c r="H60" s="391"/>
      <c r="I60" s="358">
        <f>Standardwerte!$K$26*Investition_Basis!G60</f>
        <v>12200</v>
      </c>
      <c r="J60" s="391"/>
      <c r="K60" s="358">
        <f>Standardwerte!$K$26*Investition_Basis!H60</f>
        <v>22400</v>
      </c>
      <c r="L60" s="391"/>
      <c r="M60" s="358">
        <f>Standardwerte!$K$26*Investition_Basis!I60</f>
        <v>41800</v>
      </c>
      <c r="N60" s="391"/>
      <c r="O60" s="358">
        <f>Standardwerte!$K$26*Investition_Basis!J60</f>
        <v>138700</v>
      </c>
      <c r="P60" s="391"/>
      <c r="Q60" s="358">
        <f>Standardwerte!$K$26*Investition_Basis!K60</f>
        <v>198900</v>
      </c>
      <c r="R60" s="391"/>
      <c r="S60" s="358">
        <f>Standardwerte!$K$26*Investition_Basis!L60</f>
        <v>387600</v>
      </c>
      <c r="T60" s="391"/>
      <c r="U60" s="358">
        <f>Standardwerte!$K$26*Investition_Basis!M60</f>
        <v>683400</v>
      </c>
      <c r="V60" s="391"/>
      <c r="W60" s="358">
        <f>Standardwerte!$K$26*Investition_Basis!N60</f>
        <v>969000</v>
      </c>
      <c r="X60" s="391"/>
      <c r="Y60" s="358">
        <f>Standardwerte!$K$26*Investition_Basis!O60</f>
        <v>1300000</v>
      </c>
      <c r="Z60" s="391"/>
      <c r="AA60" s="358">
        <f>Standardwerte!$K$26*Investition_Basis!P60</f>
        <v>1750000</v>
      </c>
      <c r="AB60" s="391"/>
      <c r="AC60" s="358">
        <f>Standardwerte!$K$26*Investition_Basis!Q60</f>
        <v>2550000</v>
      </c>
      <c r="AD60" s="391"/>
      <c r="AE60" s="358">
        <f>Standardwerte!$K$26*Investition_Basis!R60</f>
        <v>3500000</v>
      </c>
    </row>
    <row r="61" spans="1:31">
      <c r="A61" s="125"/>
      <c r="B61" s="305" t="s">
        <v>1215</v>
      </c>
      <c r="C61" s="126" t="str">
        <f ca="1">Sprache!$E$377</f>
        <v>Wärmeerzeugung</v>
      </c>
      <c r="D61" s="126" t="str">
        <f ca="1">Sprache!$E$442</f>
        <v xml:space="preserve">Wärmepumpe </v>
      </c>
      <c r="E61" s="126"/>
      <c r="F61" s="36"/>
      <c r="G61" s="89">
        <f>Standardwerte!$K$26*Investition_Basis!F61</f>
        <v>8800</v>
      </c>
      <c r="H61" s="36"/>
      <c r="I61" s="89">
        <f>Standardwerte!$K$26*Investition_Basis!G61</f>
        <v>8800</v>
      </c>
      <c r="J61" s="36"/>
      <c r="K61" s="89">
        <f>Standardwerte!$K$26*Investition_Basis!H61</f>
        <v>10700</v>
      </c>
      <c r="L61" s="36"/>
      <c r="M61" s="89">
        <f>Standardwerte!$K$26*Investition_Basis!I61</f>
        <v>18400</v>
      </c>
      <c r="N61" s="36"/>
      <c r="O61" s="89">
        <f>Standardwerte!$K$26*Investition_Basis!J61</f>
        <v>45900</v>
      </c>
      <c r="P61" s="36"/>
      <c r="Q61" s="89">
        <f>Standardwerte!$K$26*Investition_Basis!K61</f>
        <v>62200</v>
      </c>
      <c r="R61" s="36"/>
      <c r="S61" s="89">
        <f>Standardwerte!$K$26*Investition_Basis!L61</f>
        <v>79600</v>
      </c>
      <c r="T61" s="36"/>
      <c r="U61" s="89">
        <f>Standardwerte!$K$26*Investition_Basis!M61</f>
        <v>142800</v>
      </c>
      <c r="V61" s="36"/>
      <c r="W61" s="89">
        <f>Standardwerte!$K$26*Investition_Basis!N61</f>
        <v>183600</v>
      </c>
      <c r="X61" s="36"/>
      <c r="Y61" s="89">
        <f>Standardwerte!$K$26*Investition_Basis!O61</f>
        <v>375000</v>
      </c>
      <c r="Z61" s="36"/>
      <c r="AA61" s="89">
        <f>Standardwerte!$K$26*Investition_Basis!P61</f>
        <v>550000</v>
      </c>
      <c r="AB61" s="36"/>
      <c r="AC61" s="89">
        <f>Standardwerte!$K$26*Investition_Basis!Q61</f>
        <v>750000</v>
      </c>
      <c r="AD61" s="36"/>
      <c r="AE61" s="89">
        <f>Standardwerte!$K$26*Investition_Basis!R61</f>
        <v>1000000</v>
      </c>
    </row>
    <row r="62" spans="1:31">
      <c r="A62" s="125"/>
      <c r="B62" s="305" t="s">
        <v>1215</v>
      </c>
      <c r="C62" s="126" t="str">
        <f ca="1">Sprache!$E$377</f>
        <v>Wärmeerzeugung</v>
      </c>
      <c r="D62" s="126" t="str">
        <f ca="1">Sprache!$E$379</f>
        <v>Armaturen, Apparate, Rohrleitungen, Dämmung</v>
      </c>
      <c r="E62" s="126"/>
      <c r="F62" s="36"/>
      <c r="G62" s="89">
        <f>Standardwerte!$K$26*Investition_Basis!F62</f>
        <v>3600</v>
      </c>
      <c r="H62" s="36"/>
      <c r="I62" s="89">
        <f>Standardwerte!$K$26*Investition_Basis!G62</f>
        <v>3600</v>
      </c>
      <c r="J62" s="36"/>
      <c r="K62" s="89">
        <f>Standardwerte!$K$26*Investition_Basis!H62</f>
        <v>4600</v>
      </c>
      <c r="L62" s="36"/>
      <c r="M62" s="89">
        <f>Standardwerte!$K$26*Investition_Basis!I62</f>
        <v>4600</v>
      </c>
      <c r="N62" s="36"/>
      <c r="O62" s="89">
        <f>Standardwerte!$K$26*Investition_Basis!J62</f>
        <v>5100</v>
      </c>
      <c r="P62" s="36"/>
      <c r="Q62" s="89">
        <f>Standardwerte!$K$26*Investition_Basis!K62</f>
        <v>5600</v>
      </c>
      <c r="R62" s="36"/>
      <c r="S62" s="89">
        <f>Standardwerte!$K$26*Investition_Basis!L62</f>
        <v>6600</v>
      </c>
      <c r="T62" s="36"/>
      <c r="U62" s="89">
        <f>Standardwerte!$K$26*Investition_Basis!M62</f>
        <v>7700</v>
      </c>
      <c r="V62" s="36"/>
      <c r="W62" s="89">
        <f>Standardwerte!$K$26*Investition_Basis!N62</f>
        <v>9400</v>
      </c>
      <c r="X62" s="36"/>
      <c r="Y62" s="89">
        <f>Standardwerte!$K$26*Investition_Basis!O62</f>
        <v>12000</v>
      </c>
      <c r="Z62" s="36"/>
      <c r="AA62" s="89">
        <f>Standardwerte!$K$26*Investition_Basis!P62</f>
        <v>15000</v>
      </c>
      <c r="AB62" s="36"/>
      <c r="AC62" s="89">
        <f>Standardwerte!$K$26*Investition_Basis!Q62</f>
        <v>24000</v>
      </c>
      <c r="AD62" s="36"/>
      <c r="AE62" s="89">
        <f>Standardwerte!$K$26*Investition_Basis!R62</f>
        <v>30000</v>
      </c>
    </row>
    <row r="63" spans="1:31">
      <c r="A63" s="125"/>
      <c r="B63" s="305" t="s">
        <v>1218</v>
      </c>
      <c r="C63" s="126" t="str">
        <f ca="1">Sprache!$E$422</f>
        <v>Wärmespeicherung</v>
      </c>
      <c r="D63" s="126" t="str">
        <f ca="1">Sprache!$E$378</f>
        <v>Heizungsspeicher</v>
      </c>
      <c r="E63" s="126"/>
      <c r="F63" s="36"/>
      <c r="G63" s="89">
        <f>Standardwerte!$K$26*Investition_Basis!F63</f>
        <v>1500</v>
      </c>
      <c r="H63" s="36"/>
      <c r="I63" s="89">
        <f>Standardwerte!$K$26*Investition_Basis!G63</f>
        <v>1500</v>
      </c>
      <c r="J63" s="36"/>
      <c r="K63" s="89">
        <f>Standardwerte!$K$26*Investition_Basis!H63</f>
        <v>2000</v>
      </c>
      <c r="L63" s="36"/>
      <c r="M63" s="89">
        <f>Standardwerte!$K$26*Investition_Basis!I63</f>
        <v>2500</v>
      </c>
      <c r="N63" s="36"/>
      <c r="O63" s="89">
        <f>Standardwerte!$K$26*Investition_Basis!J63</f>
        <v>4000</v>
      </c>
      <c r="P63" s="36"/>
      <c r="Q63" s="89">
        <f>Standardwerte!$K$26*Investition_Basis!K63</f>
        <v>4500</v>
      </c>
      <c r="R63" s="36"/>
      <c r="S63" s="89">
        <f>Standardwerte!$K$26*Investition_Basis!L63</f>
        <v>4600</v>
      </c>
      <c r="T63" s="36"/>
      <c r="U63" s="89">
        <f>Standardwerte!$K$26*Investition_Basis!M63</f>
        <v>6100</v>
      </c>
      <c r="V63" s="36"/>
      <c r="W63" s="89">
        <f>Standardwerte!$K$26*Investition_Basis!N63</f>
        <v>8200</v>
      </c>
      <c r="X63" s="36"/>
      <c r="Y63" s="89">
        <f>Standardwerte!$K$26*Investition_Basis!O63</f>
        <v>6800</v>
      </c>
      <c r="Z63" s="36"/>
      <c r="AA63" s="89">
        <f>Standardwerte!$K$26*Investition_Basis!P63</f>
        <v>10200</v>
      </c>
      <c r="AB63" s="36"/>
      <c r="AC63" s="89">
        <f>Standardwerte!$K$26*Investition_Basis!Q63</f>
        <v>13600</v>
      </c>
      <c r="AD63" s="36"/>
      <c r="AE63" s="89">
        <f>Standardwerte!$K$26*Investition_Basis!R63</f>
        <v>20000</v>
      </c>
    </row>
    <row r="64" spans="1:31">
      <c r="A64" s="125"/>
      <c r="B64" s="305" t="s">
        <v>1215</v>
      </c>
      <c r="C64" s="126" t="str">
        <f ca="1">Sprache!$E$377</f>
        <v>Wärmeerzeugung</v>
      </c>
      <c r="D64" s="126" t="str">
        <f ca="1">Sprache!$E$382</f>
        <v>Transport und Montage</v>
      </c>
      <c r="E64" s="126"/>
      <c r="F64" s="36"/>
      <c r="G64" s="89">
        <f>Standardwerte!$K$26*Investition_Basis!F64</f>
        <v>8700</v>
      </c>
      <c r="H64" s="36"/>
      <c r="I64" s="89">
        <f>Standardwerte!$K$26*Investition_Basis!G64</f>
        <v>8700</v>
      </c>
      <c r="J64" s="36"/>
      <c r="K64" s="89">
        <f>Standardwerte!$K$26*Investition_Basis!H64</f>
        <v>8700</v>
      </c>
      <c r="L64" s="36"/>
      <c r="M64" s="89">
        <f>Standardwerte!$K$26*Investition_Basis!I64</f>
        <v>8700</v>
      </c>
      <c r="N64" s="36"/>
      <c r="O64" s="89">
        <f>Standardwerte!$K$26*Investition_Basis!J64</f>
        <v>8700</v>
      </c>
      <c r="P64" s="36"/>
      <c r="Q64" s="89">
        <f>Standardwerte!$K$26*Investition_Basis!K64</f>
        <v>13900</v>
      </c>
      <c r="R64" s="36"/>
      <c r="S64" s="89">
        <f>Standardwerte!$K$26*Investition_Basis!L64</f>
        <v>13900</v>
      </c>
      <c r="T64" s="36"/>
      <c r="U64" s="89">
        <f>Standardwerte!$K$26*Investition_Basis!M64</f>
        <v>17300</v>
      </c>
      <c r="V64" s="36"/>
      <c r="W64" s="89">
        <f>Standardwerte!$K$26*Investition_Basis!N64</f>
        <v>25500</v>
      </c>
      <c r="X64" s="36"/>
      <c r="Y64" s="89">
        <f>Standardwerte!$K$26*Investition_Basis!O64</f>
        <v>34000</v>
      </c>
      <c r="Z64" s="36"/>
      <c r="AA64" s="89">
        <f>Standardwerte!$K$26*Investition_Basis!P64</f>
        <v>45000</v>
      </c>
      <c r="AB64" s="36"/>
      <c r="AC64" s="89">
        <f>Standardwerte!$K$26*Investition_Basis!Q64</f>
        <v>68000</v>
      </c>
      <c r="AD64" s="36"/>
      <c r="AE64" s="89">
        <f>Standardwerte!$K$26*Investition_Basis!R64</f>
        <v>75000</v>
      </c>
    </row>
    <row r="65" spans="1:31">
      <c r="A65" s="125"/>
      <c r="B65" s="305" t="s">
        <v>1244</v>
      </c>
      <c r="C65" s="126" t="str">
        <f ca="1">Sprache!$E$419</f>
        <v>Installation Starkstrom</v>
      </c>
      <c r="D65" s="126" t="str">
        <f ca="1">Sprache!$E$386</f>
        <v>Anschlussgebühren (Elektro)</v>
      </c>
      <c r="E65" s="126"/>
      <c r="F65" s="36"/>
      <c r="G65" s="89">
        <f>Standardwerte!$K$26*Investition_Basis!F65</f>
        <v>0</v>
      </c>
      <c r="H65" s="36"/>
      <c r="I65" s="89">
        <f>Standardwerte!$K$26*Investition_Basis!G65</f>
        <v>0</v>
      </c>
      <c r="J65" s="36"/>
      <c r="K65" s="89">
        <f>Standardwerte!$K$26*Investition_Basis!H65</f>
        <v>0</v>
      </c>
      <c r="L65" s="36"/>
      <c r="M65" s="89">
        <f>Standardwerte!$K$26*Investition_Basis!I65</f>
        <v>0</v>
      </c>
      <c r="N65" s="36"/>
      <c r="O65" s="89">
        <f>Standardwerte!$K$26*Investition_Basis!J65</f>
        <v>13300</v>
      </c>
      <c r="P65" s="36"/>
      <c r="Q65" s="89">
        <f>Standardwerte!$K$26*Investition_Basis!K65</f>
        <v>21200</v>
      </c>
      <c r="R65" s="36"/>
      <c r="S65" s="89">
        <f>Standardwerte!$K$26*Investition_Basis!L65</f>
        <v>41800</v>
      </c>
      <c r="T65" s="36"/>
      <c r="U65" s="89">
        <f>Standardwerte!$K$26*Investition_Basis!M65</f>
        <v>60200</v>
      </c>
      <c r="V65" s="36"/>
      <c r="W65" s="89">
        <f>Standardwerte!$K$26*Investition_Basis!N65</f>
        <v>76500</v>
      </c>
      <c r="X65" s="36"/>
      <c r="Y65" s="89">
        <f>Standardwerte!$K$26*Investition_Basis!O65</f>
        <v>95000</v>
      </c>
      <c r="Z65" s="36"/>
      <c r="AA65" s="89">
        <f>Standardwerte!$K$26*Investition_Basis!P65</f>
        <v>120000</v>
      </c>
      <c r="AB65" s="36"/>
      <c r="AC65" s="89">
        <f>Standardwerte!$K$26*Investition_Basis!Q65</f>
        <v>130000</v>
      </c>
      <c r="AD65" s="36"/>
      <c r="AE65" s="89">
        <f>Standardwerte!$K$26*Investition_Basis!R65</f>
        <v>150000</v>
      </c>
    </row>
    <row r="66" spans="1:31">
      <c r="A66" s="125"/>
      <c r="B66" s="305" t="s">
        <v>1244</v>
      </c>
      <c r="C66" s="126" t="str">
        <f ca="1">Sprache!$E$419</f>
        <v>Installation Starkstrom</v>
      </c>
      <c r="D66" s="126" t="str">
        <f ca="1">Sprache!E$384</f>
        <v>Zentrale Starkstromanlagen</v>
      </c>
      <c r="E66" s="126"/>
      <c r="F66" s="36"/>
      <c r="G66" s="89">
        <f>Standardwerte!$K$26*Investition_Basis!F66</f>
        <v>0</v>
      </c>
      <c r="H66" s="36"/>
      <c r="I66" s="89">
        <f>Standardwerte!$K$26*Investition_Basis!G66</f>
        <v>0</v>
      </c>
      <c r="J66" s="36"/>
      <c r="K66" s="89">
        <f>Standardwerte!$K$26*Investition_Basis!H66</f>
        <v>0</v>
      </c>
      <c r="L66" s="36"/>
      <c r="M66" s="89">
        <f>Standardwerte!$K$26*Investition_Basis!I66</f>
        <v>0</v>
      </c>
      <c r="N66" s="36"/>
      <c r="O66" s="89">
        <f>Standardwerte!$K$26*Investition_Basis!J66</f>
        <v>3400</v>
      </c>
      <c r="P66" s="36"/>
      <c r="Q66" s="89">
        <f>Standardwerte!$K$26*Investition_Basis!K66</f>
        <v>3400</v>
      </c>
      <c r="R66" s="36"/>
      <c r="S66" s="89">
        <f>Standardwerte!$K$26*Investition_Basis!L66</f>
        <v>6000</v>
      </c>
      <c r="T66" s="36"/>
      <c r="U66" s="89">
        <f>Standardwerte!$K$26*Investition_Basis!M66</f>
        <v>8000</v>
      </c>
      <c r="V66" s="36"/>
      <c r="W66" s="89">
        <f>Standardwerte!$K$26*Investition_Basis!N66</f>
        <v>12000</v>
      </c>
      <c r="X66" s="36"/>
      <c r="Y66" s="89">
        <f>Standardwerte!$K$26*Investition_Basis!O66</f>
        <v>15000</v>
      </c>
      <c r="Z66" s="36"/>
      <c r="AA66" s="89">
        <f>Standardwerte!$K$26*Investition_Basis!P66</f>
        <v>20000</v>
      </c>
      <c r="AB66" s="36"/>
      <c r="AC66" s="89">
        <f>Standardwerte!$K$26*Investition_Basis!Q66</f>
        <v>30000</v>
      </c>
      <c r="AD66" s="36"/>
      <c r="AE66" s="89">
        <f>Standardwerte!$K$26*Investition_Basis!R66</f>
        <v>40000</v>
      </c>
    </row>
    <row r="67" spans="1:31">
      <c r="A67" s="125"/>
      <c r="B67" s="307" t="s">
        <v>1244</v>
      </c>
      <c r="C67" s="297" t="str">
        <f ca="1">Sprache!$E$419</f>
        <v>Installation Starkstrom</v>
      </c>
      <c r="D67" s="297" t="str">
        <f ca="1">Sprache!E$385</f>
        <v>Erschliessung Elektro</v>
      </c>
      <c r="E67" s="134"/>
      <c r="F67" s="392"/>
      <c r="G67" s="360">
        <f>Standardwerte!$K$26*Investition_Basis!F67</f>
        <v>4500</v>
      </c>
      <c r="H67" s="392"/>
      <c r="I67" s="360">
        <f>Standardwerte!$K$26*Investition_Basis!G67</f>
        <v>4500</v>
      </c>
      <c r="J67" s="392"/>
      <c r="K67" s="360">
        <f>Standardwerte!$K$26*Investition_Basis!H67</f>
        <v>5500</v>
      </c>
      <c r="L67" s="392"/>
      <c r="M67" s="360">
        <f>Standardwerte!$K$26*Investition_Basis!I67</f>
        <v>6000</v>
      </c>
      <c r="N67" s="392"/>
      <c r="O67" s="360">
        <f>Standardwerte!$K$26*Investition_Basis!J67</f>
        <v>7000</v>
      </c>
      <c r="P67" s="392"/>
      <c r="Q67" s="360">
        <f>Standardwerte!$K$26*Investition_Basis!K67</f>
        <v>10000</v>
      </c>
      <c r="R67" s="392"/>
      <c r="S67" s="360">
        <f>Standardwerte!$K$26*Investition_Basis!L67</f>
        <v>15000</v>
      </c>
      <c r="T67" s="392"/>
      <c r="U67" s="360">
        <f>Standardwerte!$K$26*Investition_Basis!M67</f>
        <v>18000</v>
      </c>
      <c r="V67" s="392"/>
      <c r="W67" s="360">
        <f>Standardwerte!$K$26*Investition_Basis!N67</f>
        <v>20000</v>
      </c>
      <c r="X67" s="392"/>
      <c r="Y67" s="360">
        <f>Standardwerte!$K$26*Investition_Basis!O67</f>
        <v>23000</v>
      </c>
      <c r="Z67" s="392"/>
      <c r="AA67" s="360">
        <f>Standardwerte!$K$26*Investition_Basis!P67</f>
        <v>30000</v>
      </c>
      <c r="AB67" s="392"/>
      <c r="AC67" s="360">
        <f>Standardwerte!$K$26*Investition_Basis!Q67</f>
        <v>40000</v>
      </c>
      <c r="AD67" s="392"/>
      <c r="AE67" s="360">
        <f>Standardwerte!$K$26*Investition_Basis!R67</f>
        <v>45000</v>
      </c>
    </row>
    <row r="68" spans="1:31">
      <c r="A68" s="125"/>
      <c r="E68" s="64"/>
      <c r="F68" s="69"/>
      <c r="G68" s="68"/>
      <c r="H68" s="69"/>
      <c r="I68" s="68"/>
      <c r="J68" s="68"/>
      <c r="K68" s="68"/>
      <c r="L68" s="68"/>
      <c r="M68" s="68"/>
      <c r="N68" s="68"/>
      <c r="O68" s="68"/>
      <c r="P68" s="68"/>
      <c r="Q68" s="68"/>
      <c r="R68" s="68"/>
      <c r="S68" s="68"/>
      <c r="T68" s="68"/>
      <c r="U68" s="68"/>
      <c r="V68" s="68"/>
      <c r="W68" s="68"/>
      <c r="X68" s="68"/>
      <c r="Y68" s="68"/>
      <c r="Z68" s="68"/>
      <c r="AA68" s="68"/>
      <c r="AB68" s="68"/>
      <c r="AC68" s="68"/>
      <c r="AD68" s="68"/>
      <c r="AE68" s="68"/>
    </row>
    <row r="69" spans="1:31">
      <c r="A69" s="125" t="s">
        <v>1002</v>
      </c>
      <c r="B69" s="125" t="str">
        <f ca="1">Sprache!E482</f>
        <v>WP (SW mit Absorber)</v>
      </c>
      <c r="C69" s="326"/>
      <c r="E69" s="64"/>
      <c r="F69" s="69"/>
      <c r="G69" s="68"/>
      <c r="H69" s="69"/>
      <c r="I69" s="68"/>
      <c r="J69" s="68"/>
      <c r="K69" s="68"/>
      <c r="L69" s="68"/>
      <c r="M69" s="68"/>
      <c r="N69" s="68"/>
      <c r="O69" s="68"/>
      <c r="P69" s="68"/>
      <c r="Q69" s="68"/>
      <c r="R69" s="68"/>
      <c r="S69" s="68"/>
      <c r="T69" s="68"/>
      <c r="U69" s="68"/>
      <c r="V69" s="68"/>
      <c r="W69" s="68"/>
      <c r="X69" s="68"/>
      <c r="Y69" s="68"/>
      <c r="Z69" s="68"/>
      <c r="AA69" s="68"/>
      <c r="AB69" s="68"/>
      <c r="AC69" s="68"/>
      <c r="AD69" s="68"/>
      <c r="AE69" s="68"/>
    </row>
    <row r="70" spans="1:31">
      <c r="A70" s="125"/>
      <c r="B70" s="304" t="s">
        <v>1217</v>
      </c>
      <c r="C70" s="131" t="str">
        <f ca="1">Sprache!$E$421</f>
        <v>Wärmequellen, -senken, Lager</v>
      </c>
      <c r="D70" s="131" t="str">
        <f ca="1">Sprache!E483</f>
        <v>Absorber</v>
      </c>
      <c r="E70" s="131"/>
      <c r="F70" s="391"/>
      <c r="G70" s="358">
        <f>Standardwerte!$K$26*Investition_Basis!F70</f>
        <v>20800</v>
      </c>
      <c r="H70" s="391"/>
      <c r="I70" s="358">
        <f>Standardwerte!$K$26*Investition_Basis!G70</f>
        <v>20800</v>
      </c>
      <c r="J70" s="391"/>
      <c r="K70" s="358">
        <f>Standardwerte!$K$26*Investition_Basis!H70</f>
        <v>20800</v>
      </c>
      <c r="L70" s="391"/>
      <c r="M70" s="358">
        <f>Standardwerte!$K$26*Investition_Basis!I70</f>
        <v>24100</v>
      </c>
      <c r="N70" s="391"/>
      <c r="O70" s="358">
        <f>Standardwerte!$K$26*Investition_Basis!J70</f>
        <v>63000</v>
      </c>
      <c r="P70" s="391"/>
      <c r="Q70" s="358">
        <f>Standardwerte!$K$26*Investition_Basis!K70</f>
        <v>71100</v>
      </c>
      <c r="R70" s="391"/>
      <c r="S70" s="358">
        <f>Standardwerte!$K$26*Investition_Basis!L70</f>
        <v>142200</v>
      </c>
      <c r="T70" s="391"/>
      <c r="U70" s="358">
        <f>Standardwerte!$K$26*Investition_Basis!M70</f>
        <v>284400</v>
      </c>
      <c r="V70" s="391"/>
      <c r="W70" s="358">
        <f>Standardwerte!$K$26*Investition_Basis!N70</f>
        <v>355500</v>
      </c>
      <c r="X70" s="391"/>
      <c r="Y70" s="358">
        <f>Standardwerte!$K$26*Investition_Basis!O70</f>
        <v>497700</v>
      </c>
      <c r="Z70" s="391"/>
      <c r="AA70" s="358">
        <f>Standardwerte!$K$26*Investition_Basis!P70</f>
        <v>639900</v>
      </c>
      <c r="AB70" s="391"/>
      <c r="AC70" s="358">
        <f>Standardwerte!$K$26*Investition_Basis!Q70</f>
        <v>995400</v>
      </c>
      <c r="AD70" s="391"/>
      <c r="AE70" s="358">
        <f>Standardwerte!$K$26*Investition_Basis!R70</f>
        <v>1279800</v>
      </c>
    </row>
    <row r="71" spans="1:31">
      <c r="A71" s="125"/>
      <c r="B71" s="305" t="s">
        <v>1215</v>
      </c>
      <c r="C71" s="126" t="str">
        <f ca="1">Sprache!$E$377</f>
        <v>Wärmeerzeugung</v>
      </c>
      <c r="D71" s="126" t="str">
        <f ca="1">Sprache!$E$442</f>
        <v xml:space="preserve">Wärmepumpe </v>
      </c>
      <c r="E71" s="126"/>
      <c r="F71" s="36"/>
      <c r="G71" s="89">
        <f>Standardwerte!$K$26*Investition_Basis!F71</f>
        <v>15200</v>
      </c>
      <c r="H71" s="36"/>
      <c r="I71" s="89">
        <f>Standardwerte!$K$26*Investition_Basis!G71</f>
        <v>15200</v>
      </c>
      <c r="J71" s="36"/>
      <c r="K71" s="89">
        <f>Standardwerte!$K$26*Investition_Basis!H71</f>
        <v>15200</v>
      </c>
      <c r="L71" s="36"/>
      <c r="M71" s="89">
        <f>Standardwerte!$K$26*Investition_Basis!I71</f>
        <v>22500</v>
      </c>
      <c r="N71" s="36"/>
      <c r="O71" s="89">
        <f>Standardwerte!$K$26*Investition_Basis!J71</f>
        <v>71000</v>
      </c>
      <c r="P71" s="36"/>
      <c r="Q71" s="89">
        <f>Standardwerte!$K$26*Investition_Basis!K71</f>
        <v>80000</v>
      </c>
      <c r="R71" s="36"/>
      <c r="S71" s="89">
        <f>Standardwerte!$K$26*Investition_Basis!L71</f>
        <v>160000</v>
      </c>
      <c r="T71" s="36"/>
      <c r="U71" s="89">
        <f>Standardwerte!$K$26*Investition_Basis!M71</f>
        <v>280000</v>
      </c>
      <c r="V71" s="36"/>
      <c r="W71" s="89">
        <f>Standardwerte!$K$26*Investition_Basis!N71</f>
        <v>400000</v>
      </c>
      <c r="X71" s="36"/>
      <c r="Y71" s="89">
        <f>Standardwerte!$K$26*Investition_Basis!O71</f>
        <v>600000</v>
      </c>
      <c r="Z71" s="36"/>
      <c r="AA71" s="89">
        <f>Standardwerte!$K$26*Investition_Basis!P71</f>
        <v>800000</v>
      </c>
      <c r="AB71" s="36"/>
      <c r="AC71" s="89">
        <f>Standardwerte!$K$26*Investition_Basis!Q71</f>
        <v>1160000</v>
      </c>
      <c r="AD71" s="36"/>
      <c r="AE71" s="89">
        <f>Standardwerte!$K$26*Investition_Basis!R71</f>
        <v>1560000</v>
      </c>
    </row>
    <row r="72" spans="1:31">
      <c r="A72" s="125"/>
      <c r="B72" s="305" t="s">
        <v>1215</v>
      </c>
      <c r="C72" s="126" t="str">
        <f ca="1">Sprache!$E$377</f>
        <v>Wärmeerzeugung</v>
      </c>
      <c r="D72" s="126" t="str">
        <f ca="1">Sprache!$E$379</f>
        <v>Armaturen, Apparate, Rohrleitungen, Dämmung</v>
      </c>
      <c r="E72" s="126"/>
      <c r="F72" s="36"/>
      <c r="G72" s="89">
        <f>Standardwerte!$K$26*Investition_Basis!F72</f>
        <v>3600</v>
      </c>
      <c r="H72" s="36"/>
      <c r="I72" s="89">
        <f>Standardwerte!$K$26*Investition_Basis!G72</f>
        <v>3600</v>
      </c>
      <c r="J72" s="36"/>
      <c r="K72" s="89">
        <f>Standardwerte!$K$26*Investition_Basis!H72</f>
        <v>4600</v>
      </c>
      <c r="L72" s="36"/>
      <c r="M72" s="89">
        <f>Standardwerte!$K$26*Investition_Basis!I72</f>
        <v>4600</v>
      </c>
      <c r="N72" s="36"/>
      <c r="O72" s="89">
        <f>Standardwerte!$K$26*Investition_Basis!J72</f>
        <v>5100</v>
      </c>
      <c r="P72" s="36"/>
      <c r="Q72" s="89">
        <f>Standardwerte!$K$26*Investition_Basis!K72</f>
        <v>32000</v>
      </c>
      <c r="R72" s="36"/>
      <c r="S72" s="89">
        <f>Standardwerte!$K$26*Investition_Basis!L72</f>
        <v>40000</v>
      </c>
      <c r="T72" s="36"/>
      <c r="U72" s="89">
        <f>Standardwerte!$K$26*Investition_Basis!M72</f>
        <v>62000</v>
      </c>
      <c r="V72" s="36"/>
      <c r="W72" s="89">
        <f>Standardwerte!$K$26*Investition_Basis!N72</f>
        <v>118000</v>
      </c>
      <c r="X72" s="36"/>
      <c r="Y72" s="89">
        <f>Standardwerte!$K$26*Investition_Basis!O72</f>
        <v>175000</v>
      </c>
      <c r="Z72" s="36"/>
      <c r="AA72" s="89">
        <f>Standardwerte!$K$26*Investition_Basis!P72</f>
        <v>234000</v>
      </c>
      <c r="AB72" s="36"/>
      <c r="AC72" s="89">
        <f>Standardwerte!$K$26*Investition_Basis!Q72</f>
        <v>254000</v>
      </c>
      <c r="AD72" s="36"/>
      <c r="AE72" s="89">
        <f>Standardwerte!$K$26*Investition_Basis!R72</f>
        <v>330000</v>
      </c>
    </row>
    <row r="73" spans="1:31">
      <c r="A73" s="125"/>
      <c r="B73" s="305" t="s">
        <v>1218</v>
      </c>
      <c r="C73" s="126" t="str">
        <f ca="1">Sprache!$E$422</f>
        <v>Wärmespeicherung</v>
      </c>
      <c r="D73" s="126" t="str">
        <f ca="1">Sprache!$E$378</f>
        <v>Heizungsspeicher</v>
      </c>
      <c r="E73" s="126"/>
      <c r="F73" s="36"/>
      <c r="G73" s="89">
        <f>Standardwerte!$K$26*Investition_Basis!F73</f>
        <v>1500</v>
      </c>
      <c r="H73" s="36"/>
      <c r="I73" s="89">
        <f>Standardwerte!$K$26*Investition_Basis!G73</f>
        <v>1500</v>
      </c>
      <c r="J73" s="36"/>
      <c r="K73" s="89">
        <f>Standardwerte!$K$26*Investition_Basis!H73</f>
        <v>2000</v>
      </c>
      <c r="L73" s="36"/>
      <c r="M73" s="89">
        <f>Standardwerte!$K$26*Investition_Basis!I73</f>
        <v>2500</v>
      </c>
      <c r="N73" s="36"/>
      <c r="O73" s="89">
        <f>Standardwerte!$K$26*Investition_Basis!J73</f>
        <v>4000</v>
      </c>
      <c r="P73" s="36"/>
      <c r="Q73" s="89">
        <f>Standardwerte!$K$26*Investition_Basis!K73</f>
        <v>4500</v>
      </c>
      <c r="R73" s="36"/>
      <c r="S73" s="89">
        <f>Standardwerte!$K$26*Investition_Basis!L73</f>
        <v>4600</v>
      </c>
      <c r="T73" s="36"/>
      <c r="U73" s="89">
        <f>Standardwerte!$K$26*Investition_Basis!M73</f>
        <v>6100</v>
      </c>
      <c r="V73" s="36"/>
      <c r="W73" s="89">
        <f>Standardwerte!$K$26*Investition_Basis!N73</f>
        <v>8200</v>
      </c>
      <c r="X73" s="36"/>
      <c r="Y73" s="89">
        <f>Standardwerte!$K$26*Investition_Basis!O73</f>
        <v>6800</v>
      </c>
      <c r="Z73" s="36"/>
      <c r="AA73" s="89">
        <f>Standardwerte!$K$26*Investition_Basis!P73</f>
        <v>10200</v>
      </c>
      <c r="AB73" s="36"/>
      <c r="AC73" s="89">
        <f>Standardwerte!$K$26*Investition_Basis!Q73</f>
        <v>13600</v>
      </c>
      <c r="AD73" s="36"/>
      <c r="AE73" s="89">
        <f>Standardwerte!$K$26*Investition_Basis!R73</f>
        <v>20000</v>
      </c>
    </row>
    <row r="74" spans="1:31">
      <c r="A74" s="125"/>
      <c r="B74" s="305" t="s">
        <v>1215</v>
      </c>
      <c r="C74" s="126" t="str">
        <f ca="1">Sprache!$E$377</f>
        <v>Wärmeerzeugung</v>
      </c>
      <c r="D74" s="126" t="str">
        <f ca="1">Sprache!$E$382</f>
        <v>Transport und Montage</v>
      </c>
      <c r="E74" s="126"/>
      <c r="F74" s="36"/>
      <c r="G74" s="89">
        <f>Standardwerte!$K$26*Investition_Basis!F74</f>
        <v>16500</v>
      </c>
      <c r="H74" s="36"/>
      <c r="I74" s="89">
        <f>Standardwerte!$K$26*Investition_Basis!G74</f>
        <v>16500</v>
      </c>
      <c r="J74" s="36"/>
      <c r="K74" s="89">
        <f>Standardwerte!$K$26*Investition_Basis!H74</f>
        <v>16500</v>
      </c>
      <c r="L74" s="36"/>
      <c r="M74" s="89">
        <f>Standardwerte!$K$26*Investition_Basis!I74</f>
        <v>16500</v>
      </c>
      <c r="N74" s="36"/>
      <c r="O74" s="89">
        <f>Standardwerte!$K$26*Investition_Basis!J74</f>
        <v>16500</v>
      </c>
      <c r="P74" s="36"/>
      <c r="Q74" s="89">
        <f>Standardwerte!$K$26*Investition_Basis!K74</f>
        <v>21900</v>
      </c>
      <c r="R74" s="36"/>
      <c r="S74" s="89">
        <f>Standardwerte!$K$26*Investition_Basis!L74</f>
        <v>29900</v>
      </c>
      <c r="T74" s="36"/>
      <c r="U74" s="89">
        <f>Standardwerte!$K$26*Investition_Basis!M74</f>
        <v>49300</v>
      </c>
      <c r="V74" s="36"/>
      <c r="W74" s="89">
        <f>Standardwerte!$K$26*Investition_Basis!N74</f>
        <v>65500</v>
      </c>
      <c r="X74" s="36"/>
      <c r="Y74" s="89">
        <f>Standardwerte!$K$26*Investition_Basis!O74</f>
        <v>90000</v>
      </c>
      <c r="Z74" s="36"/>
      <c r="AA74" s="89">
        <f>Standardwerte!$K$26*Investition_Basis!P74</f>
        <v>117000</v>
      </c>
      <c r="AB74" s="36"/>
      <c r="AC74" s="89">
        <f>Standardwerte!$K$26*Investition_Basis!Q74</f>
        <v>180000</v>
      </c>
      <c r="AD74" s="36"/>
      <c r="AE74" s="89">
        <f>Standardwerte!$K$26*Investition_Basis!R74</f>
        <v>450000</v>
      </c>
    </row>
    <row r="75" spans="1:31">
      <c r="A75" s="125"/>
      <c r="B75" s="305" t="s">
        <v>1244</v>
      </c>
      <c r="C75" s="126" t="str">
        <f ca="1">Sprache!$E$419</f>
        <v>Installation Starkstrom</v>
      </c>
      <c r="D75" s="126" t="str">
        <f ca="1">Sprache!$E$386</f>
        <v>Anschlussgebühren (Elektro)</v>
      </c>
      <c r="E75" s="126"/>
      <c r="F75" s="36"/>
      <c r="G75" s="89">
        <f>Standardwerte!$K$26*Investition_Basis!F75</f>
        <v>0</v>
      </c>
      <c r="H75" s="36"/>
      <c r="I75" s="89">
        <f>Standardwerte!$K$26*Investition_Basis!G75</f>
        <v>0</v>
      </c>
      <c r="J75" s="36"/>
      <c r="K75" s="89">
        <f>Standardwerte!$K$26*Investition_Basis!H75</f>
        <v>0</v>
      </c>
      <c r="L75" s="36"/>
      <c r="M75" s="89">
        <f>Standardwerte!$K$26*Investition_Basis!I75</f>
        <v>0</v>
      </c>
      <c r="N75" s="36"/>
      <c r="O75" s="89">
        <f>Standardwerte!$K$26*Investition_Basis!J75</f>
        <v>13300</v>
      </c>
      <c r="P75" s="36"/>
      <c r="Q75" s="89">
        <f>Standardwerte!$K$26*Investition_Basis!K75</f>
        <v>21200</v>
      </c>
      <c r="R75" s="36"/>
      <c r="S75" s="89">
        <f>Standardwerte!$K$26*Investition_Basis!L75</f>
        <v>41800</v>
      </c>
      <c r="T75" s="36"/>
      <c r="U75" s="89">
        <f>Standardwerte!$K$26*Investition_Basis!M75</f>
        <v>60200</v>
      </c>
      <c r="V75" s="36"/>
      <c r="W75" s="89">
        <f>Standardwerte!$K$26*Investition_Basis!N75</f>
        <v>76500</v>
      </c>
      <c r="X75" s="36"/>
      <c r="Y75" s="89">
        <f>Standardwerte!$K$26*Investition_Basis!O75</f>
        <v>95000</v>
      </c>
      <c r="Z75" s="36"/>
      <c r="AA75" s="89">
        <f>Standardwerte!$K$26*Investition_Basis!P75</f>
        <v>120000</v>
      </c>
      <c r="AB75" s="36"/>
      <c r="AC75" s="89">
        <f>Standardwerte!$K$26*Investition_Basis!Q75</f>
        <v>130000</v>
      </c>
      <c r="AD75" s="36"/>
      <c r="AE75" s="89">
        <f>Standardwerte!$K$26*Investition_Basis!R75</f>
        <v>150000</v>
      </c>
    </row>
    <row r="76" spans="1:31">
      <c r="A76" s="125"/>
      <c r="B76" s="305" t="s">
        <v>1244</v>
      </c>
      <c r="C76" s="126" t="str">
        <f ca="1">Sprache!$E$419</f>
        <v>Installation Starkstrom</v>
      </c>
      <c r="D76" s="126" t="str">
        <f ca="1">Sprache!E$384</f>
        <v>Zentrale Starkstromanlagen</v>
      </c>
      <c r="E76" s="126"/>
      <c r="F76" s="36"/>
      <c r="G76" s="89">
        <f>Standardwerte!$K$26*Investition_Basis!F76</f>
        <v>0</v>
      </c>
      <c r="H76" s="36"/>
      <c r="I76" s="89">
        <f>Standardwerte!$K$26*Investition_Basis!G76</f>
        <v>0</v>
      </c>
      <c r="J76" s="36"/>
      <c r="K76" s="89">
        <f>Standardwerte!$K$26*Investition_Basis!H76</f>
        <v>0</v>
      </c>
      <c r="L76" s="36"/>
      <c r="M76" s="89">
        <f>Standardwerte!$K$26*Investition_Basis!I76</f>
        <v>0</v>
      </c>
      <c r="N76" s="36"/>
      <c r="O76" s="89">
        <f>Standardwerte!$K$26*Investition_Basis!J76</f>
        <v>3400</v>
      </c>
      <c r="P76" s="36"/>
      <c r="Q76" s="89">
        <f>Standardwerte!$K$26*Investition_Basis!K76</f>
        <v>3400</v>
      </c>
      <c r="R76" s="36"/>
      <c r="S76" s="89">
        <f>Standardwerte!$K$26*Investition_Basis!L76</f>
        <v>6000</v>
      </c>
      <c r="T76" s="36"/>
      <c r="U76" s="89">
        <f>Standardwerte!$K$26*Investition_Basis!M76</f>
        <v>8000</v>
      </c>
      <c r="V76" s="36"/>
      <c r="W76" s="89">
        <f>Standardwerte!$K$26*Investition_Basis!N76</f>
        <v>12000</v>
      </c>
      <c r="X76" s="36"/>
      <c r="Y76" s="89">
        <f>Standardwerte!$K$26*Investition_Basis!O76</f>
        <v>15000</v>
      </c>
      <c r="Z76" s="36"/>
      <c r="AA76" s="89">
        <f>Standardwerte!$K$26*Investition_Basis!P76</f>
        <v>20000</v>
      </c>
      <c r="AB76" s="36"/>
      <c r="AC76" s="89">
        <f>Standardwerte!$K$26*Investition_Basis!Q76</f>
        <v>30000</v>
      </c>
      <c r="AD76" s="36"/>
      <c r="AE76" s="89">
        <f>Standardwerte!$K$26*Investition_Basis!R76</f>
        <v>40000</v>
      </c>
    </row>
    <row r="77" spans="1:31">
      <c r="A77" s="125"/>
      <c r="B77" s="307" t="s">
        <v>1244</v>
      </c>
      <c r="C77" s="297" t="str">
        <f ca="1">Sprache!$E$419</f>
        <v>Installation Starkstrom</v>
      </c>
      <c r="D77" s="297" t="str">
        <f ca="1">Sprache!E$385</f>
        <v>Erschliessung Elektro</v>
      </c>
      <c r="E77" s="134"/>
      <c r="F77" s="392"/>
      <c r="G77" s="360">
        <f>Standardwerte!$K$26*Investition_Basis!F77</f>
        <v>4500</v>
      </c>
      <c r="H77" s="392"/>
      <c r="I77" s="360">
        <f>Standardwerte!$K$26*Investition_Basis!G77</f>
        <v>4500</v>
      </c>
      <c r="J77" s="392"/>
      <c r="K77" s="360">
        <f>Standardwerte!$K$26*Investition_Basis!H77</f>
        <v>5500</v>
      </c>
      <c r="L77" s="392"/>
      <c r="M77" s="360">
        <f>Standardwerte!$K$26*Investition_Basis!I77</f>
        <v>6000</v>
      </c>
      <c r="N77" s="392"/>
      <c r="O77" s="360">
        <f>Standardwerte!$K$26*Investition_Basis!J77</f>
        <v>7000</v>
      </c>
      <c r="P77" s="392"/>
      <c r="Q77" s="360">
        <f>Standardwerte!$K$26*Investition_Basis!K77</f>
        <v>10000</v>
      </c>
      <c r="R77" s="392"/>
      <c r="S77" s="360">
        <f>Standardwerte!$K$26*Investition_Basis!L77</f>
        <v>15000</v>
      </c>
      <c r="T77" s="392"/>
      <c r="U77" s="360">
        <f>Standardwerte!$K$26*Investition_Basis!M77</f>
        <v>18000</v>
      </c>
      <c r="V77" s="392"/>
      <c r="W77" s="360">
        <f>Standardwerte!$K$26*Investition_Basis!N77</f>
        <v>20000</v>
      </c>
      <c r="X77" s="392"/>
      <c r="Y77" s="360">
        <f>Standardwerte!$K$26*Investition_Basis!O77</f>
        <v>23000</v>
      </c>
      <c r="Z77" s="392"/>
      <c r="AA77" s="360">
        <f>Standardwerte!$K$26*Investition_Basis!P77</f>
        <v>30000</v>
      </c>
      <c r="AB77" s="392"/>
      <c r="AC77" s="360">
        <f>Standardwerte!$K$26*Investition_Basis!Q77</f>
        <v>40000</v>
      </c>
      <c r="AD77" s="392"/>
      <c r="AE77" s="360">
        <f>Standardwerte!$K$26*Investition_Basis!R77</f>
        <v>45000</v>
      </c>
    </row>
    <row r="78" spans="1:31">
      <c r="A78" s="125"/>
      <c r="E78" s="64"/>
      <c r="F78" s="69"/>
      <c r="G78" s="68"/>
      <c r="H78" s="69"/>
      <c r="I78" s="68"/>
      <c r="J78" s="68"/>
      <c r="K78" s="68"/>
      <c r="L78" s="68"/>
      <c r="M78" s="68"/>
      <c r="N78" s="68"/>
      <c r="O78" s="68"/>
      <c r="P78" s="68"/>
      <c r="Q78" s="68"/>
      <c r="R78" s="68"/>
      <c r="S78" s="68"/>
      <c r="T78" s="68"/>
      <c r="U78" s="68"/>
      <c r="V78" s="68"/>
      <c r="W78" s="68"/>
      <c r="X78" s="68"/>
      <c r="Y78" s="68"/>
      <c r="Z78" s="68"/>
      <c r="AA78" s="68"/>
      <c r="AB78" s="68"/>
      <c r="AC78" s="68"/>
      <c r="AD78" s="68"/>
      <c r="AE78" s="68"/>
    </row>
    <row r="79" spans="1:31">
      <c r="A79" s="125" t="s">
        <v>1003</v>
      </c>
      <c r="B79" s="125" t="str">
        <f ca="1">Sprache!E433</f>
        <v>Wärmenetz</v>
      </c>
      <c r="C79" s="326"/>
      <c r="D79" s="326"/>
      <c r="E79" s="125"/>
      <c r="F79" s="69"/>
      <c r="G79" s="68"/>
      <c r="H79" s="69"/>
      <c r="I79" s="68"/>
      <c r="J79" s="68"/>
      <c r="K79" s="68"/>
      <c r="L79" s="68"/>
      <c r="M79" s="68"/>
      <c r="N79" s="68"/>
      <c r="O79" s="68"/>
      <c r="P79" s="68"/>
      <c r="Q79" s="68"/>
      <c r="R79" s="68"/>
      <c r="S79" s="68"/>
      <c r="T79" s="68"/>
      <c r="U79" s="68"/>
      <c r="V79" s="68"/>
      <c r="W79" s="68"/>
      <c r="X79" s="68"/>
      <c r="Y79" s="68"/>
      <c r="Z79" s="68"/>
      <c r="AA79" s="68"/>
      <c r="AB79" s="68"/>
      <c r="AC79" s="68"/>
      <c r="AD79" s="68"/>
      <c r="AE79" s="68"/>
    </row>
    <row r="80" spans="1:31">
      <c r="A80" s="125"/>
      <c r="B80" s="304" t="s">
        <v>1217</v>
      </c>
      <c r="C80" s="131" t="str">
        <f ca="1">Sprache!$E$421</f>
        <v>Wärmequellen, -senken, Lager</v>
      </c>
      <c r="D80" s="131" t="str">
        <f ca="1">Sprache!$E$375</f>
        <v>Anschlussgebühren (Wärmenetz, Gas)</v>
      </c>
      <c r="E80" s="131"/>
      <c r="F80" s="391"/>
      <c r="G80" s="358">
        <f>Standardwerte!$K$26*Investition_Basis!F80</f>
        <v>5100</v>
      </c>
      <c r="H80" s="391"/>
      <c r="I80" s="358">
        <f>Standardwerte!$K$26*Investition_Basis!G80</f>
        <v>5100</v>
      </c>
      <c r="J80" s="391"/>
      <c r="K80" s="358">
        <f>Standardwerte!$K$26*Investition_Basis!H80</f>
        <v>10200</v>
      </c>
      <c r="L80" s="391"/>
      <c r="M80" s="358">
        <f>Standardwerte!$K$26*Investition_Basis!I80</f>
        <v>20400</v>
      </c>
      <c r="N80" s="391"/>
      <c r="O80" s="358">
        <f>Standardwerte!$K$26*Investition_Basis!J80</f>
        <v>71400</v>
      </c>
      <c r="P80" s="391"/>
      <c r="Q80" s="358">
        <f>Standardwerte!$K$26*Investition_Basis!K80</f>
        <v>102000</v>
      </c>
      <c r="R80" s="391"/>
      <c r="S80" s="358">
        <f>Standardwerte!$K$26*Investition_Basis!L80</f>
        <v>204000</v>
      </c>
      <c r="T80" s="391"/>
      <c r="U80" s="358">
        <f>Standardwerte!$K$26*Investition_Basis!M80</f>
        <v>357000</v>
      </c>
      <c r="V80" s="391"/>
      <c r="W80" s="358">
        <f>Standardwerte!$K$26*Investition_Basis!N80</f>
        <v>510000</v>
      </c>
      <c r="X80" s="391"/>
      <c r="Y80" s="358">
        <f>Standardwerte!$K$26*Investition_Basis!O80</f>
        <v>750000</v>
      </c>
      <c r="Z80" s="391"/>
      <c r="AA80" s="358">
        <f>Standardwerte!$K$26*Investition_Basis!P80</f>
        <v>1000000</v>
      </c>
      <c r="AB80" s="391"/>
      <c r="AC80" s="358">
        <f>Standardwerte!$K$26*Investition_Basis!Q80</f>
        <v>1500000</v>
      </c>
      <c r="AD80" s="391"/>
      <c r="AE80" s="358">
        <f>Standardwerte!$K$26*Investition_Basis!R80</f>
        <v>2000000</v>
      </c>
    </row>
    <row r="81" spans="1:31">
      <c r="A81" s="125"/>
      <c r="B81" s="305" t="s">
        <v>1215</v>
      </c>
      <c r="C81" s="126" t="str">
        <f ca="1">Sprache!$E$377</f>
        <v>Wärmeerzeugung</v>
      </c>
      <c r="D81" s="126" t="str">
        <f ca="1">Sprache!E380</f>
        <v>Übergabestation</v>
      </c>
      <c r="E81" s="126"/>
      <c r="F81" s="36"/>
      <c r="G81" s="89">
        <f>Standardwerte!$K$26*Investition_Basis!F81</f>
        <v>7000</v>
      </c>
      <c r="H81" s="36"/>
      <c r="I81" s="89">
        <f>Standardwerte!$K$26*Investition_Basis!G81</f>
        <v>7000</v>
      </c>
      <c r="J81" s="36"/>
      <c r="K81" s="89">
        <f>Standardwerte!$K$26*Investition_Basis!H81</f>
        <v>7000</v>
      </c>
      <c r="L81" s="36"/>
      <c r="M81" s="89">
        <f>Standardwerte!$K$26*Investition_Basis!I81</f>
        <v>7300</v>
      </c>
      <c r="N81" s="36"/>
      <c r="O81" s="89">
        <f>Standardwerte!$K$26*Investition_Basis!J81</f>
        <v>13100</v>
      </c>
      <c r="P81" s="36"/>
      <c r="Q81" s="89">
        <f>Standardwerte!$K$26*Investition_Basis!K81</f>
        <v>15800</v>
      </c>
      <c r="R81" s="36"/>
      <c r="S81" s="89">
        <f>Standardwerte!$K$26*Investition_Basis!L81</f>
        <v>21900</v>
      </c>
      <c r="T81" s="36"/>
      <c r="U81" s="89">
        <f>Standardwerte!$K$26*Investition_Basis!M81</f>
        <v>28100</v>
      </c>
      <c r="V81" s="36"/>
      <c r="W81" s="89">
        <f>Standardwerte!$K$26*Investition_Basis!N81</f>
        <v>32100</v>
      </c>
      <c r="X81" s="36"/>
      <c r="Y81" s="89">
        <f>Standardwerte!$K$26*Investition_Basis!O81</f>
        <v>46000</v>
      </c>
      <c r="Z81" s="36"/>
      <c r="AA81" s="89">
        <f>Standardwerte!$K$26*Investition_Basis!P81</f>
        <v>63000</v>
      </c>
      <c r="AB81" s="36"/>
      <c r="AC81" s="89">
        <f>Standardwerte!$K$26*Investition_Basis!Q81</f>
        <v>95000</v>
      </c>
      <c r="AD81" s="36"/>
      <c r="AE81" s="89">
        <f>Standardwerte!$K$26*Investition_Basis!R81</f>
        <v>125000</v>
      </c>
    </row>
    <row r="82" spans="1:31">
      <c r="A82" s="125"/>
      <c r="B82" s="307" t="s">
        <v>1215</v>
      </c>
      <c r="C82" s="297" t="str">
        <f ca="1">Sprache!$E$377</f>
        <v>Wärmeerzeugung</v>
      </c>
      <c r="D82" s="297" t="str">
        <f ca="1">Sprache!$E$382</f>
        <v>Transport und Montage</v>
      </c>
      <c r="E82" s="134"/>
      <c r="F82" s="392"/>
      <c r="G82" s="360">
        <f>Standardwerte!$K$26*Investition_Basis!F82</f>
        <v>2500</v>
      </c>
      <c r="H82" s="392"/>
      <c r="I82" s="360">
        <f>Standardwerte!$K$26*Investition_Basis!G82</f>
        <v>2500</v>
      </c>
      <c r="J82" s="392"/>
      <c r="K82" s="360">
        <f>Standardwerte!$K$26*Investition_Basis!H82</f>
        <v>2500</v>
      </c>
      <c r="L82" s="392"/>
      <c r="M82" s="360">
        <f>Standardwerte!$K$26*Investition_Basis!I82</f>
        <v>2600</v>
      </c>
      <c r="N82" s="392"/>
      <c r="O82" s="360">
        <f>Standardwerte!$K$26*Investition_Basis!J82</f>
        <v>3500</v>
      </c>
      <c r="P82" s="392"/>
      <c r="Q82" s="360">
        <f>Standardwerte!$K$26*Investition_Basis!K82</f>
        <v>4300</v>
      </c>
      <c r="R82" s="392"/>
      <c r="S82" s="360">
        <f>Standardwerte!$K$26*Investition_Basis!L82</f>
        <v>5200</v>
      </c>
      <c r="T82" s="392"/>
      <c r="U82" s="360">
        <f>Standardwerte!$K$26*Investition_Basis!M82</f>
        <v>6900</v>
      </c>
      <c r="V82" s="392"/>
      <c r="W82" s="360">
        <f>Standardwerte!$K$26*Investition_Basis!N82</f>
        <v>8700</v>
      </c>
      <c r="X82" s="392"/>
      <c r="Y82" s="360">
        <f>Standardwerte!$K$26*Investition_Basis!O82</f>
        <v>9500</v>
      </c>
      <c r="Z82" s="392"/>
      <c r="AA82" s="360">
        <f>Standardwerte!$K$26*Investition_Basis!P82</f>
        <v>14000</v>
      </c>
      <c r="AB82" s="392"/>
      <c r="AC82" s="360">
        <f>Standardwerte!$K$26*Investition_Basis!Q82</f>
        <v>17000</v>
      </c>
      <c r="AD82" s="392"/>
      <c r="AE82" s="360">
        <f>Standardwerte!$K$26*Investition_Basis!R82</f>
        <v>25500</v>
      </c>
    </row>
    <row r="83" spans="1:31">
      <c r="A83" s="125"/>
      <c r="E83" s="64"/>
      <c r="F83" s="81"/>
      <c r="G83" s="68"/>
      <c r="H83" s="81"/>
      <c r="I83" s="68"/>
      <c r="J83" s="81"/>
      <c r="K83" s="68"/>
      <c r="L83" s="81"/>
      <c r="M83" s="68"/>
      <c r="N83" s="81"/>
      <c r="O83" s="68"/>
      <c r="P83" s="81"/>
      <c r="Q83" s="68"/>
      <c r="R83" s="81"/>
      <c r="S83" s="68"/>
      <c r="T83" s="81"/>
      <c r="U83" s="68"/>
      <c r="V83" s="81"/>
      <c r="W83" s="68"/>
      <c r="X83" s="81"/>
      <c r="Y83" s="68"/>
      <c r="Z83" s="81"/>
      <c r="AA83" s="68"/>
      <c r="AB83" s="81"/>
      <c r="AC83" s="68"/>
      <c r="AD83" s="81"/>
      <c r="AE83" s="68"/>
    </row>
    <row r="84" spans="1:31">
      <c r="A84" s="125" t="s">
        <v>1008</v>
      </c>
      <c r="B84" s="125" t="str">
        <f ca="1">Sprache!E23</f>
        <v>WKK Anlage (Gas)</v>
      </c>
      <c r="E84" s="64"/>
      <c r="F84" s="81"/>
      <c r="G84" s="68"/>
      <c r="H84" s="81"/>
      <c r="I84" s="68"/>
      <c r="J84" s="81"/>
      <c r="K84" s="68"/>
      <c r="L84" s="81"/>
      <c r="M84" s="68"/>
      <c r="N84" s="81"/>
      <c r="O84" s="68"/>
      <c r="P84" s="81"/>
      <c r="Q84" s="68"/>
      <c r="R84" s="81"/>
      <c r="S84" s="68"/>
      <c r="T84" s="81"/>
      <c r="U84" s="68"/>
      <c r="V84" s="81"/>
      <c r="W84" s="68"/>
      <c r="X84" s="81"/>
      <c r="Y84" s="68"/>
      <c r="Z84" s="81"/>
      <c r="AA84" s="68"/>
      <c r="AB84" s="81"/>
      <c r="AC84" s="68"/>
      <c r="AD84" s="81"/>
      <c r="AE84" s="68"/>
    </row>
    <row r="85" spans="1:31">
      <c r="A85" s="125"/>
      <c r="B85" s="304" t="s">
        <v>1217</v>
      </c>
      <c r="C85" s="131" t="str">
        <f ca="1">Sprache!$E$421</f>
        <v>Wärmequellen, -senken, Lager</v>
      </c>
      <c r="D85" s="131" t="str">
        <f ca="1">Sprache!$E$375</f>
        <v>Anschlussgebühren (Wärmenetz, Gas)</v>
      </c>
      <c r="E85" s="131"/>
      <c r="F85" s="391"/>
      <c r="G85" s="358">
        <f>Standardwerte!$K$26*Investition_Basis!F85</f>
        <v>0</v>
      </c>
      <c r="H85" s="391"/>
      <c r="I85" s="358">
        <f>Standardwerte!$K$26*Investition_Basis!G85</f>
        <v>0</v>
      </c>
      <c r="J85" s="391"/>
      <c r="K85" s="358">
        <f>Standardwerte!$K$26*Investition_Basis!H85</f>
        <v>4000</v>
      </c>
      <c r="L85" s="391"/>
      <c r="M85" s="358">
        <f>Standardwerte!$K$26*Investition_Basis!I85</f>
        <v>5000</v>
      </c>
      <c r="N85" s="391"/>
      <c r="O85" s="358">
        <f>Standardwerte!$K$26*Investition_Basis!J85</f>
        <v>6000</v>
      </c>
      <c r="P85" s="391"/>
      <c r="Q85" s="358">
        <f>Standardwerte!$K$26*Investition_Basis!K85</f>
        <v>6000</v>
      </c>
      <c r="R85" s="391"/>
      <c r="S85" s="358">
        <f>Standardwerte!$K$26*Investition_Basis!L85</f>
        <v>8000</v>
      </c>
      <c r="T85" s="391"/>
      <c r="U85" s="358">
        <f>Standardwerte!$K$26*Investition_Basis!M85</f>
        <v>10000</v>
      </c>
      <c r="V85" s="391"/>
      <c r="W85" s="358">
        <f>Standardwerte!$K$26*Investition_Basis!N85</f>
        <v>12000</v>
      </c>
      <c r="X85" s="391"/>
      <c r="Y85" s="358">
        <f>Standardwerte!$K$26*Investition_Basis!O85</f>
        <v>0</v>
      </c>
      <c r="Z85" s="391"/>
      <c r="AA85" s="358">
        <f>Standardwerte!$K$26*Investition_Basis!P85</f>
        <v>0</v>
      </c>
      <c r="AB85" s="391"/>
      <c r="AC85" s="358">
        <f>Standardwerte!$K$26*Investition_Basis!Q85</f>
        <v>0</v>
      </c>
      <c r="AD85" s="391"/>
      <c r="AE85" s="358">
        <f>Standardwerte!$K$26*Investition_Basis!R85</f>
        <v>0</v>
      </c>
    </row>
    <row r="86" spans="1:31">
      <c r="A86" s="125"/>
      <c r="B86" s="305" t="s">
        <v>1215</v>
      </c>
      <c r="C86" s="126" t="str">
        <f ca="1">Sprache!$E$377</f>
        <v>Wärmeerzeugung</v>
      </c>
      <c r="D86" s="126" t="str">
        <f ca="1">Sprache!E443</f>
        <v>Wärmekraftkopplung (WKK)</v>
      </c>
      <c r="E86" s="126"/>
      <c r="F86" s="36"/>
      <c r="G86" s="89">
        <f>Standardwerte!$K$26*Investition_Basis!F86</f>
        <v>0</v>
      </c>
      <c r="H86" s="36"/>
      <c r="I86" s="89">
        <f>Standardwerte!$K$26*Investition_Basis!G86</f>
        <v>0</v>
      </c>
      <c r="J86" s="36"/>
      <c r="K86" s="89">
        <f>Standardwerte!$K$26*Investition_Basis!H86</f>
        <v>25000</v>
      </c>
      <c r="L86" s="36"/>
      <c r="M86" s="89">
        <f>Standardwerte!$K$26*Investition_Basis!I86</f>
        <v>37190</v>
      </c>
      <c r="N86" s="36"/>
      <c r="O86" s="89">
        <f>Standardwerte!$K$26*Investition_Basis!J86</f>
        <v>71720</v>
      </c>
      <c r="P86" s="36"/>
      <c r="Q86" s="89">
        <f>Standardwerte!$K$26*Investition_Basis!K86</f>
        <v>93330</v>
      </c>
      <c r="R86" s="36"/>
      <c r="S86" s="89">
        <f>Standardwerte!$K$26*Investition_Basis!L86</f>
        <v>144140</v>
      </c>
      <c r="T86" s="36"/>
      <c r="U86" s="89">
        <f>Standardwerte!$K$26*Investition_Basis!M86</f>
        <v>320000</v>
      </c>
      <c r="V86" s="36"/>
      <c r="W86" s="89">
        <f>Standardwerte!$K$26*Investition_Basis!N86</f>
        <v>457140</v>
      </c>
      <c r="X86" s="36"/>
      <c r="Y86" s="89">
        <f>Standardwerte!$K$26*Investition_Basis!O86</f>
        <v>0</v>
      </c>
      <c r="Z86" s="36"/>
      <c r="AA86" s="89">
        <f>Standardwerte!$K$26*Investition_Basis!P86</f>
        <v>0</v>
      </c>
      <c r="AB86" s="36"/>
      <c r="AC86" s="89">
        <f>Standardwerte!$K$26*Investition_Basis!Q86</f>
        <v>0</v>
      </c>
      <c r="AD86" s="36"/>
      <c r="AE86" s="89">
        <f>Standardwerte!$K$26*Investition_Basis!R86</f>
        <v>0</v>
      </c>
    </row>
    <row r="87" spans="1:31">
      <c r="A87" s="125"/>
      <c r="B87" s="305" t="s">
        <v>1215</v>
      </c>
      <c r="C87" s="126" t="str">
        <f ca="1">Sprache!$E$377</f>
        <v>Wärmeerzeugung</v>
      </c>
      <c r="D87" s="126" t="str">
        <f ca="1">Sprache!$E$379</f>
        <v>Armaturen, Apparate, Rohrleitungen, Dämmung</v>
      </c>
      <c r="E87" s="126"/>
      <c r="F87" s="36"/>
      <c r="G87" s="89">
        <f>Standardwerte!$K$26*Investition_Basis!F87</f>
        <v>0</v>
      </c>
      <c r="H87" s="36"/>
      <c r="I87" s="89">
        <f>Standardwerte!$K$26*Investition_Basis!G87</f>
        <v>0</v>
      </c>
      <c r="J87" s="36"/>
      <c r="K87" s="89">
        <f>Standardwerte!$K$26*Investition_Basis!H87</f>
        <v>1810</v>
      </c>
      <c r="L87" s="36"/>
      <c r="M87" s="89">
        <f>Standardwerte!$K$26*Investition_Basis!I87</f>
        <v>2240</v>
      </c>
      <c r="N87" s="36"/>
      <c r="O87" s="89">
        <f>Standardwerte!$K$26*Investition_Basis!J87</f>
        <v>3690</v>
      </c>
      <c r="P87" s="36"/>
      <c r="Q87" s="89">
        <f>Standardwerte!$K$26*Investition_Basis!K87</f>
        <v>2560</v>
      </c>
      <c r="R87" s="36"/>
      <c r="S87" s="89">
        <f>Standardwerte!$K$26*Investition_Basis!L87</f>
        <v>3290</v>
      </c>
      <c r="T87" s="36"/>
      <c r="U87" s="89">
        <f>Standardwerte!$K$26*Investition_Basis!M87</f>
        <v>4170</v>
      </c>
      <c r="V87" s="36"/>
      <c r="W87" s="89">
        <f>Standardwerte!$K$26*Investition_Basis!N87</f>
        <v>5950</v>
      </c>
      <c r="X87" s="36"/>
      <c r="Y87" s="89">
        <f>Standardwerte!$K$26*Investition_Basis!O87</f>
        <v>0</v>
      </c>
      <c r="Z87" s="36"/>
      <c r="AA87" s="89">
        <f>Standardwerte!$K$26*Investition_Basis!P87</f>
        <v>0</v>
      </c>
      <c r="AB87" s="36"/>
      <c r="AC87" s="89">
        <f>Standardwerte!$K$26*Investition_Basis!Q87</f>
        <v>0</v>
      </c>
      <c r="AD87" s="36"/>
      <c r="AE87" s="89">
        <f>Standardwerte!$K$26*Investition_Basis!R87</f>
        <v>0</v>
      </c>
    </row>
    <row r="88" spans="1:31">
      <c r="A88" s="125"/>
      <c r="B88" s="305" t="s">
        <v>1218</v>
      </c>
      <c r="C88" s="126" t="str">
        <f ca="1">Sprache!$E$422</f>
        <v>Wärmespeicherung</v>
      </c>
      <c r="D88" s="126" t="str">
        <f ca="1">Sprache!$E$378</f>
        <v>Heizungsspeicher</v>
      </c>
      <c r="E88" s="185"/>
      <c r="F88" s="36"/>
      <c r="G88" s="89">
        <f>Standardwerte!$K$26*Investition_Basis!F88</f>
        <v>0</v>
      </c>
      <c r="H88" s="36"/>
      <c r="I88" s="89">
        <f>Standardwerte!$K$26*Investition_Basis!G88</f>
        <v>0</v>
      </c>
      <c r="J88" s="36"/>
      <c r="K88" s="89">
        <f>Standardwerte!$K$26*Investition_Basis!H88</f>
        <v>3330</v>
      </c>
      <c r="L88" s="36"/>
      <c r="M88" s="89">
        <f>Standardwerte!$K$26*Investition_Basis!I88</f>
        <v>5000</v>
      </c>
      <c r="N88" s="36"/>
      <c r="O88" s="89">
        <f>Standardwerte!$K$26*Investition_Basis!J88</f>
        <v>9170</v>
      </c>
      <c r="P88" s="36"/>
      <c r="Q88" s="89">
        <f>Standardwerte!$K$26*Investition_Basis!K88</f>
        <v>10630</v>
      </c>
      <c r="R88" s="36"/>
      <c r="S88" s="89">
        <f>Standardwerte!$K$26*Investition_Basis!L88</f>
        <v>14030</v>
      </c>
      <c r="T88" s="36"/>
      <c r="U88" s="89">
        <f>Standardwerte!$K$26*Investition_Basis!M88</f>
        <v>17750</v>
      </c>
      <c r="V88" s="36"/>
      <c r="W88" s="89">
        <f>Standardwerte!$K$26*Investition_Basis!N88</f>
        <v>25350</v>
      </c>
      <c r="X88" s="36"/>
      <c r="Y88" s="89">
        <f>Standardwerte!$K$26*Investition_Basis!O88</f>
        <v>0</v>
      </c>
      <c r="Z88" s="36"/>
      <c r="AA88" s="89">
        <f>Standardwerte!$K$26*Investition_Basis!P88</f>
        <v>0</v>
      </c>
      <c r="AB88" s="36"/>
      <c r="AC88" s="89">
        <f>Standardwerte!$K$26*Investition_Basis!Q88</f>
        <v>0</v>
      </c>
      <c r="AD88" s="36"/>
      <c r="AE88" s="89">
        <f>Standardwerte!$K$26*Investition_Basis!R88</f>
        <v>0</v>
      </c>
    </row>
    <row r="89" spans="1:31">
      <c r="A89" s="125"/>
      <c r="B89" s="305" t="s">
        <v>1215</v>
      </c>
      <c r="C89" s="126" t="str">
        <f ca="1">Sprache!$E$377</f>
        <v>Wärmeerzeugung</v>
      </c>
      <c r="D89" s="126" t="str">
        <f ca="1">Sprache!$E$382</f>
        <v>Transport und Montage</v>
      </c>
      <c r="E89" s="126"/>
      <c r="F89" s="36"/>
      <c r="G89" s="89">
        <f>Standardwerte!$K$26*Investition_Basis!F89</f>
        <v>0</v>
      </c>
      <c r="H89" s="36"/>
      <c r="I89" s="89">
        <f>Standardwerte!$K$26*Investition_Basis!G89</f>
        <v>0</v>
      </c>
      <c r="J89" s="36"/>
      <c r="K89" s="89">
        <f>Standardwerte!$K$26*Investition_Basis!H89</f>
        <v>1670</v>
      </c>
      <c r="L89" s="36"/>
      <c r="M89" s="89">
        <f>Standardwerte!$K$26*Investition_Basis!I89</f>
        <v>2980</v>
      </c>
      <c r="N89" s="36"/>
      <c r="O89" s="89">
        <f>Standardwerte!$K$26*Investition_Basis!J89</f>
        <v>3480</v>
      </c>
      <c r="P89" s="36"/>
      <c r="Q89" s="89">
        <f>Standardwerte!$K$26*Investition_Basis!K89</f>
        <v>7500</v>
      </c>
      <c r="R89" s="36"/>
      <c r="S89" s="89">
        <f>Standardwerte!$K$26*Investition_Basis!L89</f>
        <v>13250</v>
      </c>
      <c r="T89" s="36"/>
      <c r="U89" s="89">
        <f>Standardwerte!$K$26*Investition_Basis!M89</f>
        <v>15000</v>
      </c>
      <c r="V89" s="36"/>
      <c r="W89" s="89">
        <f>Standardwerte!$K$26*Investition_Basis!N89</f>
        <v>21430</v>
      </c>
      <c r="X89" s="36"/>
      <c r="Y89" s="89">
        <f>Standardwerte!$K$26*Investition_Basis!O89</f>
        <v>0</v>
      </c>
      <c r="Z89" s="36"/>
      <c r="AA89" s="89">
        <f>Standardwerte!$K$26*Investition_Basis!P89</f>
        <v>0</v>
      </c>
      <c r="AB89" s="36"/>
      <c r="AC89" s="89">
        <f>Standardwerte!$K$26*Investition_Basis!Q89</f>
        <v>0</v>
      </c>
      <c r="AD89" s="36"/>
      <c r="AE89" s="89">
        <f>Standardwerte!$K$26*Investition_Basis!R89</f>
        <v>0</v>
      </c>
    </row>
    <row r="90" spans="1:31">
      <c r="A90" s="125"/>
      <c r="B90" s="305" t="s">
        <v>1244</v>
      </c>
      <c r="C90" s="126" t="str">
        <f ca="1">Sprache!$E$419</f>
        <v>Installation Starkstrom</v>
      </c>
      <c r="D90" s="134" t="str">
        <f ca="1">Sprache!E452</f>
        <v>Erschliessung Elektro und Anschlussbeiträge</v>
      </c>
      <c r="E90" s="134"/>
      <c r="F90" s="36"/>
      <c r="G90" s="89">
        <f>Standardwerte!$K$26*Investition_Basis!F90</f>
        <v>0</v>
      </c>
      <c r="H90" s="36"/>
      <c r="I90" s="89">
        <f>Standardwerte!$K$26*Investition_Basis!G90</f>
        <v>0</v>
      </c>
      <c r="J90" s="36"/>
      <c r="K90" s="89">
        <f>Standardwerte!$K$26*Investition_Basis!H90</f>
        <v>3750</v>
      </c>
      <c r="L90" s="36"/>
      <c r="M90" s="89">
        <f>Standardwerte!$K$26*Investition_Basis!I90</f>
        <v>4970</v>
      </c>
      <c r="N90" s="36"/>
      <c r="O90" s="89">
        <f>Standardwerte!$K$26*Investition_Basis!J90</f>
        <v>10940</v>
      </c>
      <c r="P90" s="36"/>
      <c r="Q90" s="89">
        <f>Standardwerte!$K$26*Investition_Basis!K90</f>
        <v>12780</v>
      </c>
      <c r="R90" s="36"/>
      <c r="S90" s="89">
        <f>Standardwerte!$K$26*Investition_Basis!L90</f>
        <v>22240</v>
      </c>
      <c r="T90" s="36"/>
      <c r="U90" s="89">
        <f>Standardwerte!$K$26*Investition_Basis!M90</f>
        <v>27500</v>
      </c>
      <c r="V90" s="36"/>
      <c r="W90" s="89">
        <f>Standardwerte!$K$26*Investition_Basis!N90</f>
        <v>39290</v>
      </c>
      <c r="X90" s="36"/>
      <c r="Y90" s="89">
        <f>Standardwerte!$K$26*Investition_Basis!O90</f>
        <v>0</v>
      </c>
      <c r="Z90" s="36"/>
      <c r="AA90" s="89">
        <f>Standardwerte!$K$26*Investition_Basis!P90</f>
        <v>0</v>
      </c>
      <c r="AB90" s="36"/>
      <c r="AC90" s="89">
        <f>Standardwerte!$K$26*Investition_Basis!Q90</f>
        <v>0</v>
      </c>
      <c r="AD90" s="36"/>
      <c r="AE90" s="89">
        <f>Standardwerte!$K$26*Investition_Basis!R90</f>
        <v>0</v>
      </c>
    </row>
    <row r="91" spans="1:31">
      <c r="A91" s="125"/>
      <c r="B91" s="305" t="s">
        <v>1215</v>
      </c>
      <c r="C91" s="126" t="str">
        <f ca="1">Sprache!$E$377</f>
        <v>Wärmeerzeugung</v>
      </c>
      <c r="D91" s="134" t="str">
        <f ca="1">Sprache!E453</f>
        <v>Hydraulische Einbindung</v>
      </c>
      <c r="E91" s="126"/>
      <c r="F91" s="36"/>
      <c r="G91" s="89">
        <f>Standardwerte!$K$26*Investition_Basis!F91</f>
        <v>0</v>
      </c>
      <c r="H91" s="36"/>
      <c r="I91" s="89">
        <f>Standardwerte!$K$26*Investition_Basis!G91</f>
        <v>0</v>
      </c>
      <c r="J91" s="36"/>
      <c r="K91" s="89">
        <f>Standardwerte!$K$26*Investition_Basis!H91</f>
        <v>3610</v>
      </c>
      <c r="L91" s="36"/>
      <c r="M91" s="89">
        <f>Standardwerte!$K$26*Investition_Basis!I91</f>
        <v>4480</v>
      </c>
      <c r="N91" s="36"/>
      <c r="O91" s="89">
        <f>Standardwerte!$K$26*Investition_Basis!J91</f>
        <v>7390</v>
      </c>
      <c r="P91" s="36"/>
      <c r="Q91" s="89">
        <f>Standardwerte!$K$26*Investition_Basis!K91</f>
        <v>8220</v>
      </c>
      <c r="R91" s="36"/>
      <c r="S91" s="89">
        <f>Standardwerte!$K$26*Investition_Basis!L91</f>
        <v>12540</v>
      </c>
      <c r="T91" s="36"/>
      <c r="U91" s="89">
        <f>Standardwerte!$K$26*Investition_Basis!M91</f>
        <v>15000</v>
      </c>
      <c r="V91" s="36"/>
      <c r="W91" s="89">
        <f>Standardwerte!$K$26*Investition_Basis!N91</f>
        <v>21430</v>
      </c>
      <c r="X91" s="36"/>
      <c r="Y91" s="89">
        <f>Standardwerte!$K$26*Investition_Basis!O91</f>
        <v>0</v>
      </c>
      <c r="Z91" s="36"/>
      <c r="AA91" s="89">
        <f>Standardwerte!$K$26*Investition_Basis!P91</f>
        <v>0</v>
      </c>
      <c r="AB91" s="36"/>
      <c r="AC91" s="89">
        <f>Standardwerte!$K$26*Investition_Basis!Q91</f>
        <v>0</v>
      </c>
      <c r="AD91" s="36"/>
      <c r="AE91" s="89">
        <f>Standardwerte!$K$26*Investition_Basis!R91</f>
        <v>0</v>
      </c>
    </row>
    <row r="92" spans="1:31">
      <c r="A92" s="125"/>
      <c r="B92" s="305" t="s">
        <v>1215</v>
      </c>
      <c r="C92" s="126" t="str">
        <f ca="1">Sprache!$E$377</f>
        <v>Wärmeerzeugung</v>
      </c>
      <c r="D92" s="134" t="str">
        <f ca="1">Sprache!E454</f>
        <v>Lüftungsanlage</v>
      </c>
      <c r="E92" s="126"/>
      <c r="F92" s="36"/>
      <c r="G92" s="89">
        <f>Standardwerte!$K$26*Investition_Basis!F92</f>
        <v>0</v>
      </c>
      <c r="H92" s="36"/>
      <c r="I92" s="89">
        <f>Standardwerte!$K$26*Investition_Basis!G92</f>
        <v>0</v>
      </c>
      <c r="J92" s="36"/>
      <c r="K92" s="89">
        <f>Standardwerte!$K$26*Investition_Basis!H92</f>
        <v>1040</v>
      </c>
      <c r="L92" s="36"/>
      <c r="M92" s="89">
        <f>Standardwerte!$K$26*Investition_Basis!I92</f>
        <v>1950</v>
      </c>
      <c r="N92" s="36"/>
      <c r="O92" s="89">
        <f>Standardwerte!$K$26*Investition_Basis!J92</f>
        <v>3240</v>
      </c>
      <c r="P92" s="36"/>
      <c r="Q92" s="89">
        <f>Standardwerte!$K$26*Investition_Basis!K92</f>
        <v>4330</v>
      </c>
      <c r="R92" s="36"/>
      <c r="S92" s="89">
        <f>Standardwerte!$K$26*Investition_Basis!L92</f>
        <v>6950</v>
      </c>
      <c r="T92" s="36"/>
      <c r="U92" s="89">
        <f>Standardwerte!$K$26*Investition_Basis!M92</f>
        <v>8000</v>
      </c>
      <c r="V92" s="36"/>
      <c r="W92" s="89">
        <f>Standardwerte!$K$26*Investition_Basis!N92</f>
        <v>11430</v>
      </c>
      <c r="X92" s="36"/>
      <c r="Y92" s="89">
        <f>Standardwerte!$K$26*Investition_Basis!O92</f>
        <v>0</v>
      </c>
      <c r="Z92" s="36"/>
      <c r="AA92" s="89">
        <f>Standardwerte!$K$26*Investition_Basis!P92</f>
        <v>0</v>
      </c>
      <c r="AB92" s="36"/>
      <c r="AC92" s="89">
        <f>Standardwerte!$K$26*Investition_Basis!Q92</f>
        <v>0</v>
      </c>
      <c r="AD92" s="36"/>
      <c r="AE92" s="89">
        <f>Standardwerte!$K$26*Investition_Basis!R92</f>
        <v>0</v>
      </c>
    </row>
    <row r="93" spans="1:31">
      <c r="A93" s="125"/>
      <c r="B93" s="307" t="s">
        <v>1215</v>
      </c>
      <c r="C93" s="126" t="str">
        <f ca="1">Sprache!$E$377</f>
        <v>Wärmeerzeugung</v>
      </c>
      <c r="D93" s="134" t="str">
        <f ca="1">Sprache!E455</f>
        <v>Kamin inkl. Bau &amp; Abgasreinigung</v>
      </c>
      <c r="E93" s="185"/>
      <c r="F93" s="36"/>
      <c r="G93" s="89">
        <f>Standardwerte!$K$26*Investition_Basis!F93</f>
        <v>0</v>
      </c>
      <c r="H93" s="36"/>
      <c r="I93" s="89">
        <f>Standardwerte!$K$26*Investition_Basis!G93</f>
        <v>0</v>
      </c>
      <c r="J93" s="36"/>
      <c r="K93" s="89">
        <f>Standardwerte!$K$26*Investition_Basis!H93</f>
        <v>2920</v>
      </c>
      <c r="L93" s="36"/>
      <c r="M93" s="89">
        <f>Standardwerte!$K$26*Investition_Basis!I93</f>
        <v>4560</v>
      </c>
      <c r="N93" s="36"/>
      <c r="O93" s="89">
        <f>Standardwerte!$K$26*Investition_Basis!J93</f>
        <v>7730</v>
      </c>
      <c r="P93" s="36"/>
      <c r="Q93" s="89">
        <f>Standardwerte!$K$26*Investition_Basis!K93</f>
        <v>9330</v>
      </c>
      <c r="R93" s="36"/>
      <c r="S93" s="89">
        <f>Standardwerte!$K$26*Investition_Basis!L93</f>
        <v>13250</v>
      </c>
      <c r="T93" s="36"/>
      <c r="U93" s="89">
        <f>Standardwerte!$K$26*Investition_Basis!M93</f>
        <v>15000</v>
      </c>
      <c r="V93" s="36"/>
      <c r="W93" s="89">
        <f>Standardwerte!$K$26*Investition_Basis!N93</f>
        <v>21430</v>
      </c>
      <c r="X93" s="36"/>
      <c r="Y93" s="89">
        <f>Standardwerte!$K$26*Investition_Basis!O93</f>
        <v>0</v>
      </c>
      <c r="Z93" s="36"/>
      <c r="AA93" s="89">
        <f>Standardwerte!$K$26*Investition_Basis!P93</f>
        <v>0</v>
      </c>
      <c r="AB93" s="36"/>
      <c r="AC93" s="89">
        <f>Standardwerte!$K$26*Investition_Basis!Q93</f>
        <v>0</v>
      </c>
      <c r="AD93" s="36"/>
      <c r="AE93" s="89">
        <f>Standardwerte!$K$26*Investition_Basis!R93</f>
        <v>0</v>
      </c>
    </row>
    <row r="94" spans="1:31">
      <c r="A94" s="125"/>
      <c r="B94" s="306" t="s">
        <v>1230</v>
      </c>
      <c r="C94" s="134" t="str">
        <f ca="1">Sprache!$E$438</f>
        <v>Lärmschutzmassnahmen</v>
      </c>
      <c r="D94" s="134" t="str">
        <f ca="1">Sprache!E456</f>
        <v>Lärmschutz</v>
      </c>
      <c r="E94" s="64"/>
      <c r="F94" s="392"/>
      <c r="G94" s="360">
        <f>Standardwerte!$K$26*Investition_Basis!F94</f>
        <v>0</v>
      </c>
      <c r="H94" s="392"/>
      <c r="I94" s="360">
        <f>Standardwerte!$K$26*Investition_Basis!G94</f>
        <v>0</v>
      </c>
      <c r="J94" s="392"/>
      <c r="K94" s="360">
        <f>Standardwerte!$K$26*Investition_Basis!H94</f>
        <v>830</v>
      </c>
      <c r="L94" s="392"/>
      <c r="M94" s="360">
        <f>Standardwerte!$K$26*Investition_Basis!I94</f>
        <v>1090</v>
      </c>
      <c r="N94" s="392"/>
      <c r="O94" s="360">
        <f>Standardwerte!$K$26*Investition_Basis!J94</f>
        <v>2440</v>
      </c>
      <c r="P94" s="392"/>
      <c r="Q94" s="360">
        <f>Standardwerte!$K$26*Investition_Basis!K94</f>
        <v>3000</v>
      </c>
      <c r="R94" s="392"/>
      <c r="S94" s="360">
        <f>Standardwerte!$K$26*Investition_Basis!L94</f>
        <v>4300</v>
      </c>
      <c r="T94" s="392"/>
      <c r="U94" s="360">
        <f>Standardwerte!$K$26*Investition_Basis!M94</f>
        <v>5000</v>
      </c>
      <c r="V94" s="392"/>
      <c r="W94" s="360">
        <f>Standardwerte!$K$26*Investition_Basis!N94</f>
        <v>7140</v>
      </c>
      <c r="X94" s="392"/>
      <c r="Y94" s="360">
        <f>Standardwerte!$K$26*Investition_Basis!O94</f>
        <v>0</v>
      </c>
      <c r="Z94" s="392"/>
      <c r="AA94" s="360">
        <f>Standardwerte!$K$26*Investition_Basis!P94</f>
        <v>0</v>
      </c>
      <c r="AB94" s="392"/>
      <c r="AC94" s="360">
        <f>Standardwerte!$K$26*Investition_Basis!Q94</f>
        <v>0</v>
      </c>
      <c r="AD94" s="392"/>
      <c r="AE94" s="360">
        <f>Standardwerte!$K$26*Investition_Basis!R94</f>
        <v>0</v>
      </c>
    </row>
    <row r="95" spans="1:31">
      <c r="A95" s="125"/>
      <c r="E95" s="64"/>
      <c r="F95" s="81"/>
      <c r="G95" s="68"/>
      <c r="H95" s="81"/>
      <c r="I95" s="68"/>
      <c r="J95" s="81"/>
      <c r="K95" s="68"/>
      <c r="L95" s="81"/>
      <c r="M95" s="68"/>
      <c r="N95" s="81"/>
      <c r="O95" s="68"/>
      <c r="P95" s="81"/>
      <c r="Q95" s="68"/>
      <c r="R95" s="81"/>
      <c r="S95" s="68"/>
      <c r="T95" s="81"/>
      <c r="U95" s="68"/>
      <c r="V95" s="81"/>
      <c r="W95" s="68"/>
      <c r="X95" s="81"/>
      <c r="Y95" s="68"/>
      <c r="Z95" s="81"/>
      <c r="AA95" s="68"/>
      <c r="AB95" s="81"/>
      <c r="AC95" s="68"/>
      <c r="AD95" s="81"/>
      <c r="AE95" s="68"/>
    </row>
    <row r="96" spans="1:31">
      <c r="A96" s="125"/>
      <c r="B96" s="125" t="str">
        <f ca="1">Sprache!E437</f>
        <v>Demontage</v>
      </c>
      <c r="E96" s="64"/>
      <c r="F96" s="81"/>
      <c r="G96" s="68"/>
      <c r="H96" s="81"/>
      <c r="I96" s="68"/>
      <c r="J96" s="81"/>
      <c r="K96" s="68"/>
      <c r="L96" s="81"/>
      <c r="M96" s="68"/>
      <c r="N96" s="81"/>
      <c r="O96" s="68"/>
      <c r="P96" s="81"/>
      <c r="Q96" s="68"/>
      <c r="R96" s="81"/>
      <c r="S96" s="68"/>
      <c r="T96" s="81"/>
      <c r="U96" s="68"/>
      <c r="V96" s="81"/>
      <c r="W96" s="68"/>
      <c r="X96" s="81"/>
      <c r="Y96" s="68"/>
      <c r="Z96" s="81"/>
      <c r="AA96" s="68"/>
      <c r="AB96" s="81"/>
      <c r="AC96" s="68"/>
      <c r="AD96" s="81"/>
      <c r="AE96" s="68"/>
    </row>
    <row r="97" spans="1:31">
      <c r="A97" s="125"/>
      <c r="B97" s="304" t="s">
        <v>1248</v>
      </c>
      <c r="C97" s="131" t="str">
        <f ca="1">Sprache!$E$416</f>
        <v>Rodung, Rückbau</v>
      </c>
      <c r="D97" s="131" t="str">
        <f ca="1">Sprache!E358</f>
        <v>Demontage bestehende Heizanlage</v>
      </c>
      <c r="E97" s="131" t="s">
        <v>1006</v>
      </c>
      <c r="F97" s="391"/>
      <c r="G97" s="358">
        <f>Standardwerte!$K$26*Investition_Basis!F97</f>
        <v>1050</v>
      </c>
      <c r="H97" s="391"/>
      <c r="I97" s="358">
        <f>Standardwerte!$K$26*Investition_Basis!G97</f>
        <v>1050</v>
      </c>
      <c r="J97" s="391"/>
      <c r="K97" s="358">
        <f>Standardwerte!$K$26*Investition_Basis!H97</f>
        <v>1100</v>
      </c>
      <c r="L97" s="391"/>
      <c r="M97" s="358">
        <f>Standardwerte!$K$26*Investition_Basis!I97</f>
        <v>1200</v>
      </c>
      <c r="N97" s="391"/>
      <c r="O97" s="358">
        <f>Standardwerte!$K$26*Investition_Basis!J97</f>
        <v>1700</v>
      </c>
      <c r="P97" s="391"/>
      <c r="Q97" s="358">
        <f>Standardwerte!$K$26*Investition_Basis!K97</f>
        <v>2000</v>
      </c>
      <c r="R97" s="391"/>
      <c r="S97" s="358">
        <f>Standardwerte!$K$26*Investition_Basis!L97</f>
        <v>3000</v>
      </c>
      <c r="T97" s="391"/>
      <c r="U97" s="358">
        <f>Standardwerte!$K$26*Investition_Basis!M97</f>
        <v>4500</v>
      </c>
      <c r="V97" s="391"/>
      <c r="W97" s="358">
        <f>Standardwerte!$K$26*Investition_Basis!N97</f>
        <v>6000</v>
      </c>
      <c r="X97" s="391"/>
      <c r="Y97" s="358">
        <f>Standardwerte!$K$26*Investition_Basis!O97</f>
        <v>8500</v>
      </c>
      <c r="Z97" s="391"/>
      <c r="AA97" s="358">
        <f>Standardwerte!$K$26*Investition_Basis!P97</f>
        <v>11000</v>
      </c>
      <c r="AB97" s="391"/>
      <c r="AC97" s="358">
        <f>Standardwerte!$K$26*Investition_Basis!Q97</f>
        <v>16000</v>
      </c>
      <c r="AD97" s="391"/>
      <c r="AE97" s="358">
        <f>Standardwerte!$K$26*Investition_Basis!R97</f>
        <v>21000</v>
      </c>
    </row>
    <row r="98" spans="1:31">
      <c r="A98" s="125"/>
      <c r="B98" s="82" t="s">
        <v>1248</v>
      </c>
      <c r="C98" s="64" t="str">
        <f ca="1">Sprache!$E$416</f>
        <v>Rodung, Rückbau</v>
      </c>
      <c r="D98" s="134" t="str">
        <f ca="1">Sprache!E359</f>
        <v>Demontage bestehendes Lager, inkl. Baumeister</v>
      </c>
      <c r="E98" s="134"/>
      <c r="F98" s="392"/>
      <c r="G98" s="360">
        <f>Standardwerte!$K$26*Investition_Basis!F98</f>
        <v>1400</v>
      </c>
      <c r="H98" s="392"/>
      <c r="I98" s="360">
        <f>Standardwerte!$K$26*Investition_Basis!G98</f>
        <v>1400</v>
      </c>
      <c r="J98" s="392"/>
      <c r="K98" s="360">
        <f>Standardwerte!$K$26*Investition_Basis!H98</f>
        <v>1600</v>
      </c>
      <c r="L98" s="392"/>
      <c r="M98" s="360">
        <f>Standardwerte!$K$26*Investition_Basis!I98</f>
        <v>2000</v>
      </c>
      <c r="N98" s="392"/>
      <c r="O98" s="360">
        <f>Standardwerte!$K$26*Investition_Basis!J98</f>
        <v>3300</v>
      </c>
      <c r="P98" s="392"/>
      <c r="Q98" s="360">
        <f>Standardwerte!$K$26*Investition_Basis!K98</f>
        <v>4200</v>
      </c>
      <c r="R98" s="392"/>
      <c r="S98" s="360">
        <f>Standardwerte!$K$26*Investition_Basis!L98</f>
        <v>6200</v>
      </c>
      <c r="T98" s="392"/>
      <c r="U98" s="360">
        <f>Standardwerte!$K$26*Investition_Basis!M98</f>
        <v>8200</v>
      </c>
      <c r="V98" s="392"/>
      <c r="W98" s="360">
        <f>Standardwerte!$K$26*Investition_Basis!N98</f>
        <v>11200</v>
      </c>
      <c r="X98" s="392"/>
      <c r="Y98" s="360">
        <f>Standardwerte!$K$26*Investition_Basis!O98</f>
        <v>16200</v>
      </c>
      <c r="Z98" s="392"/>
      <c r="AA98" s="360">
        <f>Standardwerte!$K$26*Investition_Basis!P98</f>
        <v>21200</v>
      </c>
      <c r="AB98" s="392"/>
      <c r="AC98" s="360">
        <f>Standardwerte!$K$26*Investition_Basis!Q98</f>
        <v>31200</v>
      </c>
      <c r="AD98" s="392"/>
      <c r="AE98" s="360">
        <f>Standardwerte!$K$26*Investition_Basis!R98</f>
        <v>41200</v>
      </c>
    </row>
    <row r="99" spans="1:31">
      <c r="A99" s="125"/>
      <c r="E99" s="64"/>
      <c r="F99" s="81"/>
      <c r="G99" s="68"/>
      <c r="H99" s="81"/>
      <c r="I99" s="68"/>
      <c r="J99" s="81"/>
      <c r="K99" s="68"/>
      <c r="L99" s="81"/>
      <c r="M99" s="68"/>
      <c r="N99" s="81"/>
      <c r="O99" s="68"/>
      <c r="P99" s="81"/>
      <c r="Q99" s="68"/>
      <c r="R99" s="81"/>
      <c r="S99" s="68"/>
      <c r="T99" s="81"/>
      <c r="U99" s="68"/>
      <c r="V99" s="81"/>
      <c r="W99" s="68"/>
      <c r="X99" s="81"/>
      <c r="Y99" s="68"/>
      <c r="Z99" s="81"/>
      <c r="AA99" s="68"/>
      <c r="AB99" s="81"/>
      <c r="AC99" s="68"/>
      <c r="AD99" s="81"/>
      <c r="AE99" s="68"/>
    </row>
    <row r="100" spans="1:31">
      <c r="A100" s="125"/>
      <c r="B100" s="125" t="str">
        <f ca="1">Sprache!E439</f>
        <v>Weitere gebäudetechnische Installationen</v>
      </c>
      <c r="E100" s="64"/>
      <c r="F100" s="81"/>
      <c r="G100" s="68"/>
      <c r="H100" s="81"/>
      <c r="I100" s="68"/>
      <c r="J100" s="81"/>
      <c r="K100" s="68"/>
      <c r="L100" s="81"/>
      <c r="M100" s="68"/>
      <c r="N100" s="81"/>
      <c r="O100" s="68"/>
      <c r="P100" s="81"/>
      <c r="Q100" s="68"/>
      <c r="R100" s="81"/>
      <c r="S100" s="68"/>
      <c r="T100" s="81"/>
      <c r="U100" s="68"/>
      <c r="V100" s="81"/>
      <c r="W100" s="68"/>
      <c r="X100" s="81"/>
      <c r="Y100" s="68"/>
      <c r="Z100" s="81"/>
      <c r="AA100" s="68"/>
      <c r="AB100" s="81"/>
      <c r="AC100" s="68"/>
      <c r="AD100" s="81"/>
      <c r="AE100" s="68"/>
    </row>
    <row r="101" spans="1:31">
      <c r="A101" s="125"/>
      <c r="B101" s="304" t="s">
        <v>1225</v>
      </c>
      <c r="C101" s="126" t="str">
        <f ca="1">Sprache!$E$425</f>
        <v>Wasserspeicher</v>
      </c>
      <c r="D101" s="131" t="str">
        <f ca="1">Sprache!E360</f>
        <v>Warmwassererzeugung, inkl. Elektro, Sanitär</v>
      </c>
      <c r="E101" s="131" t="s">
        <v>1006</v>
      </c>
      <c r="F101" s="391"/>
      <c r="G101" s="358">
        <f>Standardwerte!$K$26*Investition_Basis!F101</f>
        <v>3500</v>
      </c>
      <c r="H101" s="391"/>
      <c r="I101" s="358">
        <f>Standardwerte!$K$26*Investition_Basis!G101</f>
        <v>3500</v>
      </c>
      <c r="J101" s="391"/>
      <c r="K101" s="358">
        <f>Standardwerte!$K$26*Investition_Basis!H101</f>
        <v>3500</v>
      </c>
      <c r="L101" s="391"/>
      <c r="M101" s="358">
        <f>Standardwerte!$K$26*Investition_Basis!I101</f>
        <v>4000</v>
      </c>
      <c r="N101" s="391"/>
      <c r="O101" s="358">
        <f>Standardwerte!$K$26*Investition_Basis!J101</f>
        <v>14000</v>
      </c>
      <c r="P101" s="391"/>
      <c r="Q101" s="358">
        <f>Standardwerte!$K$26*Investition_Basis!K101</f>
        <v>20000</v>
      </c>
      <c r="R101" s="391"/>
      <c r="S101" s="358">
        <f>Standardwerte!$K$26*Investition_Basis!L101</f>
        <v>40000</v>
      </c>
      <c r="T101" s="391"/>
      <c r="U101" s="358">
        <f>Standardwerte!$K$26*Investition_Basis!M101</f>
        <v>70000</v>
      </c>
      <c r="V101" s="391"/>
      <c r="W101" s="358">
        <f>Standardwerte!$K$26*Investition_Basis!N101</f>
        <v>100000</v>
      </c>
      <c r="X101" s="391"/>
      <c r="Y101" s="358">
        <f>Standardwerte!$K$26*Investition_Basis!O101</f>
        <v>150000</v>
      </c>
      <c r="Z101" s="391"/>
      <c r="AA101" s="358">
        <f>Standardwerte!$K$26*Investition_Basis!P101</f>
        <v>200000</v>
      </c>
      <c r="AB101" s="391"/>
      <c r="AC101" s="358">
        <f>Standardwerte!$K$26*Investition_Basis!Q101</f>
        <v>300000</v>
      </c>
      <c r="AD101" s="391"/>
      <c r="AE101" s="358">
        <f>Standardwerte!$K$26*Investition_Basis!R101</f>
        <v>400000</v>
      </c>
    </row>
    <row r="102" spans="1:31">
      <c r="A102" s="125"/>
      <c r="B102" s="304" t="s">
        <v>1225</v>
      </c>
      <c r="C102" s="126" t="str">
        <f ca="1">Sprache!$E$425</f>
        <v>Wasserspeicher</v>
      </c>
      <c r="D102" s="131" t="str">
        <f ca="1">Sprache!E361</f>
        <v>WP-Wassererwärmer, inkl. Elektro, Sanitär</v>
      </c>
      <c r="E102" s="126" t="s">
        <v>1006</v>
      </c>
      <c r="F102" s="36"/>
      <c r="G102" s="89">
        <f>Standardwerte!$K$26*Investition_Basis!F102</f>
        <v>6000</v>
      </c>
      <c r="H102" s="36"/>
      <c r="I102" s="89">
        <f>Standardwerte!$K$26*Investition_Basis!G102</f>
        <v>6000</v>
      </c>
      <c r="J102" s="36"/>
      <c r="K102" s="89">
        <f>Standardwerte!$K$26*Investition_Basis!H102</f>
        <v>7000</v>
      </c>
      <c r="L102" s="36"/>
      <c r="M102" s="89">
        <f>Standardwerte!$K$26*Investition_Basis!I102</f>
        <v>10000</v>
      </c>
      <c r="N102" s="36"/>
      <c r="O102" s="89">
        <f>Standardwerte!$K$26*Investition_Basis!J102</f>
        <v>35000</v>
      </c>
      <c r="P102" s="36"/>
      <c r="Q102" s="89">
        <f>Standardwerte!$K$26*Investition_Basis!K102</f>
        <v>50000</v>
      </c>
      <c r="R102" s="36"/>
      <c r="S102" s="89">
        <f>Standardwerte!$K$26*Investition_Basis!L102</f>
        <v>100000</v>
      </c>
      <c r="T102" s="36"/>
      <c r="U102" s="89">
        <f>Standardwerte!$K$26*Investition_Basis!M102</f>
        <v>175000</v>
      </c>
      <c r="V102" s="36"/>
      <c r="W102" s="89">
        <f>Standardwerte!$K$26*Investition_Basis!N102</f>
        <v>250000</v>
      </c>
      <c r="X102" s="36"/>
      <c r="Y102" s="89">
        <f>Standardwerte!$K$26*Investition_Basis!O102</f>
        <v>375000</v>
      </c>
      <c r="Z102" s="36"/>
      <c r="AA102" s="89">
        <f>Standardwerte!$K$26*Investition_Basis!P102</f>
        <v>500000</v>
      </c>
      <c r="AB102" s="36"/>
      <c r="AC102" s="89">
        <f>Standardwerte!$K$26*Investition_Basis!Q102</f>
        <v>750000</v>
      </c>
      <c r="AD102" s="36"/>
      <c r="AE102" s="89">
        <f>Standardwerte!$K$26*Investition_Basis!R102</f>
        <v>1000000</v>
      </c>
    </row>
    <row r="103" spans="1:31">
      <c r="A103" s="125"/>
      <c r="B103" s="305" t="s">
        <v>1219</v>
      </c>
      <c r="C103" s="126" t="str">
        <f ca="1">Sprache!E423</f>
        <v>Wärmeverteilung</v>
      </c>
      <c r="D103" s="131" t="str">
        <f ca="1">Sprache!E362</f>
        <v>Heizverteiler, inkl. Unterstationen ab 200 kW</v>
      </c>
      <c r="E103" s="126" t="s">
        <v>1006</v>
      </c>
      <c r="F103" s="36"/>
      <c r="G103" s="89">
        <f>Standardwerte!$K$26*Investition_Basis!F103</f>
        <v>0</v>
      </c>
      <c r="H103" s="36"/>
      <c r="I103" s="89">
        <f>Standardwerte!$K$26*Investition_Basis!G103</f>
        <v>0</v>
      </c>
      <c r="J103" s="36"/>
      <c r="K103" s="89">
        <f>Standardwerte!$K$26*Investition_Basis!H103</f>
        <v>0</v>
      </c>
      <c r="L103" s="36"/>
      <c r="M103" s="89">
        <f>Standardwerte!$K$26*Investition_Basis!I103</f>
        <v>4000</v>
      </c>
      <c r="N103" s="36"/>
      <c r="O103" s="89">
        <f>Standardwerte!$K$26*Investition_Basis!J103</f>
        <v>11200</v>
      </c>
      <c r="P103" s="36"/>
      <c r="Q103" s="89">
        <f>Standardwerte!$K$26*Investition_Basis!K103</f>
        <v>16000</v>
      </c>
      <c r="R103" s="36"/>
      <c r="S103" s="89">
        <f>Standardwerte!$K$26*Investition_Basis!L103</f>
        <v>32000</v>
      </c>
      <c r="T103" s="36"/>
      <c r="U103" s="89">
        <f>Standardwerte!$K$26*Investition_Basis!M103</f>
        <v>56000</v>
      </c>
      <c r="V103" s="36"/>
      <c r="W103" s="89">
        <f>Standardwerte!$K$26*Investition_Basis!N103</f>
        <v>80000</v>
      </c>
      <c r="X103" s="36"/>
      <c r="Y103" s="89">
        <f>Standardwerte!$K$26*Investition_Basis!O103</f>
        <v>120000</v>
      </c>
      <c r="Z103" s="36"/>
      <c r="AA103" s="89">
        <f>Standardwerte!$K$26*Investition_Basis!P103</f>
        <v>160000</v>
      </c>
      <c r="AB103" s="36"/>
      <c r="AC103" s="89">
        <f>Standardwerte!$K$26*Investition_Basis!Q103</f>
        <v>240000</v>
      </c>
      <c r="AD103" s="36"/>
      <c r="AE103" s="89">
        <f>Standardwerte!$K$26*Investition_Basis!R103</f>
        <v>320000</v>
      </c>
    </row>
    <row r="104" spans="1:31">
      <c r="A104" s="125"/>
      <c r="B104" s="305" t="s">
        <v>1219</v>
      </c>
      <c r="C104" s="126" t="str">
        <f ca="1">Sprache!E424</f>
        <v>Wärmeabgabe</v>
      </c>
      <c r="D104" s="131" t="str">
        <f ca="1">Sprache!E363</f>
        <v>Verteilleitungen</v>
      </c>
      <c r="E104" s="126" t="s">
        <v>1006</v>
      </c>
      <c r="F104" s="36"/>
      <c r="G104" s="89">
        <f>Standardwerte!$K$26*Investition_Basis!F104</f>
        <v>5000</v>
      </c>
      <c r="H104" s="36"/>
      <c r="I104" s="89">
        <f>Standardwerte!$K$26*Investition_Basis!G104</f>
        <v>5000</v>
      </c>
      <c r="J104" s="36"/>
      <c r="K104" s="89">
        <f>Standardwerte!$K$26*Investition_Basis!H104</f>
        <v>10000</v>
      </c>
      <c r="L104" s="36"/>
      <c r="M104" s="89">
        <f>Standardwerte!$K$26*Investition_Basis!I104</f>
        <v>20000</v>
      </c>
      <c r="N104" s="36"/>
      <c r="O104" s="89">
        <f>Standardwerte!$K$26*Investition_Basis!J104</f>
        <v>70000</v>
      </c>
      <c r="P104" s="36"/>
      <c r="Q104" s="89">
        <f>Standardwerte!$K$26*Investition_Basis!K104</f>
        <v>100000</v>
      </c>
      <c r="R104" s="36"/>
      <c r="S104" s="89">
        <f>Standardwerte!$K$26*Investition_Basis!L104</f>
        <v>200000</v>
      </c>
      <c r="T104" s="36"/>
      <c r="U104" s="89">
        <f>Standardwerte!$K$26*Investition_Basis!M104</f>
        <v>350000</v>
      </c>
      <c r="V104" s="36"/>
      <c r="W104" s="89">
        <f>Standardwerte!$K$26*Investition_Basis!N104</f>
        <v>500000</v>
      </c>
      <c r="X104" s="36"/>
      <c r="Y104" s="89">
        <f>Standardwerte!$K$26*Investition_Basis!O104</f>
        <v>750000</v>
      </c>
      <c r="Z104" s="36"/>
      <c r="AA104" s="89">
        <f>Standardwerte!$K$26*Investition_Basis!P104</f>
        <v>1000000</v>
      </c>
      <c r="AB104" s="36"/>
      <c r="AC104" s="89">
        <f>Standardwerte!$K$26*Investition_Basis!Q104</f>
        <v>1500000</v>
      </c>
      <c r="AD104" s="36"/>
      <c r="AE104" s="89">
        <f>Standardwerte!$K$26*Investition_Basis!R104</f>
        <v>2000000</v>
      </c>
    </row>
    <row r="105" spans="1:31">
      <c r="A105" s="125"/>
      <c r="B105" s="305" t="s">
        <v>1226</v>
      </c>
      <c r="C105" s="126" t="str">
        <f ca="1">Sprache!E364</f>
        <v>Wärmeabgabe</v>
      </c>
      <c r="D105" s="131" t="str">
        <f ca="1">Sprache!E364</f>
        <v>Wärmeabgabe</v>
      </c>
      <c r="E105" s="126" t="s">
        <v>1006</v>
      </c>
      <c r="F105" s="36"/>
      <c r="G105" s="89">
        <f>Standardwerte!$K$26*Investition_Basis!F105</f>
        <v>10000</v>
      </c>
      <c r="H105" s="36"/>
      <c r="I105" s="89">
        <f>Standardwerte!$K$26*Investition_Basis!G105</f>
        <v>10000</v>
      </c>
      <c r="J105" s="36"/>
      <c r="K105" s="89">
        <f>Standardwerte!$K$26*Investition_Basis!H105</f>
        <v>20000</v>
      </c>
      <c r="L105" s="36"/>
      <c r="M105" s="89">
        <f>Standardwerte!$K$26*Investition_Basis!I105</f>
        <v>40000</v>
      </c>
      <c r="N105" s="36"/>
      <c r="O105" s="89">
        <f>Standardwerte!$K$26*Investition_Basis!J105</f>
        <v>140000</v>
      </c>
      <c r="P105" s="36"/>
      <c r="Q105" s="89">
        <f>Standardwerte!$K$26*Investition_Basis!K105</f>
        <v>200000</v>
      </c>
      <c r="R105" s="36"/>
      <c r="S105" s="89">
        <f>Standardwerte!$K$26*Investition_Basis!L105</f>
        <v>400000</v>
      </c>
      <c r="T105" s="36"/>
      <c r="U105" s="89">
        <f>Standardwerte!$K$26*Investition_Basis!M105</f>
        <v>700000</v>
      </c>
      <c r="V105" s="36"/>
      <c r="W105" s="89">
        <f>Standardwerte!$K$26*Investition_Basis!N105</f>
        <v>1000000</v>
      </c>
      <c r="X105" s="36"/>
      <c r="Y105" s="89">
        <f>Standardwerte!$K$26*Investition_Basis!O105</f>
        <v>1500000</v>
      </c>
      <c r="Z105" s="36"/>
      <c r="AA105" s="89">
        <f>Standardwerte!$K$26*Investition_Basis!P105</f>
        <v>2000000</v>
      </c>
      <c r="AB105" s="36"/>
      <c r="AC105" s="89">
        <f>Standardwerte!$K$26*Investition_Basis!Q105</f>
        <v>3000000</v>
      </c>
      <c r="AD105" s="36"/>
      <c r="AE105" s="89">
        <f>Standardwerte!$K$26*Investition_Basis!R105</f>
        <v>4000000</v>
      </c>
    </row>
    <row r="106" spans="1:31">
      <c r="A106" s="125"/>
      <c r="B106" s="305" t="s">
        <v>1228</v>
      </c>
      <c r="C106" s="126" t="str">
        <f ca="1">Sprache!$E$420</f>
        <v>Gebäudeautomation</v>
      </c>
      <c r="D106" s="131" t="str">
        <f ca="1">Sprache!E365</f>
        <v>Feldgeräte und Schaltgerätekombination</v>
      </c>
      <c r="E106" s="126" t="s">
        <v>1006</v>
      </c>
      <c r="F106" s="36"/>
      <c r="G106" s="89">
        <f>Standardwerte!$K$26*Investition_Basis!F106</f>
        <v>0</v>
      </c>
      <c r="H106" s="36"/>
      <c r="I106" s="89">
        <f>Standardwerte!$K$26*Investition_Basis!G106</f>
        <v>0</v>
      </c>
      <c r="J106" s="36"/>
      <c r="K106" s="89">
        <f>Standardwerte!$K$26*Investition_Basis!H106</f>
        <v>0</v>
      </c>
      <c r="L106" s="36"/>
      <c r="M106" s="89">
        <f>Standardwerte!$K$26*Investition_Basis!I106</f>
        <v>0</v>
      </c>
      <c r="N106" s="36"/>
      <c r="O106" s="89">
        <f>Standardwerte!$K$26*Investition_Basis!J106</f>
        <v>0</v>
      </c>
      <c r="P106" s="36"/>
      <c r="Q106" s="89">
        <f>Standardwerte!$K$26*Investition_Basis!K106</f>
        <v>0</v>
      </c>
      <c r="R106" s="36"/>
      <c r="S106" s="89">
        <f>Standardwerte!$K$26*Investition_Basis!L106</f>
        <v>15000</v>
      </c>
      <c r="T106" s="36"/>
      <c r="U106" s="89">
        <f>Standardwerte!$K$26*Investition_Basis!M106</f>
        <v>20000</v>
      </c>
      <c r="V106" s="36"/>
      <c r="W106" s="89">
        <f>Standardwerte!$K$26*Investition_Basis!N106</f>
        <v>25000</v>
      </c>
      <c r="X106" s="36"/>
      <c r="Y106" s="89">
        <f>Standardwerte!$K$26*Investition_Basis!O106</f>
        <v>30000</v>
      </c>
      <c r="Z106" s="36"/>
      <c r="AA106" s="89">
        <f>Standardwerte!$K$26*Investition_Basis!P106</f>
        <v>35000</v>
      </c>
      <c r="AB106" s="36"/>
      <c r="AC106" s="89">
        <f>Standardwerte!$K$26*Investition_Basis!Q106</f>
        <v>45000</v>
      </c>
      <c r="AD106" s="36"/>
      <c r="AE106" s="89">
        <f>Standardwerte!$K$26*Investition_Basis!R106</f>
        <v>55000</v>
      </c>
    </row>
    <row r="107" spans="1:31">
      <c r="A107" s="125"/>
      <c r="B107" s="305" t="s">
        <v>1228</v>
      </c>
      <c r="C107" s="126" t="str">
        <f ca="1">Sprache!$E$420</f>
        <v>Gebäudeautomation</v>
      </c>
      <c r="D107" s="131" t="str">
        <f ca="1">Sprache!E366</f>
        <v>Elektromessgeräte</v>
      </c>
      <c r="E107" s="126" t="s">
        <v>1006</v>
      </c>
      <c r="F107" s="36"/>
      <c r="G107" s="89">
        <f>Standardwerte!$K$26*Investition_Basis!F107</f>
        <v>500</v>
      </c>
      <c r="H107" s="36"/>
      <c r="I107" s="89">
        <f>Standardwerte!$K$26*Investition_Basis!G107</f>
        <v>500</v>
      </c>
      <c r="J107" s="36"/>
      <c r="K107" s="89">
        <f>Standardwerte!$K$26*Investition_Basis!H107</f>
        <v>500</v>
      </c>
      <c r="L107" s="36"/>
      <c r="M107" s="89">
        <f>Standardwerte!$K$26*Investition_Basis!I107</f>
        <v>800</v>
      </c>
      <c r="N107" s="36"/>
      <c r="O107" s="89">
        <f>Standardwerte!$K$26*Investition_Basis!J107</f>
        <v>800</v>
      </c>
      <c r="P107" s="36"/>
      <c r="Q107" s="89">
        <f>Standardwerte!$K$26*Investition_Basis!K107</f>
        <v>1200</v>
      </c>
      <c r="R107" s="36"/>
      <c r="S107" s="89">
        <f>Standardwerte!$K$26*Investition_Basis!L107</f>
        <v>1200</v>
      </c>
      <c r="T107" s="36"/>
      <c r="U107" s="89">
        <f>Standardwerte!$K$26*Investition_Basis!M107</f>
        <v>1500</v>
      </c>
      <c r="V107" s="36"/>
      <c r="W107" s="89">
        <f>Standardwerte!$K$26*Investition_Basis!N107</f>
        <v>1500</v>
      </c>
      <c r="X107" s="36"/>
      <c r="Y107" s="89">
        <f>Standardwerte!$K$26*Investition_Basis!O107</f>
        <v>2000</v>
      </c>
      <c r="Z107" s="36"/>
      <c r="AA107" s="89">
        <f>Standardwerte!$K$26*Investition_Basis!P107</f>
        <v>2000</v>
      </c>
      <c r="AB107" s="36"/>
      <c r="AC107" s="89">
        <f>Standardwerte!$K$26*Investition_Basis!Q107</f>
        <v>2000</v>
      </c>
      <c r="AD107" s="36"/>
      <c r="AE107" s="89">
        <f>Standardwerte!$K$26*Investition_Basis!R107</f>
        <v>2000</v>
      </c>
    </row>
    <row r="108" spans="1:31">
      <c r="A108" s="125"/>
      <c r="B108" s="305" t="s">
        <v>1228</v>
      </c>
      <c r="C108" s="126" t="str">
        <f ca="1">Sprache!$E$420</f>
        <v>Gebäudeautomation</v>
      </c>
      <c r="D108" s="131" t="str">
        <f ca="1">Sprache!E367</f>
        <v>Volumenmessgeräte</v>
      </c>
      <c r="E108" s="126" t="s">
        <v>1006</v>
      </c>
      <c r="F108" s="36"/>
      <c r="G108" s="89">
        <f>Standardwerte!$K$26*Investition_Basis!F108</f>
        <v>750</v>
      </c>
      <c r="H108" s="36"/>
      <c r="I108" s="89">
        <f>Standardwerte!$K$26*Investition_Basis!G108</f>
        <v>750</v>
      </c>
      <c r="J108" s="36"/>
      <c r="K108" s="89">
        <f>Standardwerte!$K$26*Investition_Basis!H108</f>
        <v>1000</v>
      </c>
      <c r="L108" s="36"/>
      <c r="M108" s="89">
        <f>Standardwerte!$K$26*Investition_Basis!I108</f>
        <v>1500</v>
      </c>
      <c r="N108" s="36"/>
      <c r="O108" s="89">
        <f>Standardwerte!$K$26*Investition_Basis!J108</f>
        <v>2500</v>
      </c>
      <c r="P108" s="36"/>
      <c r="Q108" s="89">
        <f>Standardwerte!$K$26*Investition_Basis!K108</f>
        <v>3000</v>
      </c>
      <c r="R108" s="36"/>
      <c r="S108" s="89">
        <f>Standardwerte!$K$26*Investition_Basis!L108</f>
        <v>4000</v>
      </c>
      <c r="T108" s="36"/>
      <c r="U108" s="89">
        <f>Standardwerte!$K$26*Investition_Basis!M108</f>
        <v>5000</v>
      </c>
      <c r="V108" s="36"/>
      <c r="W108" s="89">
        <f>Standardwerte!$K$26*Investition_Basis!N108</f>
        <v>6000</v>
      </c>
      <c r="X108" s="36"/>
      <c r="Y108" s="89">
        <f>Standardwerte!$K$26*Investition_Basis!O108</f>
        <v>7000</v>
      </c>
      <c r="Z108" s="36"/>
      <c r="AA108" s="89">
        <f>Standardwerte!$K$26*Investition_Basis!P108</f>
        <v>8000</v>
      </c>
      <c r="AB108" s="36"/>
      <c r="AC108" s="89">
        <f>Standardwerte!$K$26*Investition_Basis!Q108</f>
        <v>12000</v>
      </c>
      <c r="AD108" s="36"/>
      <c r="AE108" s="89">
        <f>Standardwerte!$K$26*Investition_Basis!R108</f>
        <v>15000</v>
      </c>
    </row>
    <row r="109" spans="1:31">
      <c r="A109" s="125"/>
      <c r="B109" s="305" t="s">
        <v>1228</v>
      </c>
      <c r="C109" s="126" t="str">
        <f ca="1">Sprache!$E$420</f>
        <v>Gebäudeautomation</v>
      </c>
      <c r="D109" s="131" t="str">
        <f ca="1">Sprache!E368</f>
        <v>Vernetzung</v>
      </c>
      <c r="E109" s="126" t="s">
        <v>1006</v>
      </c>
      <c r="F109" s="36"/>
      <c r="G109" s="89">
        <f>Standardwerte!$K$26*Investition_Basis!F109</f>
        <v>1000</v>
      </c>
      <c r="H109" s="36"/>
      <c r="I109" s="89">
        <f>Standardwerte!$K$26*Investition_Basis!G109</f>
        <v>1000</v>
      </c>
      <c r="J109" s="36"/>
      <c r="K109" s="89">
        <f>Standardwerte!$K$26*Investition_Basis!H109</f>
        <v>1500</v>
      </c>
      <c r="L109" s="36"/>
      <c r="M109" s="89">
        <f>Standardwerte!$K$26*Investition_Basis!I109</f>
        <v>1500</v>
      </c>
      <c r="N109" s="36"/>
      <c r="O109" s="89">
        <f>Standardwerte!$K$26*Investition_Basis!J109</f>
        <v>2000</v>
      </c>
      <c r="P109" s="36"/>
      <c r="Q109" s="89">
        <f>Standardwerte!$K$26*Investition_Basis!K109</f>
        <v>2500</v>
      </c>
      <c r="R109" s="36"/>
      <c r="S109" s="89">
        <f>Standardwerte!$K$26*Investition_Basis!L109</f>
        <v>3000</v>
      </c>
      <c r="T109" s="36"/>
      <c r="U109" s="89">
        <f>Standardwerte!$K$26*Investition_Basis!M109</f>
        <v>3000</v>
      </c>
      <c r="V109" s="36"/>
      <c r="W109" s="89">
        <f>Standardwerte!$K$26*Investition_Basis!N109</f>
        <v>3000</v>
      </c>
      <c r="X109" s="36"/>
      <c r="Y109" s="89">
        <f>Standardwerte!$K$26*Investition_Basis!O109</f>
        <v>3000</v>
      </c>
      <c r="Z109" s="36"/>
      <c r="AA109" s="89">
        <f>Standardwerte!$K$26*Investition_Basis!P109</f>
        <v>3000</v>
      </c>
      <c r="AB109" s="36"/>
      <c r="AC109" s="89">
        <f>Standardwerte!$K$26*Investition_Basis!Q109</f>
        <v>3000</v>
      </c>
      <c r="AD109" s="36"/>
      <c r="AE109" s="89">
        <f>Standardwerte!$K$26*Investition_Basis!R109</f>
        <v>3000</v>
      </c>
    </row>
    <row r="110" spans="1:31">
      <c r="A110" s="125"/>
      <c r="B110" s="306" t="s">
        <v>1228</v>
      </c>
      <c r="C110" s="297" t="str">
        <f ca="1">Sprache!$E$420</f>
        <v>Gebäudeautomation</v>
      </c>
      <c r="D110" s="64" t="str">
        <f ca="1">Sprache!E369</f>
        <v>Gross-Wärmepumpen (Evac., Exschutz, BMA)</v>
      </c>
      <c r="E110" s="134"/>
      <c r="F110" s="392"/>
      <c r="G110" s="360">
        <f>Standardwerte!$K$26*Investition_Basis!F110</f>
        <v>0</v>
      </c>
      <c r="H110" s="392"/>
      <c r="I110" s="360">
        <f>Standardwerte!$K$26*Investition_Basis!G110</f>
        <v>0</v>
      </c>
      <c r="J110" s="392"/>
      <c r="K110" s="360">
        <f>Standardwerte!$K$26*Investition_Basis!H110</f>
        <v>0</v>
      </c>
      <c r="L110" s="392"/>
      <c r="M110" s="360">
        <f>Standardwerte!$K$26*Investition_Basis!I110</f>
        <v>0</v>
      </c>
      <c r="N110" s="392"/>
      <c r="O110" s="360">
        <f>Standardwerte!$K$26*Investition_Basis!J110</f>
        <v>0</v>
      </c>
      <c r="P110" s="392"/>
      <c r="Q110" s="360">
        <f>Standardwerte!$K$26*Investition_Basis!K110</f>
        <v>0</v>
      </c>
      <c r="R110" s="392"/>
      <c r="S110" s="360">
        <f>Standardwerte!$K$26*Investition_Basis!L110</f>
        <v>0</v>
      </c>
      <c r="T110" s="392"/>
      <c r="U110" s="360">
        <f>Standardwerte!$K$26*Investition_Basis!M110</f>
        <v>0</v>
      </c>
      <c r="V110" s="392"/>
      <c r="W110" s="360">
        <f>Standardwerte!$K$26*Investition_Basis!N110</f>
        <v>0</v>
      </c>
      <c r="X110" s="392"/>
      <c r="Y110" s="360">
        <f>Standardwerte!$K$26*Investition_Basis!O110</f>
        <v>0</v>
      </c>
      <c r="Z110" s="392"/>
      <c r="AA110" s="360">
        <f>Standardwerte!$K$26*Investition_Basis!P110</f>
        <v>0</v>
      </c>
      <c r="AB110" s="392"/>
      <c r="AC110" s="360">
        <f>Standardwerte!$K$26*Investition_Basis!Q110</f>
        <v>0</v>
      </c>
      <c r="AD110" s="392"/>
      <c r="AE110" s="360">
        <f>Standardwerte!$K$26*Investition_Basis!R110</f>
        <v>0</v>
      </c>
    </row>
    <row r="111" spans="1:31">
      <c r="A111" s="125"/>
      <c r="E111" s="64"/>
      <c r="F111" s="81"/>
      <c r="G111" s="68"/>
      <c r="H111" s="81"/>
      <c r="I111" s="68"/>
      <c r="J111" s="81"/>
      <c r="K111" s="68"/>
      <c r="L111" s="81"/>
      <c r="M111" s="68"/>
      <c r="N111" s="81"/>
      <c r="O111" s="68"/>
      <c r="P111" s="81"/>
      <c r="Q111" s="68"/>
      <c r="R111" s="81"/>
      <c r="S111" s="68"/>
      <c r="T111" s="81"/>
      <c r="U111" s="68"/>
      <c r="V111" s="81"/>
      <c r="W111" s="68"/>
      <c r="X111" s="81"/>
      <c r="Y111" s="68"/>
      <c r="Z111" s="81"/>
      <c r="AA111" s="68"/>
      <c r="AB111" s="81"/>
      <c r="AC111" s="68"/>
      <c r="AD111" s="81"/>
      <c r="AE111" s="68"/>
    </row>
    <row r="112" spans="1:31">
      <c r="A112" s="125"/>
      <c r="B112" s="125" t="str">
        <f ca="1">Sprache!E387</f>
        <v>Bauseitige Arbeiten</v>
      </c>
      <c r="E112" s="64"/>
      <c r="F112" s="81"/>
      <c r="G112" s="68"/>
      <c r="H112" s="81"/>
      <c r="I112" s="68"/>
      <c r="J112" s="81"/>
      <c r="K112" s="68"/>
      <c r="L112" s="81"/>
      <c r="M112" s="68"/>
      <c r="N112" s="81"/>
      <c r="O112" s="68"/>
      <c r="P112" s="81"/>
      <c r="Q112" s="68"/>
      <c r="R112" s="81"/>
      <c r="S112" s="68"/>
      <c r="T112" s="81"/>
      <c r="U112" s="68"/>
      <c r="V112" s="81"/>
      <c r="W112" s="68"/>
      <c r="X112" s="81"/>
      <c r="Y112" s="68"/>
      <c r="Z112" s="81"/>
      <c r="AA112" s="68"/>
      <c r="AB112" s="81"/>
      <c r="AC112" s="68"/>
      <c r="AD112" s="81"/>
      <c r="AE112" s="68"/>
    </row>
    <row r="113" spans="1:31">
      <c r="A113" s="125"/>
      <c r="B113" s="304" t="s">
        <v>1229</v>
      </c>
      <c r="C113" s="131" t="str">
        <f ca="1">Sprache!E426</f>
        <v>Umgebungsgestaltung</v>
      </c>
      <c r="D113" s="131" t="str">
        <f ca="1">Sprache!E388</f>
        <v>Grabarbeiten</v>
      </c>
      <c r="E113" s="131"/>
      <c r="F113" s="391"/>
      <c r="G113" s="358">
        <f>Standardwerte!$K$26*Investition_Basis!F113</f>
        <v>3000</v>
      </c>
      <c r="H113" s="391"/>
      <c r="I113" s="358">
        <f>Standardwerte!$K$26*Investition_Basis!G113</f>
        <v>3000</v>
      </c>
      <c r="J113" s="391"/>
      <c r="K113" s="358">
        <f>Standardwerte!$K$26*Investition_Basis!H113</f>
        <v>3000</v>
      </c>
      <c r="L113" s="391"/>
      <c r="M113" s="358">
        <f>Standardwerte!$K$26*Investition_Basis!I113</f>
        <v>3000</v>
      </c>
      <c r="N113" s="391"/>
      <c r="O113" s="358">
        <f>Standardwerte!$K$26*Investition_Basis!J113</f>
        <v>6300</v>
      </c>
      <c r="P113" s="391"/>
      <c r="Q113" s="358">
        <f>Standardwerte!$K$26*Investition_Basis!K113</f>
        <v>9000</v>
      </c>
      <c r="R113" s="391"/>
      <c r="S113" s="358">
        <f>Standardwerte!$K$26*Investition_Basis!L113</f>
        <v>12000</v>
      </c>
      <c r="T113" s="391"/>
      <c r="U113" s="358">
        <f>Standardwerte!$K$26*Investition_Basis!M113</f>
        <v>18900</v>
      </c>
      <c r="V113" s="391"/>
      <c r="W113" s="358">
        <f>Standardwerte!$K$26*Investition_Basis!N113</f>
        <v>24000</v>
      </c>
      <c r="X113" s="391"/>
      <c r="Y113" s="358">
        <f>Standardwerte!$K$26*Investition_Basis!O113</f>
        <v>27000</v>
      </c>
      <c r="Z113" s="391"/>
      <c r="AA113" s="358">
        <f>Standardwerte!$K$26*Investition_Basis!P113</f>
        <v>30000</v>
      </c>
      <c r="AB113" s="391"/>
      <c r="AC113" s="358">
        <f>Standardwerte!$K$26*Investition_Basis!Q113</f>
        <v>36000</v>
      </c>
      <c r="AD113" s="391"/>
      <c r="AE113" s="358">
        <f>Standardwerte!$K$26*Investition_Basis!R113</f>
        <v>36000</v>
      </c>
    </row>
    <row r="114" spans="1:31">
      <c r="A114" s="125"/>
      <c r="B114" s="305" t="s">
        <v>1230</v>
      </c>
      <c r="C114" s="131" t="str">
        <f ca="1">Sprache!$E$417</f>
        <v>Ergänzende Leistung zu Konstruktion</v>
      </c>
      <c r="D114" s="131" t="str">
        <f ca="1">Sprache!E389</f>
        <v>Erstellung Lagerraum</v>
      </c>
      <c r="E114" s="126"/>
      <c r="F114" s="36"/>
      <c r="G114" s="89">
        <f>Standardwerte!$K$26*Investition_Basis!F114</f>
        <v>2500</v>
      </c>
      <c r="H114" s="36"/>
      <c r="I114" s="89">
        <f>Standardwerte!$K$26*Investition_Basis!G114</f>
        <v>2500</v>
      </c>
      <c r="J114" s="36"/>
      <c r="K114" s="89">
        <f>Standardwerte!$K$26*Investition_Basis!H114</f>
        <v>4000</v>
      </c>
      <c r="L114" s="36"/>
      <c r="M114" s="89">
        <f>Standardwerte!$K$26*Investition_Basis!I114</f>
        <v>7000</v>
      </c>
      <c r="N114" s="36"/>
      <c r="O114" s="89">
        <f>Standardwerte!$K$26*Investition_Basis!J114</f>
        <v>15000</v>
      </c>
      <c r="P114" s="36"/>
      <c r="Q114" s="89">
        <f>Standardwerte!$K$26*Investition_Basis!K114</f>
        <v>20000</v>
      </c>
      <c r="R114" s="36"/>
      <c r="S114" s="89">
        <f>Standardwerte!$K$26*Investition_Basis!L114</f>
        <v>30000</v>
      </c>
      <c r="T114" s="36"/>
      <c r="U114" s="89">
        <f>Standardwerte!$K$26*Investition_Basis!M114</f>
        <v>42000</v>
      </c>
      <c r="V114" s="36"/>
      <c r="W114" s="89">
        <f>Standardwerte!$K$26*Investition_Basis!N114</f>
        <v>50000</v>
      </c>
      <c r="X114" s="36"/>
      <c r="Y114" s="89">
        <f>Standardwerte!$K$26*Investition_Basis!O114</f>
        <v>75000</v>
      </c>
      <c r="Z114" s="36"/>
      <c r="AA114" s="89">
        <f>Standardwerte!$K$26*Investition_Basis!P114</f>
        <v>100000</v>
      </c>
      <c r="AB114" s="36"/>
      <c r="AC114" s="89">
        <f>Standardwerte!$K$26*Investition_Basis!Q114</f>
        <v>150000</v>
      </c>
      <c r="AD114" s="36"/>
      <c r="AE114" s="89">
        <f>Standardwerte!$K$26*Investition_Basis!R114</f>
        <v>200000</v>
      </c>
    </row>
    <row r="115" spans="1:31">
      <c r="A115" s="125"/>
      <c r="B115" s="305" t="s">
        <v>1230</v>
      </c>
      <c r="C115" s="131" t="str">
        <f ca="1">Sprache!$E$417</f>
        <v>Ergänzende Leistung zu Konstruktion</v>
      </c>
      <c r="D115" s="131" t="str">
        <f ca="1">Sprache!E390</f>
        <v>Wanddurchbrüche, Kernbohrungen</v>
      </c>
      <c r="E115" s="126"/>
      <c r="F115" s="36"/>
      <c r="G115" s="89">
        <f>Standardwerte!$K$26*Investition_Basis!F115</f>
        <v>3600</v>
      </c>
      <c r="H115" s="36"/>
      <c r="I115" s="89">
        <f>Standardwerte!$K$26*Investition_Basis!G115</f>
        <v>3600</v>
      </c>
      <c r="J115" s="36"/>
      <c r="K115" s="89">
        <f>Standardwerte!$K$26*Investition_Basis!H115</f>
        <v>5300</v>
      </c>
      <c r="L115" s="36"/>
      <c r="M115" s="89">
        <f>Standardwerte!$K$26*Investition_Basis!I115</f>
        <v>8500</v>
      </c>
      <c r="N115" s="36"/>
      <c r="O115" s="89">
        <f>Standardwerte!$K$26*Investition_Basis!J115</f>
        <v>24800</v>
      </c>
      <c r="P115" s="36"/>
      <c r="Q115" s="89">
        <f>Standardwerte!$K$26*Investition_Basis!K115</f>
        <v>34600</v>
      </c>
      <c r="R115" s="36"/>
      <c r="S115" s="89">
        <f>Standardwerte!$K$26*Investition_Basis!L115</f>
        <v>67000</v>
      </c>
      <c r="T115" s="36"/>
      <c r="U115" s="89">
        <f>Standardwerte!$K$26*Investition_Basis!M115</f>
        <v>0</v>
      </c>
      <c r="V115" s="36"/>
      <c r="W115" s="89">
        <f>Standardwerte!$K$26*Investition_Basis!N115</f>
        <v>0</v>
      </c>
      <c r="X115" s="36"/>
      <c r="Y115" s="89">
        <f>Standardwerte!$K$26*Investition_Basis!O115</f>
        <v>0</v>
      </c>
      <c r="Z115" s="36"/>
      <c r="AA115" s="89">
        <f>Standardwerte!$K$26*Investition_Basis!P115</f>
        <v>0</v>
      </c>
      <c r="AB115" s="36"/>
      <c r="AC115" s="89">
        <f>Standardwerte!$K$26*Investition_Basis!Q115</f>
        <v>0</v>
      </c>
      <c r="AD115" s="36"/>
      <c r="AE115" s="89">
        <f>Standardwerte!$K$26*Investition_Basis!R115</f>
        <v>0</v>
      </c>
    </row>
    <row r="116" spans="1:31">
      <c r="A116" s="125"/>
      <c r="B116" s="305" t="s">
        <v>1230</v>
      </c>
      <c r="C116" s="131" t="str">
        <f ca="1">Sprache!$E$417</f>
        <v>Ergänzende Leistung zu Konstruktion</v>
      </c>
      <c r="D116" s="131" t="str">
        <f ca="1">Sprache!E391</f>
        <v>Fundament, Sickergrube, Grabarbeiten</v>
      </c>
      <c r="E116" s="126"/>
      <c r="F116" s="36"/>
      <c r="G116" s="89">
        <f>Standardwerte!$K$26*Investition_Basis!F116</f>
        <v>4000</v>
      </c>
      <c r="H116" s="36"/>
      <c r="I116" s="89">
        <f>Standardwerte!$K$26*Investition_Basis!G116</f>
        <v>4000</v>
      </c>
      <c r="J116" s="36"/>
      <c r="K116" s="89">
        <f>Standardwerte!$K$26*Investition_Basis!H116</f>
        <v>4000</v>
      </c>
      <c r="L116" s="36"/>
      <c r="M116" s="89">
        <f>Standardwerte!$K$26*Investition_Basis!I116</f>
        <v>4000</v>
      </c>
      <c r="N116" s="36"/>
      <c r="O116" s="89">
        <f>Standardwerte!$K$26*Investition_Basis!J116</f>
        <v>7600</v>
      </c>
      <c r="P116" s="36"/>
      <c r="Q116" s="89">
        <f>Standardwerte!$K$26*Investition_Basis!K116</f>
        <v>10900</v>
      </c>
      <c r="R116" s="36"/>
      <c r="S116" s="89">
        <f>Standardwerte!$K$26*Investition_Basis!L116</f>
        <v>21700</v>
      </c>
      <c r="T116" s="36"/>
      <c r="U116" s="89">
        <f>Standardwerte!$K$26*Investition_Basis!M116</f>
        <v>0</v>
      </c>
      <c r="V116" s="36"/>
      <c r="W116" s="89">
        <f>Standardwerte!$K$26*Investition_Basis!N116</f>
        <v>0</v>
      </c>
      <c r="X116" s="36"/>
      <c r="Y116" s="89">
        <f>Standardwerte!$K$26*Investition_Basis!O116</f>
        <v>0</v>
      </c>
      <c r="Z116" s="36"/>
      <c r="AA116" s="89">
        <f>Standardwerte!$K$26*Investition_Basis!P116</f>
        <v>0</v>
      </c>
      <c r="AB116" s="36"/>
      <c r="AC116" s="89">
        <f>Standardwerte!$K$26*Investition_Basis!Q116</f>
        <v>0</v>
      </c>
      <c r="AD116" s="36"/>
      <c r="AE116" s="89">
        <f>Standardwerte!$K$26*Investition_Basis!R116</f>
        <v>0</v>
      </c>
    </row>
    <row r="117" spans="1:31">
      <c r="A117" s="125"/>
      <c r="B117" s="305" t="s">
        <v>1230</v>
      </c>
      <c r="C117" s="131" t="str">
        <f ca="1">Sprache!$E$417</f>
        <v>Ergänzende Leistung zu Konstruktion</v>
      </c>
      <c r="D117" s="131" t="str">
        <f ca="1">Sprache!E392</f>
        <v>Statische Massnahmen</v>
      </c>
      <c r="E117" s="126"/>
      <c r="F117" s="36"/>
      <c r="G117" s="89">
        <f>Standardwerte!$K$26*Investition_Basis!F117</f>
        <v>3500</v>
      </c>
      <c r="H117" s="36"/>
      <c r="I117" s="89">
        <f>Standardwerte!$K$26*Investition_Basis!G117</f>
        <v>3500</v>
      </c>
      <c r="J117" s="36"/>
      <c r="K117" s="89">
        <f>Standardwerte!$K$26*Investition_Basis!H117</f>
        <v>7000</v>
      </c>
      <c r="L117" s="36"/>
      <c r="M117" s="89">
        <f>Standardwerte!$K$26*Investition_Basis!I117</f>
        <v>14000</v>
      </c>
      <c r="N117" s="36"/>
      <c r="O117" s="89">
        <f>Standardwerte!$K$26*Investition_Basis!J117</f>
        <v>42000</v>
      </c>
      <c r="P117" s="36"/>
      <c r="Q117" s="89">
        <f>Standardwerte!$K$26*Investition_Basis!K117</f>
        <v>50000</v>
      </c>
      <c r="R117" s="36"/>
      <c r="S117" s="89">
        <f>Standardwerte!$K$26*Investition_Basis!L117</f>
        <v>60000</v>
      </c>
      <c r="T117" s="36"/>
      <c r="U117" s="89">
        <f>Standardwerte!$K$26*Investition_Basis!M117</f>
        <v>0</v>
      </c>
      <c r="V117" s="36"/>
      <c r="W117" s="89">
        <f>Standardwerte!$K$26*Investition_Basis!N117</f>
        <v>0</v>
      </c>
      <c r="X117" s="36"/>
      <c r="Y117" s="89">
        <f>Standardwerte!$K$26*Investition_Basis!O117</f>
        <v>0</v>
      </c>
      <c r="Z117" s="36"/>
      <c r="AA117" s="89">
        <f>Standardwerte!$K$26*Investition_Basis!P117</f>
        <v>0</v>
      </c>
      <c r="AB117" s="36"/>
      <c r="AC117" s="89">
        <f>Standardwerte!$K$26*Investition_Basis!Q117</f>
        <v>0</v>
      </c>
      <c r="AD117" s="36"/>
      <c r="AE117" s="89">
        <f>Standardwerte!$K$26*Investition_Basis!R117</f>
        <v>0</v>
      </c>
    </row>
    <row r="118" spans="1:31">
      <c r="A118" s="125"/>
      <c r="B118" s="305" t="s">
        <v>1230</v>
      </c>
      <c r="C118" s="126" t="str">
        <f ca="1">Sprache!$E$438</f>
        <v>Lärmschutzmassnahmen</v>
      </c>
      <c r="D118" s="131" t="str">
        <f ca="1">Sprache!E393</f>
        <v>Lärmschutzhauben, Lärmschutzwände</v>
      </c>
      <c r="E118" s="126"/>
      <c r="F118" s="36"/>
      <c r="G118" s="89">
        <f>Standardwerte!$K$26*Investition_Basis!F118</f>
        <v>0</v>
      </c>
      <c r="H118" s="36"/>
      <c r="I118" s="89">
        <f>Standardwerte!$K$26*Investition_Basis!G118</f>
        <v>0</v>
      </c>
      <c r="J118" s="36"/>
      <c r="K118" s="89">
        <f>Standardwerte!$K$26*Investition_Basis!H118</f>
        <v>0</v>
      </c>
      <c r="L118" s="36"/>
      <c r="M118" s="89">
        <f>Standardwerte!$K$26*Investition_Basis!I118</f>
        <v>13400</v>
      </c>
      <c r="N118" s="36"/>
      <c r="O118" s="89">
        <f>Standardwerte!$K$26*Investition_Basis!J118</f>
        <v>25100</v>
      </c>
      <c r="P118" s="36"/>
      <c r="Q118" s="89">
        <f>Standardwerte!$K$26*Investition_Basis!K118</f>
        <v>30000</v>
      </c>
      <c r="R118" s="36"/>
      <c r="S118" s="89">
        <f>Standardwerte!$K$26*Investition_Basis!L118</f>
        <v>42400</v>
      </c>
      <c r="T118" s="36"/>
      <c r="U118" s="89">
        <f>Standardwerte!$K$26*Investition_Basis!M118</f>
        <v>0</v>
      </c>
      <c r="V118" s="36"/>
      <c r="W118" s="89">
        <f>Standardwerte!$K$26*Investition_Basis!N118</f>
        <v>0</v>
      </c>
      <c r="X118" s="36"/>
      <c r="Y118" s="89">
        <f>Standardwerte!$K$26*Investition_Basis!O118</f>
        <v>0</v>
      </c>
      <c r="Z118" s="36"/>
      <c r="AA118" s="89">
        <f>Standardwerte!$K$26*Investition_Basis!P118</f>
        <v>0</v>
      </c>
      <c r="AB118" s="36"/>
      <c r="AC118" s="89">
        <f>Standardwerte!$K$26*Investition_Basis!Q118</f>
        <v>0</v>
      </c>
      <c r="AD118" s="36"/>
      <c r="AE118" s="89">
        <f>Standardwerte!$K$26*Investition_Basis!R118</f>
        <v>0</v>
      </c>
    </row>
    <row r="119" spans="1:31">
      <c r="A119" s="125"/>
      <c r="B119" s="82" t="s">
        <v>1229</v>
      </c>
      <c r="C119" s="64" t="str">
        <f ca="1">Sprache!E426</f>
        <v>Umgebungsgestaltung</v>
      </c>
      <c r="D119" s="64" t="str">
        <f ca="1">Sprache!E394</f>
        <v>Wiederherstellung Umgebung</v>
      </c>
      <c r="E119" s="134"/>
      <c r="F119" s="392"/>
      <c r="G119" s="360">
        <f>Standardwerte!$K$26*Investition_Basis!F119</f>
        <v>1800</v>
      </c>
      <c r="H119" s="392"/>
      <c r="I119" s="360">
        <f>Standardwerte!$K$26*Investition_Basis!G119</f>
        <v>1800</v>
      </c>
      <c r="J119" s="392"/>
      <c r="K119" s="360">
        <f>Standardwerte!$K$26*Investition_Basis!H119</f>
        <v>1800</v>
      </c>
      <c r="L119" s="392"/>
      <c r="M119" s="360">
        <f>Standardwerte!$K$26*Investition_Basis!I119</f>
        <v>3100</v>
      </c>
      <c r="N119" s="392"/>
      <c r="O119" s="360">
        <f>Standardwerte!$K$26*Investition_Basis!J119</f>
        <v>10800</v>
      </c>
      <c r="P119" s="392"/>
      <c r="Q119" s="360">
        <f>Standardwerte!$K$26*Investition_Basis!K119</f>
        <v>15400</v>
      </c>
      <c r="R119" s="392"/>
      <c r="S119" s="360">
        <f>Standardwerte!$K$26*Investition_Basis!L119</f>
        <v>24700</v>
      </c>
      <c r="T119" s="392"/>
      <c r="U119" s="360">
        <f>Standardwerte!$K$26*Investition_Basis!M119</f>
        <v>43000</v>
      </c>
      <c r="V119" s="392"/>
      <c r="W119" s="360">
        <f>Standardwerte!$K$26*Investition_Basis!N119</f>
        <v>62000</v>
      </c>
      <c r="X119" s="392"/>
      <c r="Y119" s="360">
        <f>Standardwerte!$K$26*Investition_Basis!O119</f>
        <v>69000</v>
      </c>
      <c r="Z119" s="392"/>
      <c r="AA119" s="360">
        <f>Standardwerte!$K$26*Investition_Basis!P119</f>
        <v>93000</v>
      </c>
      <c r="AB119" s="392"/>
      <c r="AC119" s="360">
        <f>Standardwerte!$K$26*Investition_Basis!Q119</f>
        <v>116000</v>
      </c>
      <c r="AD119" s="392"/>
      <c r="AE119" s="360">
        <f>Standardwerte!$K$26*Investition_Basis!R119</f>
        <v>120000</v>
      </c>
    </row>
    <row r="120" spans="1:31" ht="15">
      <c r="A120" s="127"/>
      <c r="B120" s="127"/>
      <c r="C120" s="127"/>
      <c r="D120" s="127"/>
      <c r="E120" s="127"/>
      <c r="F120" s="127"/>
      <c r="G120" s="127"/>
      <c r="H120" s="64"/>
      <c r="I120" s="64"/>
      <c r="J120" s="64"/>
      <c r="K120" s="64"/>
    </row>
    <row r="121" spans="1:31" ht="15">
      <c r="A121" s="127"/>
      <c r="B121" s="125" t="str">
        <f ca="1">Sprache!E484</f>
        <v>Planungskosten</v>
      </c>
      <c r="C121" s="64"/>
      <c r="D121" s="64"/>
      <c r="E121" s="64"/>
      <c r="F121" s="64"/>
      <c r="G121" s="64"/>
      <c r="H121" s="64"/>
      <c r="I121" s="64"/>
      <c r="J121" s="64"/>
      <c r="K121" s="64"/>
    </row>
    <row r="122" spans="1:31" ht="15">
      <c r="A122" s="127"/>
      <c r="B122" s="131"/>
      <c r="C122" s="131" t="str">
        <f ca="1">Sprache!E354</f>
        <v>Honorar, Gebühren</v>
      </c>
      <c r="D122" s="131"/>
      <c r="E122" s="131"/>
      <c r="F122" s="540"/>
      <c r="G122" s="541">
        <v>0.05</v>
      </c>
      <c r="H122" s="540"/>
      <c r="I122" s="541">
        <v>0.05</v>
      </c>
      <c r="J122" s="540"/>
      <c r="K122" s="541">
        <v>0.05</v>
      </c>
      <c r="L122" s="542"/>
      <c r="M122" s="543">
        <v>0.05</v>
      </c>
      <c r="N122" s="542"/>
      <c r="O122" s="543">
        <v>0.1</v>
      </c>
      <c r="P122" s="542"/>
      <c r="Q122" s="543">
        <v>0.1</v>
      </c>
      <c r="R122" s="542"/>
      <c r="S122" s="543">
        <v>0.15</v>
      </c>
      <c r="T122" s="542"/>
      <c r="U122" s="543">
        <v>0.15</v>
      </c>
      <c r="V122" s="542"/>
      <c r="W122" s="543">
        <v>0.15</v>
      </c>
      <c r="X122" s="542"/>
      <c r="Y122" s="543">
        <v>0.15</v>
      </c>
      <c r="Z122" s="542"/>
      <c r="AA122" s="543">
        <v>0.15</v>
      </c>
      <c r="AB122" s="542"/>
      <c r="AC122" s="543">
        <v>0.15</v>
      </c>
      <c r="AD122" s="542"/>
      <c r="AE122" s="543">
        <v>0.15</v>
      </c>
    </row>
    <row r="123" spans="1:31" ht="15">
      <c r="A123" s="127"/>
      <c r="B123" s="127"/>
      <c r="C123" s="127"/>
      <c r="D123" s="127"/>
      <c r="E123" s="127"/>
      <c r="F123" s="127"/>
      <c r="G123" s="127"/>
      <c r="H123" s="64"/>
      <c r="I123" s="64"/>
      <c r="J123" s="64"/>
      <c r="K123" s="64"/>
    </row>
    <row r="124" spans="1:31" ht="15">
      <c r="A124" s="149"/>
      <c r="B124" s="125" t="str">
        <f ca="1">Sprache!$E$239</f>
        <v>Thermische Solaranlage</v>
      </c>
      <c r="C124" s="328"/>
      <c r="D124" s="278"/>
      <c r="E124" s="127"/>
      <c r="F124" s="127"/>
      <c r="G124" s="127"/>
    </row>
    <row r="125" spans="1:31">
      <c r="A125" s="8"/>
      <c r="B125" s="400"/>
      <c r="C125" s="125"/>
      <c r="D125" s="125" t="str">
        <f ca="1">Sprache!$E$216</f>
        <v>Gesamtkosten für Anlagen (inkl. Montage):</v>
      </c>
      <c r="E125" s="8"/>
      <c r="F125" s="8"/>
      <c r="G125" s="8"/>
    </row>
    <row r="126" spans="1:31" ht="15">
      <c r="A126" s="401"/>
      <c r="B126" s="398" t="s">
        <v>1254</v>
      </c>
      <c r="C126" s="399" t="str">
        <f ca="1">Sprache!$E$239</f>
        <v>Thermische Solaranlage</v>
      </c>
      <c r="D126" s="399" t="str">
        <f ca="1">Sprache!$E$217</f>
        <v>bis 10 m²-Anlage</v>
      </c>
      <c r="E126" s="401"/>
      <c r="F126" s="549"/>
      <c r="G126" s="359">
        <v>1950</v>
      </c>
      <c r="H126" s="1" t="str">
        <f ca="1">Sprache!$E$220</f>
        <v>Fr./m² (Kollektorfläche)</v>
      </c>
    </row>
    <row r="127" spans="1:31">
      <c r="A127" s="71"/>
      <c r="B127" s="351" t="s">
        <v>1254</v>
      </c>
      <c r="C127" s="185" t="str">
        <f ca="1">Sprache!$E$239</f>
        <v>Thermische Solaranlage</v>
      </c>
      <c r="D127" s="185" t="str">
        <f ca="1">Sprache!$E$218</f>
        <v>bis 32 m²-Anlage</v>
      </c>
      <c r="E127" s="71"/>
      <c r="F127" s="550"/>
      <c r="G127" s="67">
        <v>1812</v>
      </c>
      <c r="H127" s="1" t="str">
        <f ca="1">Sprache!$E$220</f>
        <v>Fr./m² (Kollektorfläche)</v>
      </c>
      <c r="I127" s="68"/>
    </row>
    <row r="128" spans="1:31">
      <c r="A128" s="94"/>
      <c r="B128" s="306" t="s">
        <v>1254</v>
      </c>
      <c r="C128" s="134" t="str">
        <f ca="1">Sprache!$E$239</f>
        <v>Thermische Solaranlage</v>
      </c>
      <c r="D128" s="134" t="str">
        <f ca="1">Sprache!$E$219</f>
        <v>ab 32 m²-Anlage</v>
      </c>
      <c r="E128" s="94"/>
      <c r="F128" s="551"/>
      <c r="G128" s="390">
        <v>1700</v>
      </c>
      <c r="H128" s="1" t="str">
        <f ca="1">Sprache!$E$220</f>
        <v>Fr./m² (Kollektorfläche)</v>
      </c>
    </row>
    <row r="130" spans="1:12">
      <c r="A130" s="8"/>
      <c r="B130" s="125" t="str">
        <f ca="1">Sprache!E270</f>
        <v>PV-Anlage</v>
      </c>
      <c r="F130" s="1" t="str">
        <f ca="1">Sprache!E282</f>
        <v>Kosten pro kWp</v>
      </c>
      <c r="J130" s="1" t="str">
        <f ca="1">Sprache!E245</f>
        <v>Mehrauf. Elektrokasten</v>
      </c>
    </row>
    <row r="131" spans="1:12">
      <c r="A131" s="55"/>
      <c r="B131" s="304" t="s">
        <v>1223</v>
      </c>
      <c r="C131" s="131" t="str">
        <f ca="1">Sprache!$E$418</f>
        <v>Anlage Erzeugung Starkstrom</v>
      </c>
      <c r="D131" s="131" t="str">
        <f ca="1">Sprache!$E$289</f>
        <v>bis und mit 10 kWp</v>
      </c>
      <c r="E131" s="55"/>
      <c r="F131" s="552"/>
      <c r="G131" s="359">
        <v>3000</v>
      </c>
      <c r="H131" s="1" t="s">
        <v>699</v>
      </c>
      <c r="J131" s="27"/>
      <c r="K131" s="89">
        <v>40</v>
      </c>
      <c r="L131" s="1" t="s">
        <v>175</v>
      </c>
    </row>
    <row r="132" spans="1:12">
      <c r="A132" s="71"/>
      <c r="B132" s="351" t="s">
        <v>1223</v>
      </c>
      <c r="C132" s="131" t="str">
        <f ca="1">Sprache!$E$418</f>
        <v>Anlage Erzeugung Starkstrom</v>
      </c>
      <c r="D132" s="185" t="str">
        <f ca="1">Sprache!$E$290</f>
        <v>bis und mit 30 kWp</v>
      </c>
      <c r="E132" s="71"/>
      <c r="F132" s="79"/>
      <c r="G132" s="89">
        <v>2200</v>
      </c>
      <c r="H132" s="1" t="s">
        <v>699</v>
      </c>
      <c r="J132" s="27"/>
      <c r="K132" s="89">
        <v>80</v>
      </c>
      <c r="L132" s="1" t="s">
        <v>175</v>
      </c>
    </row>
    <row r="133" spans="1:12">
      <c r="A133" s="71"/>
      <c r="B133" s="351" t="s">
        <v>1223</v>
      </c>
      <c r="C133" s="131" t="str">
        <f ca="1">Sprache!$E$418</f>
        <v>Anlage Erzeugung Starkstrom</v>
      </c>
      <c r="D133" s="185" t="str">
        <f ca="1">Sprache!$E$291</f>
        <v>bis und mit 100 kWp</v>
      </c>
      <c r="E133" s="71"/>
      <c r="F133" s="79"/>
      <c r="G133" s="89">
        <v>1600</v>
      </c>
      <c r="H133" s="1" t="s">
        <v>699</v>
      </c>
      <c r="J133" s="27"/>
      <c r="K133" s="89">
        <v>120</v>
      </c>
      <c r="L133" s="1" t="s">
        <v>175</v>
      </c>
    </row>
    <row r="134" spans="1:12">
      <c r="A134" s="94"/>
      <c r="B134" s="306" t="s">
        <v>1223</v>
      </c>
      <c r="C134" s="64" t="str">
        <f ca="1">Sprache!$E$418</f>
        <v>Anlage Erzeugung Starkstrom</v>
      </c>
      <c r="D134" s="134" t="str">
        <f ca="1">Sprache!$E$292</f>
        <v>ab 100 kWp</v>
      </c>
      <c r="E134" s="94"/>
      <c r="F134" s="553"/>
      <c r="G134" s="360">
        <v>1300</v>
      </c>
      <c r="H134" s="1" t="s">
        <v>699</v>
      </c>
      <c r="J134" s="27"/>
      <c r="K134" s="89">
        <v>1250</v>
      </c>
      <c r="L134" s="1" t="s">
        <v>175</v>
      </c>
    </row>
    <row r="135" spans="1:12">
      <c r="B135" s="82"/>
    </row>
    <row r="136" spans="1:12">
      <c r="A136" s="55"/>
      <c r="B136" s="304" t="s">
        <v>1244</v>
      </c>
      <c r="C136" s="131" t="str">
        <f ca="1">Sprache!E293</f>
        <v>Verstärkung Netzanschluss</v>
      </c>
      <c r="D136" s="327"/>
      <c r="E136" s="55"/>
      <c r="F136" s="554"/>
      <c r="G136" s="358">
        <v>0</v>
      </c>
      <c r="H136" s="1" t="s">
        <v>175</v>
      </c>
    </row>
    <row r="137" spans="1:12">
      <c r="B137" s="82"/>
    </row>
    <row r="138" spans="1:12">
      <c r="B138" s="82"/>
    </row>
    <row r="139" spans="1:12">
      <c r="B139" s="64" t="str">
        <f ca="1">Sprache!E436</f>
        <v>*Vom Wärmeerzeugertyp (weitgehend) unabhängige Kostenpositionen</v>
      </c>
    </row>
    <row r="146" spans="9:24">
      <c r="O146" s="68"/>
      <c r="P146" s="68"/>
      <c r="Q146" s="68"/>
      <c r="R146" s="68"/>
      <c r="S146" s="68"/>
      <c r="T146" s="68"/>
      <c r="U146" s="68"/>
      <c r="V146" s="68"/>
      <c r="W146" s="68"/>
      <c r="X146" s="68"/>
    </row>
    <row r="157" spans="9:24">
      <c r="I157" s="68"/>
    </row>
    <row r="158" spans="9:24">
      <c r="I158" s="68"/>
    </row>
  </sheetData>
  <sheetProtection algorithmName="SHA-512" hashValue="kL7Dw6P/BnKVk6kVhY08AlC3CJ1YH9aT1A6HtL+QNpQP1jhKrmLMrJq7iQLiB5Oyft/5cGwivJqepG7P5IKGGg==" saltValue="uqZVUjccxkHjtC5DeawhVg==" spinCount="100000" sheet="1" objects="1" scenarios="1"/>
  <mergeCells count="26">
    <mergeCell ref="F3:G3"/>
    <mergeCell ref="F4:G4"/>
    <mergeCell ref="AD3:AE3"/>
    <mergeCell ref="AD4:AE4"/>
    <mergeCell ref="X3:Y3"/>
    <mergeCell ref="X4:Y4"/>
    <mergeCell ref="Z3:AA3"/>
    <mergeCell ref="Z4:AA4"/>
    <mergeCell ref="AB3:AC3"/>
    <mergeCell ref="AB4:AC4"/>
    <mergeCell ref="T3:U3"/>
    <mergeCell ref="V3:W3"/>
    <mergeCell ref="H4:I4"/>
    <mergeCell ref="J4:K4"/>
    <mergeCell ref="L4:M4"/>
    <mergeCell ref="N4:O4"/>
    <mergeCell ref="P4:Q4"/>
    <mergeCell ref="R4:S4"/>
    <mergeCell ref="T4:U4"/>
    <mergeCell ref="V4:W4"/>
    <mergeCell ref="H3:I3"/>
    <mergeCell ref="J3:K3"/>
    <mergeCell ref="L3:M3"/>
    <mergeCell ref="N3:O3"/>
    <mergeCell ref="P3:Q3"/>
    <mergeCell ref="R3:S3"/>
  </mergeCells>
  <pageMargins left="0.70866141732283472" right="0.70866141732283472" top="1.1811023622047245" bottom="0.78740157480314965" header="0.31496062992125984" footer="0.31496062992125984"/>
  <pageSetup paperSize="9" scale="36" fitToHeight="0" orientation="landscape" r:id="rId1"/>
  <headerFooter>
    <oddHeader>&amp;R&amp;G</oddHeader>
    <oddFooter>&amp;C&amp;D&amp;R&amp;P/&amp;N</oddFooter>
  </headerFooter>
  <rowBreaks count="1" manualBreakCount="1">
    <brk id="78" max="31"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1:AE64"/>
  <sheetViews>
    <sheetView zoomScale="90" zoomScaleNormal="90" zoomScaleSheetLayoutView="70" workbookViewId="0">
      <selection activeCell="F7" sqref="F7"/>
    </sheetView>
  </sheetViews>
  <sheetFormatPr baseColWidth="10" defaultColWidth="11.42578125" defaultRowHeight="12.75"/>
  <cols>
    <col min="1" max="1" width="3.5703125" style="1" customWidth="1"/>
    <col min="2" max="2" width="4.42578125" style="1" customWidth="1"/>
    <col min="3" max="5" width="10" style="1" customWidth="1"/>
    <col min="6" max="6" width="12.140625" style="1" customWidth="1"/>
    <col min="7" max="21" width="11.42578125" style="1"/>
    <col min="22" max="22" width="11.5703125" style="1" customWidth="1"/>
    <col min="23" max="31" width="11.42578125" style="1"/>
    <col min="32" max="32" width="4.140625" style="1" customWidth="1"/>
    <col min="33" max="16384" width="11.42578125" style="1"/>
  </cols>
  <sheetData>
    <row r="1" spans="2:31" s="8" customFormat="1" ht="18">
      <c r="B1" s="121" t="str">
        <f ca="1">Sprache!E221</f>
        <v>Grundlagen für die Berechnung der jährlichen Unterhaltskosten</v>
      </c>
    </row>
    <row r="3" spans="2:31" ht="15" customHeight="1">
      <c r="F3" s="619" t="s">
        <v>259</v>
      </c>
      <c r="G3" s="620"/>
      <c r="H3" s="619" t="s">
        <v>247</v>
      </c>
      <c r="I3" s="620"/>
      <c r="J3" s="13" t="s">
        <v>248</v>
      </c>
      <c r="K3" s="14"/>
      <c r="L3" s="13" t="s">
        <v>249</v>
      </c>
      <c r="M3" s="14"/>
      <c r="N3" s="13" t="s">
        <v>250</v>
      </c>
      <c r="O3" s="14"/>
      <c r="P3" s="13" t="s">
        <v>251</v>
      </c>
      <c r="Q3" s="14"/>
      <c r="R3" s="13" t="s">
        <v>252</v>
      </c>
      <c r="S3" s="14"/>
      <c r="T3" s="13" t="s">
        <v>253</v>
      </c>
      <c r="U3" s="14"/>
      <c r="V3" s="13" t="s">
        <v>254</v>
      </c>
      <c r="W3" s="14"/>
      <c r="X3" s="13" t="s">
        <v>666</v>
      </c>
      <c r="Y3" s="14"/>
      <c r="Z3" s="13" t="s">
        <v>667</v>
      </c>
      <c r="AA3" s="14"/>
      <c r="AB3" s="13" t="s">
        <v>668</v>
      </c>
      <c r="AC3" s="14"/>
      <c r="AD3" s="13" t="s">
        <v>669</v>
      </c>
      <c r="AE3" s="14"/>
    </row>
    <row r="4" spans="2:31">
      <c r="F4" s="618" t="s">
        <v>175</v>
      </c>
      <c r="G4" s="618"/>
      <c r="H4" s="618" t="s">
        <v>175</v>
      </c>
      <c r="I4" s="618"/>
      <c r="J4" s="18" t="s">
        <v>175</v>
      </c>
      <c r="K4" s="18"/>
      <c r="L4" s="18" t="s">
        <v>175</v>
      </c>
      <c r="M4" s="18"/>
      <c r="N4" s="18" t="s">
        <v>175</v>
      </c>
      <c r="O4" s="18"/>
      <c r="P4" s="18" t="s">
        <v>175</v>
      </c>
      <c r="Q4" s="18"/>
      <c r="R4" s="18" t="s">
        <v>175</v>
      </c>
      <c r="S4" s="18"/>
      <c r="T4" s="18" t="s">
        <v>175</v>
      </c>
      <c r="U4" s="18"/>
      <c r="V4" s="18" t="s">
        <v>175</v>
      </c>
      <c r="W4" s="18"/>
      <c r="X4" s="18" t="s">
        <v>175</v>
      </c>
      <c r="Y4" s="18"/>
      <c r="Z4" s="18" t="s">
        <v>175</v>
      </c>
      <c r="AA4" s="18"/>
      <c r="AB4" s="18" t="s">
        <v>175</v>
      </c>
      <c r="AC4" s="18"/>
      <c r="AD4" s="18" t="s">
        <v>175</v>
      </c>
      <c r="AE4" s="18"/>
    </row>
    <row r="5" spans="2:31">
      <c r="F5" s="16" t="str">
        <f ca="1">Sprache!$E$33</f>
        <v>eigene</v>
      </c>
      <c r="G5" s="16" t="str">
        <f ca="1">Sprache!$E$34</f>
        <v>Standard</v>
      </c>
      <c r="H5" s="16" t="str">
        <f ca="1">Sprache!$E$33</f>
        <v>eigene</v>
      </c>
      <c r="I5" s="16" t="str">
        <f ca="1">Sprache!$E$34</f>
        <v>Standard</v>
      </c>
      <c r="J5" s="16" t="str">
        <f ca="1">Sprache!$E$33</f>
        <v>eigene</v>
      </c>
      <c r="K5" s="16" t="str">
        <f ca="1">Sprache!$E$34</f>
        <v>Standard</v>
      </c>
      <c r="L5" s="16" t="str">
        <f ca="1">Sprache!$E$33</f>
        <v>eigene</v>
      </c>
      <c r="M5" s="16" t="str">
        <f ca="1">Sprache!$E$34</f>
        <v>Standard</v>
      </c>
      <c r="N5" s="16" t="str">
        <f ca="1">Sprache!$E$33</f>
        <v>eigene</v>
      </c>
      <c r="O5" s="16" t="str">
        <f ca="1">Sprache!$E$34</f>
        <v>Standard</v>
      </c>
      <c r="P5" s="16" t="str">
        <f ca="1">Sprache!$E$33</f>
        <v>eigene</v>
      </c>
      <c r="Q5" s="16" t="str">
        <f ca="1">Sprache!$E$34</f>
        <v>Standard</v>
      </c>
      <c r="R5" s="16" t="str">
        <f ca="1">Sprache!$E$33</f>
        <v>eigene</v>
      </c>
      <c r="S5" s="16" t="str">
        <f ca="1">Sprache!$E$34</f>
        <v>Standard</v>
      </c>
      <c r="T5" s="16" t="str">
        <f ca="1">Sprache!$E$33</f>
        <v>eigene</v>
      </c>
      <c r="U5" s="16" t="str">
        <f ca="1">Sprache!$E$34</f>
        <v>Standard</v>
      </c>
      <c r="V5" s="16" t="str">
        <f ca="1">Sprache!$E$33</f>
        <v>eigene</v>
      </c>
      <c r="W5" s="16" t="str">
        <f ca="1">Sprache!$E$34</f>
        <v>Standard</v>
      </c>
      <c r="X5" s="16" t="str">
        <f ca="1">Sprache!$E$33</f>
        <v>eigene</v>
      </c>
      <c r="Y5" s="16" t="str">
        <f ca="1">Sprache!$E$34</f>
        <v>Standard</v>
      </c>
      <c r="Z5" s="16" t="str">
        <f ca="1">Sprache!$E$33</f>
        <v>eigene</v>
      </c>
      <c r="AA5" s="16" t="str">
        <f ca="1">Sprache!$E$34</f>
        <v>Standard</v>
      </c>
      <c r="AB5" s="16" t="str">
        <f ca="1">Sprache!$E$33</f>
        <v>eigene</v>
      </c>
      <c r="AC5" s="16" t="str">
        <f ca="1">Sprache!$E$34</f>
        <v>Standard</v>
      </c>
      <c r="AD5" s="16" t="str">
        <f ca="1">Sprache!$E$33</f>
        <v>eigene</v>
      </c>
      <c r="AE5" s="16" t="str">
        <f ca="1">Sprache!$E$34</f>
        <v>Standard</v>
      </c>
    </row>
    <row r="6" spans="2:31">
      <c r="B6" s="8" t="str">
        <f>ROMAN(1)</f>
        <v>I</v>
      </c>
      <c r="C6" s="8" t="str">
        <f ca="1">Sprache!E16</f>
        <v>Öl</v>
      </c>
    </row>
    <row r="7" spans="2:31">
      <c r="C7" s="1" t="str">
        <f ca="1">Sprache!E168</f>
        <v>Wartungsabo</v>
      </c>
      <c r="F7" s="36"/>
      <c r="G7" s="67">
        <f>Standardwerte!$L$26*Unterhalt!E7</f>
        <v>360</v>
      </c>
      <c r="H7" s="36"/>
      <c r="I7" s="67">
        <f>Standardwerte!$L$26*Unterhalt!F7</f>
        <v>360</v>
      </c>
      <c r="J7" s="36"/>
      <c r="K7" s="67">
        <f>Standardwerte!$L$26*Unterhalt!G7</f>
        <v>360</v>
      </c>
      <c r="L7" s="36"/>
      <c r="M7" s="67">
        <f>Standardwerte!$L$26*Unterhalt!H7</f>
        <v>510</v>
      </c>
      <c r="N7" s="36"/>
      <c r="O7" s="67">
        <f>Standardwerte!$L$26*Unterhalt!I7</f>
        <v>530</v>
      </c>
      <c r="P7" s="36"/>
      <c r="Q7" s="67">
        <f>Standardwerte!$L$26*Unterhalt!J7</f>
        <v>530</v>
      </c>
      <c r="R7" s="36"/>
      <c r="S7" s="67">
        <f>Standardwerte!$L$26*Unterhalt!K7</f>
        <v>630</v>
      </c>
      <c r="T7" s="36"/>
      <c r="U7" s="67">
        <f>Standardwerte!$L$26*Unterhalt!L7</f>
        <v>750</v>
      </c>
      <c r="V7" s="36"/>
      <c r="W7" s="67">
        <f>Standardwerte!$L$26*Unterhalt!M7</f>
        <v>900</v>
      </c>
      <c r="X7" s="36"/>
      <c r="Y7" s="67">
        <f>Standardwerte!$L$26*Unterhalt!N7</f>
        <v>1400</v>
      </c>
      <c r="Z7" s="36"/>
      <c r="AA7" s="67">
        <f>Standardwerte!$L$26*Unterhalt!O7</f>
        <v>1750</v>
      </c>
      <c r="AB7" s="36"/>
      <c r="AC7" s="67">
        <f>Standardwerte!$L$26*Unterhalt!P7</f>
        <v>2000</v>
      </c>
      <c r="AD7" s="36"/>
      <c r="AE7" s="67">
        <f>Standardwerte!$L$26*Unterhalt!Q7</f>
        <v>2200</v>
      </c>
    </row>
    <row r="8" spans="2:31">
      <c r="C8" s="1" t="str">
        <f ca="1">Sprache!E169</f>
        <v>Kaminfeger</v>
      </c>
      <c r="F8" s="36"/>
      <c r="G8" s="67">
        <f>Standardwerte!$L$26*Unterhalt!E8</f>
        <v>170</v>
      </c>
      <c r="H8" s="36"/>
      <c r="I8" s="67">
        <f>Standardwerte!$L$26*Unterhalt!F8</f>
        <v>170</v>
      </c>
      <c r="J8" s="36"/>
      <c r="K8" s="67">
        <f>Standardwerte!$L$26*Unterhalt!G8</f>
        <v>170</v>
      </c>
      <c r="L8" s="36"/>
      <c r="M8" s="67">
        <f>Standardwerte!$L$26*Unterhalt!H8</f>
        <v>170</v>
      </c>
      <c r="N8" s="36"/>
      <c r="O8" s="67">
        <f>Standardwerte!$L$26*Unterhalt!I8</f>
        <v>240</v>
      </c>
      <c r="P8" s="36"/>
      <c r="Q8" s="67">
        <f>Standardwerte!$L$26*Unterhalt!J8</f>
        <v>280</v>
      </c>
      <c r="R8" s="36"/>
      <c r="S8" s="67">
        <f>Standardwerte!$L$26*Unterhalt!K8</f>
        <v>370</v>
      </c>
      <c r="T8" s="36"/>
      <c r="U8" s="67">
        <f>Standardwerte!$L$26*Unterhalt!L8</f>
        <v>470</v>
      </c>
      <c r="V8" s="36"/>
      <c r="W8" s="67">
        <f>Standardwerte!$L$26*Unterhalt!M8</f>
        <v>570</v>
      </c>
      <c r="X8" s="36"/>
      <c r="Y8" s="67">
        <f>Standardwerte!$L$26*Unterhalt!N8</f>
        <v>600</v>
      </c>
      <c r="Z8" s="36"/>
      <c r="AA8" s="67">
        <f>Standardwerte!$L$26*Unterhalt!O8</f>
        <v>750</v>
      </c>
      <c r="AB8" s="36"/>
      <c r="AC8" s="67">
        <f>Standardwerte!$L$26*Unterhalt!P8</f>
        <v>750</v>
      </c>
      <c r="AD8" s="36"/>
      <c r="AE8" s="67">
        <f>Standardwerte!$L$26*Unterhalt!Q8</f>
        <v>1000</v>
      </c>
    </row>
    <row r="10" spans="2:31">
      <c r="B10" s="8" t="str">
        <f>ROMAN(2)</f>
        <v>II</v>
      </c>
      <c r="C10" s="8" t="str">
        <f ca="1">Sprache!E17</f>
        <v>Erdgas</v>
      </c>
    </row>
    <row r="11" spans="2:31">
      <c r="B11" s="8"/>
      <c r="C11" s="1" t="str">
        <f ca="1">Sprache!$E$168</f>
        <v>Wartungsabo</v>
      </c>
      <c r="F11" s="27"/>
      <c r="G11" s="67">
        <f>Standardwerte!$L$26*Unterhalt!E11</f>
        <v>530</v>
      </c>
      <c r="H11" s="27"/>
      <c r="I11" s="67">
        <f>Standardwerte!$L$26*Unterhalt!F11</f>
        <v>530</v>
      </c>
      <c r="J11" s="36"/>
      <c r="K11" s="67">
        <f>Standardwerte!$L$26*Unterhalt!G11</f>
        <v>530</v>
      </c>
      <c r="L11" s="36"/>
      <c r="M11" s="67">
        <f>Standardwerte!$L$26*Unterhalt!H11</f>
        <v>530</v>
      </c>
      <c r="N11" s="36"/>
      <c r="O11" s="67">
        <f>Standardwerte!$L$26*Unterhalt!I11</f>
        <v>700</v>
      </c>
      <c r="P11" s="36"/>
      <c r="Q11" s="67">
        <f>Standardwerte!$L$26*Unterhalt!J11</f>
        <v>700</v>
      </c>
      <c r="R11" s="36"/>
      <c r="S11" s="67">
        <f>Standardwerte!$L$26*Unterhalt!K11</f>
        <v>890</v>
      </c>
      <c r="T11" s="36"/>
      <c r="U11" s="67">
        <f>Standardwerte!$L$26*Unterhalt!L11</f>
        <v>890</v>
      </c>
      <c r="V11" s="36"/>
      <c r="W11" s="67">
        <f>Standardwerte!$L$26*Unterhalt!M11</f>
        <v>1100</v>
      </c>
      <c r="X11" s="36"/>
      <c r="Y11" s="67">
        <f>Standardwerte!$L$26*Unterhalt!N11</f>
        <v>2000</v>
      </c>
      <c r="Z11" s="36"/>
      <c r="AA11" s="67">
        <f>Standardwerte!$L$26*Unterhalt!O11</f>
        <v>2000</v>
      </c>
      <c r="AB11" s="36"/>
      <c r="AC11" s="67">
        <f>Standardwerte!$L$26*Unterhalt!P11</f>
        <v>2500</v>
      </c>
      <c r="AD11" s="36"/>
      <c r="AE11" s="67">
        <f>Standardwerte!$L$26*Unterhalt!Q11</f>
        <v>2500</v>
      </c>
    </row>
    <row r="12" spans="2:31">
      <c r="B12" s="8"/>
      <c r="C12" s="1" t="str">
        <f ca="1">Sprache!$E$169</f>
        <v>Kaminfeger</v>
      </c>
      <c r="F12" s="27"/>
      <c r="G12" s="67">
        <f>Standardwerte!$L$26*Unterhalt!E12</f>
        <v>170</v>
      </c>
      <c r="H12" s="27"/>
      <c r="I12" s="67">
        <f>Standardwerte!$L$26*Unterhalt!F12</f>
        <v>170</v>
      </c>
      <c r="J12" s="36"/>
      <c r="K12" s="67">
        <f>Standardwerte!$L$26*Unterhalt!G12</f>
        <v>170</v>
      </c>
      <c r="L12" s="36"/>
      <c r="M12" s="67">
        <f>Standardwerte!$L$26*Unterhalt!H12</f>
        <v>170</v>
      </c>
      <c r="N12" s="36"/>
      <c r="O12" s="67">
        <f>Standardwerte!$L$26*Unterhalt!I12</f>
        <v>240</v>
      </c>
      <c r="P12" s="36"/>
      <c r="Q12" s="67">
        <f>Standardwerte!$L$26*Unterhalt!J12</f>
        <v>280</v>
      </c>
      <c r="R12" s="36"/>
      <c r="S12" s="67">
        <f>Standardwerte!$L$26*Unterhalt!K12</f>
        <v>370</v>
      </c>
      <c r="T12" s="36"/>
      <c r="U12" s="67">
        <f>Standardwerte!$L$26*Unterhalt!L12</f>
        <v>470</v>
      </c>
      <c r="V12" s="36"/>
      <c r="W12" s="67">
        <f>Standardwerte!$L$26*Unterhalt!M12</f>
        <v>570</v>
      </c>
      <c r="X12" s="36"/>
      <c r="Y12" s="67">
        <f>Standardwerte!$L$26*Unterhalt!N12</f>
        <v>600</v>
      </c>
      <c r="Z12" s="36"/>
      <c r="AA12" s="67">
        <f>Standardwerte!$L$26*Unterhalt!O12</f>
        <v>750</v>
      </c>
      <c r="AB12" s="36"/>
      <c r="AC12" s="67">
        <f>Standardwerte!$L$26*Unterhalt!P12</f>
        <v>750</v>
      </c>
      <c r="AD12" s="36"/>
      <c r="AE12" s="67">
        <f>Standardwerte!$L$26*Unterhalt!Q12</f>
        <v>1000</v>
      </c>
    </row>
    <row r="13" spans="2:31">
      <c r="B13" s="8"/>
      <c r="C13" s="1" t="str">
        <f ca="1">Sprache!$E$222</f>
        <v>Grundpreis</v>
      </c>
      <c r="F13" s="27"/>
      <c r="G13" s="67">
        <f>Standardwerte!$L$26*Unterhalt!E13</f>
        <v>11</v>
      </c>
      <c r="H13" s="27"/>
      <c r="I13" s="67">
        <f>Standardwerte!$L$26*Unterhalt!F13</f>
        <v>11</v>
      </c>
      <c r="J13" s="36"/>
      <c r="K13" s="67">
        <f>Standardwerte!$L$26*Unterhalt!G13</f>
        <v>22</v>
      </c>
      <c r="L13" s="36"/>
      <c r="M13" s="67">
        <f>Standardwerte!$L$26*Unterhalt!H13</f>
        <v>44</v>
      </c>
      <c r="N13" s="36"/>
      <c r="O13" s="67">
        <f>Standardwerte!$L$26*Unterhalt!I13</f>
        <v>154</v>
      </c>
      <c r="P13" s="36"/>
      <c r="Q13" s="67">
        <f>Standardwerte!$L$26*Unterhalt!J13</f>
        <v>220</v>
      </c>
      <c r="R13" s="36"/>
      <c r="S13" s="67">
        <f>Standardwerte!$L$26*Unterhalt!K13</f>
        <v>440</v>
      </c>
      <c r="T13" s="36"/>
      <c r="U13" s="67">
        <f>Standardwerte!$L$26*Unterhalt!L13</f>
        <v>770.00000000000011</v>
      </c>
      <c r="V13" s="36"/>
      <c r="W13" s="67">
        <f>Standardwerte!$L$26*Unterhalt!M13</f>
        <v>1100</v>
      </c>
      <c r="X13" s="36"/>
      <c r="Y13" s="67">
        <f>Standardwerte!$L$26*Unterhalt!N13</f>
        <v>1650</v>
      </c>
      <c r="Z13" s="36"/>
      <c r="AA13" s="67">
        <f>Standardwerte!$L$26*Unterhalt!O13</f>
        <v>2200</v>
      </c>
      <c r="AB13" s="36"/>
      <c r="AC13" s="67">
        <f>Standardwerte!$L$26*Unterhalt!P13</f>
        <v>3300</v>
      </c>
      <c r="AD13" s="36"/>
      <c r="AE13" s="67">
        <f>Standardwerte!$L$26*Unterhalt!Q13</f>
        <v>4400</v>
      </c>
    </row>
    <row r="14" spans="2:31">
      <c r="B14" s="8"/>
    </row>
    <row r="15" spans="2:31">
      <c r="B15" s="8" t="str">
        <f>ROMAN(3)</f>
        <v>III</v>
      </c>
      <c r="C15" s="8" t="str">
        <f ca="1">Sprache!E18</f>
        <v>Pellets</v>
      </c>
      <c r="G15" s="68"/>
      <c r="I15" s="68"/>
      <c r="J15" s="68"/>
      <c r="K15" s="68"/>
      <c r="L15" s="68"/>
      <c r="M15" s="68"/>
      <c r="N15" s="68"/>
      <c r="O15" s="68"/>
      <c r="P15" s="68"/>
      <c r="Q15" s="68"/>
      <c r="R15" s="68"/>
      <c r="S15" s="68"/>
      <c r="T15" s="68"/>
      <c r="U15" s="68"/>
      <c r="V15" s="68"/>
      <c r="W15" s="68"/>
      <c r="X15" s="68"/>
      <c r="Y15" s="68"/>
      <c r="Z15" s="68"/>
      <c r="AA15" s="68"/>
      <c r="AB15" s="68"/>
      <c r="AC15" s="68"/>
      <c r="AD15" s="68"/>
      <c r="AE15" s="68"/>
    </row>
    <row r="16" spans="2:31">
      <c r="B16" s="8"/>
      <c r="C16" s="1" t="str">
        <f ca="1">Sprache!E168</f>
        <v>Wartungsabo</v>
      </c>
      <c r="F16" s="27"/>
      <c r="G16" s="67">
        <f>Standardwerte!$L$26*Unterhalt!E16</f>
        <v>490</v>
      </c>
      <c r="H16" s="27"/>
      <c r="I16" s="67">
        <f>Standardwerte!$L$26*Unterhalt!F16</f>
        <v>490</v>
      </c>
      <c r="J16" s="36"/>
      <c r="K16" s="67">
        <f>Standardwerte!$L$26*Unterhalt!G16</f>
        <v>490</v>
      </c>
      <c r="L16" s="36"/>
      <c r="M16" s="67">
        <f>Standardwerte!$L$26*Unterhalt!H16</f>
        <v>490</v>
      </c>
      <c r="N16" s="36"/>
      <c r="O16" s="67">
        <f>Standardwerte!$L$26*Unterhalt!I16</f>
        <v>550</v>
      </c>
      <c r="P16" s="36"/>
      <c r="Q16" s="67">
        <f>Standardwerte!$L$26*Unterhalt!J16</f>
        <v>550</v>
      </c>
      <c r="R16" s="36"/>
      <c r="S16" s="67">
        <f>Standardwerte!$L$26*Unterhalt!K16</f>
        <v>850</v>
      </c>
      <c r="T16" s="36"/>
      <c r="U16" s="67">
        <f>Standardwerte!$L$26*Unterhalt!L16</f>
        <v>1500</v>
      </c>
      <c r="V16" s="36"/>
      <c r="W16" s="67">
        <f>Standardwerte!$L$26*Unterhalt!M16</f>
        <v>2200</v>
      </c>
      <c r="X16" s="36"/>
      <c r="Y16" s="67">
        <f>Standardwerte!$L$26*Unterhalt!N16</f>
        <v>3000</v>
      </c>
      <c r="Z16" s="36"/>
      <c r="AA16" s="67">
        <f>Standardwerte!$L$26*Unterhalt!O16</f>
        <v>3900</v>
      </c>
      <c r="AB16" s="36"/>
      <c r="AC16" s="67">
        <f>Standardwerte!$L$26*Unterhalt!P16</f>
        <v>6000</v>
      </c>
      <c r="AD16" s="36"/>
      <c r="AE16" s="67">
        <f>Standardwerte!$L$26*Unterhalt!Q16</f>
        <v>8000</v>
      </c>
    </row>
    <row r="17" spans="2:31">
      <c r="B17" s="8"/>
      <c r="C17" s="1" t="str">
        <f ca="1">Sprache!E169</f>
        <v>Kaminfeger</v>
      </c>
      <c r="F17" s="27"/>
      <c r="G17" s="67">
        <f>Standardwerte!$L$26*Unterhalt!E17</f>
        <v>170</v>
      </c>
      <c r="H17" s="27"/>
      <c r="I17" s="67">
        <f>Standardwerte!$L$26*Unterhalt!F17</f>
        <v>170</v>
      </c>
      <c r="J17" s="36"/>
      <c r="K17" s="67">
        <f>Standardwerte!$L$26*Unterhalt!G17</f>
        <v>170</v>
      </c>
      <c r="L17" s="36"/>
      <c r="M17" s="67">
        <f>Standardwerte!$L$26*Unterhalt!H17</f>
        <v>170</v>
      </c>
      <c r="N17" s="36"/>
      <c r="O17" s="67">
        <f>Standardwerte!$L$26*Unterhalt!I17</f>
        <v>240</v>
      </c>
      <c r="P17" s="36"/>
      <c r="Q17" s="67">
        <f>Standardwerte!$L$26*Unterhalt!J17</f>
        <v>280</v>
      </c>
      <c r="R17" s="36"/>
      <c r="S17" s="67">
        <f>Standardwerte!$L$26*Unterhalt!K17</f>
        <v>370</v>
      </c>
      <c r="T17" s="36"/>
      <c r="U17" s="67">
        <f>Standardwerte!$L$26*Unterhalt!L17</f>
        <v>470</v>
      </c>
      <c r="V17" s="36"/>
      <c r="W17" s="67">
        <f>Standardwerte!$L$26*Unterhalt!M17</f>
        <v>1000</v>
      </c>
      <c r="X17" s="36"/>
      <c r="Y17" s="67">
        <f>Standardwerte!$L$26*Unterhalt!N17</f>
        <v>2000</v>
      </c>
      <c r="Z17" s="36"/>
      <c r="AA17" s="67">
        <f>Standardwerte!$L$26*Unterhalt!O17</f>
        <v>3500</v>
      </c>
      <c r="AB17" s="36"/>
      <c r="AC17" s="67">
        <f>Standardwerte!$L$26*Unterhalt!P17</f>
        <v>4000</v>
      </c>
      <c r="AD17" s="36"/>
      <c r="AE17" s="67">
        <f>Standardwerte!$L$26*Unterhalt!Q17</f>
        <v>4500</v>
      </c>
    </row>
    <row r="18" spans="2:31">
      <c r="B18" s="8"/>
    </row>
    <row r="19" spans="2:31">
      <c r="B19" s="8" t="str">
        <f>ROMAN(4)</f>
        <v>IV</v>
      </c>
      <c r="C19" s="8" t="str">
        <f ca="1">Sprache!E212</f>
        <v>Hackschnitzel</v>
      </c>
      <c r="F19" s="69"/>
      <c r="G19" s="68"/>
      <c r="H19" s="69"/>
      <c r="I19" s="68"/>
      <c r="J19" s="68"/>
      <c r="K19" s="68"/>
      <c r="L19" s="68"/>
      <c r="M19" s="68"/>
      <c r="N19" s="68"/>
      <c r="O19" s="68"/>
      <c r="P19" s="68"/>
      <c r="Q19" s="68"/>
      <c r="R19" s="68"/>
      <c r="S19" s="68"/>
      <c r="T19" s="68"/>
      <c r="U19" s="68"/>
      <c r="V19" s="68"/>
      <c r="W19" s="68"/>
      <c r="X19" s="68"/>
      <c r="Y19" s="68"/>
      <c r="Z19" s="68"/>
      <c r="AA19" s="68"/>
      <c r="AB19" s="68"/>
      <c r="AC19" s="68"/>
      <c r="AD19" s="68"/>
      <c r="AE19" s="68"/>
    </row>
    <row r="20" spans="2:31">
      <c r="C20" s="1" t="str">
        <f ca="1">Sprache!E168</f>
        <v>Wartungsabo</v>
      </c>
      <c r="F20" s="36"/>
      <c r="G20" s="89">
        <f>Standardwerte!$L$26*Unterhalt!E20</f>
        <v>0</v>
      </c>
      <c r="H20" s="36"/>
      <c r="I20" s="89">
        <f>Standardwerte!$L$26*Unterhalt!F20</f>
        <v>0</v>
      </c>
      <c r="J20" s="36"/>
      <c r="K20" s="89">
        <f>Standardwerte!$L$26*Unterhalt!G20</f>
        <v>0</v>
      </c>
      <c r="L20" s="36"/>
      <c r="M20" s="89">
        <f>Standardwerte!$L$26*Unterhalt!H20</f>
        <v>450</v>
      </c>
      <c r="N20" s="36"/>
      <c r="O20" s="67">
        <f>Standardwerte!$L$26*Unterhalt!I20</f>
        <v>550</v>
      </c>
      <c r="P20" s="36"/>
      <c r="Q20" s="67">
        <f>Standardwerte!$L$26*Unterhalt!J20</f>
        <v>550</v>
      </c>
      <c r="R20" s="36"/>
      <c r="S20" s="67">
        <f>Standardwerte!$L$26*Unterhalt!K20</f>
        <v>850</v>
      </c>
      <c r="T20" s="36"/>
      <c r="U20" s="67">
        <f>Standardwerte!$L$26*Unterhalt!L20</f>
        <v>1500</v>
      </c>
      <c r="V20" s="36"/>
      <c r="W20" s="67">
        <f>Standardwerte!$L$26*Unterhalt!M20</f>
        <v>2200</v>
      </c>
      <c r="X20" s="36"/>
      <c r="Y20" s="67">
        <f>Standardwerte!$L$26*Unterhalt!N20</f>
        <v>3000</v>
      </c>
      <c r="Z20" s="36"/>
      <c r="AA20" s="67">
        <f>Standardwerte!$L$26*Unterhalt!O20</f>
        <v>3900</v>
      </c>
      <c r="AB20" s="36"/>
      <c r="AC20" s="67">
        <f>Standardwerte!$L$26*Unterhalt!P20</f>
        <v>6000</v>
      </c>
      <c r="AD20" s="36"/>
      <c r="AE20" s="67">
        <f>Standardwerte!$L$26*Unterhalt!Q20</f>
        <v>8000</v>
      </c>
    </row>
    <row r="21" spans="2:31">
      <c r="C21" s="1" t="str">
        <f ca="1">Sprache!E169</f>
        <v>Kaminfeger</v>
      </c>
      <c r="F21" s="36"/>
      <c r="G21" s="89">
        <f>Standardwerte!$L$26*Unterhalt!E21</f>
        <v>0</v>
      </c>
      <c r="H21" s="36"/>
      <c r="I21" s="89">
        <f>Standardwerte!$L$26*Unterhalt!F21</f>
        <v>0</v>
      </c>
      <c r="J21" s="36"/>
      <c r="K21" s="89">
        <f>Standardwerte!$L$26*Unterhalt!G21</f>
        <v>0</v>
      </c>
      <c r="L21" s="36"/>
      <c r="M21" s="89">
        <f>Standardwerte!$L$26*Unterhalt!H21</f>
        <v>370</v>
      </c>
      <c r="N21" s="36"/>
      <c r="O21" s="67">
        <f>Standardwerte!$L$26*Unterhalt!I21</f>
        <v>370</v>
      </c>
      <c r="P21" s="36"/>
      <c r="Q21" s="67">
        <f>Standardwerte!$L$26*Unterhalt!J21</f>
        <v>370</v>
      </c>
      <c r="R21" s="36"/>
      <c r="S21" s="67">
        <f>Standardwerte!$L$26*Unterhalt!K21</f>
        <v>370</v>
      </c>
      <c r="T21" s="36"/>
      <c r="U21" s="67">
        <f>Standardwerte!$L$26*Unterhalt!L21</f>
        <v>470</v>
      </c>
      <c r="V21" s="36"/>
      <c r="W21" s="67">
        <f>Standardwerte!$L$26*Unterhalt!M21</f>
        <v>1000</v>
      </c>
      <c r="X21" s="36"/>
      <c r="Y21" s="67">
        <f>Standardwerte!$L$26*Unterhalt!N21</f>
        <v>2000</v>
      </c>
      <c r="Z21" s="36"/>
      <c r="AA21" s="67">
        <f>Standardwerte!$L$26*Unterhalt!O21</f>
        <v>3500</v>
      </c>
      <c r="AB21" s="36"/>
      <c r="AC21" s="67">
        <f>Standardwerte!$L$26*Unterhalt!P21</f>
        <v>4000</v>
      </c>
      <c r="AD21" s="36"/>
      <c r="AE21" s="67">
        <f>Standardwerte!$L$26*Unterhalt!Q21</f>
        <v>4500</v>
      </c>
    </row>
    <row r="23" spans="2:31">
      <c r="B23" s="8" t="str">
        <f>ROMAN(5)</f>
        <v>V</v>
      </c>
      <c r="C23" s="8" t="str">
        <f ca="1">Sprache!E213</f>
        <v>WP (LW)</v>
      </c>
      <c r="F23" s="69"/>
      <c r="G23" s="68"/>
      <c r="H23" s="69"/>
      <c r="I23" s="68"/>
      <c r="J23" s="68"/>
      <c r="K23" s="68"/>
      <c r="L23" s="68"/>
      <c r="M23" s="68"/>
      <c r="N23" s="68"/>
      <c r="O23" s="68"/>
    </row>
    <row r="24" spans="2:31">
      <c r="C24" s="1" t="str">
        <f ca="1">Sprache!E168</f>
        <v>Wartungsabo</v>
      </c>
      <c r="F24" s="27"/>
      <c r="G24" s="67">
        <f>Standardwerte!$L$26*Unterhalt!E24</f>
        <v>440</v>
      </c>
      <c r="H24" s="27"/>
      <c r="I24" s="67">
        <f>Standardwerte!$L$26*Unterhalt!F24</f>
        <v>440</v>
      </c>
      <c r="J24" s="36"/>
      <c r="K24" s="67">
        <f>Standardwerte!$L$26*Unterhalt!G24</f>
        <v>440</v>
      </c>
      <c r="L24" s="36"/>
      <c r="M24" s="67">
        <f>Standardwerte!$L$26*Unterhalt!H24</f>
        <v>500</v>
      </c>
      <c r="N24" s="36"/>
      <c r="O24" s="67">
        <f>Standardwerte!$L$26*Unterhalt!I24</f>
        <v>635</v>
      </c>
      <c r="P24" s="36"/>
      <c r="Q24" s="89">
        <f>Standardwerte!$L$26*Unterhalt!J24</f>
        <v>1200</v>
      </c>
      <c r="R24" s="36"/>
      <c r="S24" s="89">
        <f>Standardwerte!$L$26*Unterhalt!K24</f>
        <v>2200</v>
      </c>
      <c r="T24" s="36"/>
      <c r="U24" s="89">
        <f>Standardwerte!$L$26*Unterhalt!L24</f>
        <v>0</v>
      </c>
      <c r="V24" s="36"/>
      <c r="W24" s="89">
        <f>Standardwerte!$L$26*Unterhalt!M24</f>
        <v>0</v>
      </c>
      <c r="X24" s="36"/>
      <c r="Y24" s="89">
        <f>Standardwerte!$L$26*Unterhalt!N24</f>
        <v>0</v>
      </c>
      <c r="Z24" s="36"/>
      <c r="AA24" s="89">
        <f>Standardwerte!$L$26*Unterhalt!O24</f>
        <v>0</v>
      </c>
      <c r="AB24" s="36"/>
      <c r="AC24" s="89">
        <f>Standardwerte!$L$26*Unterhalt!P24</f>
        <v>0</v>
      </c>
      <c r="AD24" s="36"/>
      <c r="AE24" s="89">
        <f>Standardwerte!$L$26*Unterhalt!Q24</f>
        <v>0</v>
      </c>
    </row>
    <row r="25" spans="2:31">
      <c r="C25" s="1" t="str">
        <f ca="1">Sprache!E181</f>
        <v>Filterwechsel</v>
      </c>
      <c r="F25" s="27"/>
      <c r="G25" s="67">
        <f>Standardwerte!$L$26*Unterhalt!E25</f>
        <v>0</v>
      </c>
      <c r="H25" s="27"/>
      <c r="I25" s="67">
        <f>Standardwerte!$L$26*Unterhalt!F25</f>
        <v>0</v>
      </c>
      <c r="J25" s="36"/>
      <c r="K25" s="67">
        <f>Standardwerte!$L$26*Unterhalt!G25</f>
        <v>0</v>
      </c>
      <c r="L25" s="36"/>
      <c r="M25" s="67">
        <f>Standardwerte!$L$26*Unterhalt!H25</f>
        <v>0</v>
      </c>
      <c r="N25" s="36"/>
      <c r="O25" s="67">
        <f>Standardwerte!$L$26*Unterhalt!I25</f>
        <v>0</v>
      </c>
      <c r="P25" s="36"/>
      <c r="Q25" s="89">
        <f>Standardwerte!$L$26*Unterhalt!J25</f>
        <v>0</v>
      </c>
      <c r="R25" s="36"/>
      <c r="S25" s="89">
        <f>Standardwerte!$L$26*Unterhalt!K25</f>
        <v>0</v>
      </c>
      <c r="T25" s="36"/>
      <c r="U25" s="89">
        <f>Standardwerte!$L$26*Unterhalt!L25</f>
        <v>0</v>
      </c>
      <c r="V25" s="36"/>
      <c r="W25" s="89">
        <f>Standardwerte!$L$26*Unterhalt!M25</f>
        <v>0</v>
      </c>
      <c r="X25" s="36"/>
      <c r="Y25" s="89">
        <f>Standardwerte!$L$26*Unterhalt!N25</f>
        <v>0</v>
      </c>
      <c r="Z25" s="36"/>
      <c r="AA25" s="89">
        <f>Standardwerte!$L$26*Unterhalt!O25</f>
        <v>0</v>
      </c>
      <c r="AB25" s="36"/>
      <c r="AC25" s="89">
        <f>Standardwerte!$L$26*Unterhalt!P25</f>
        <v>0</v>
      </c>
      <c r="AD25" s="36"/>
      <c r="AE25" s="89">
        <f>Standardwerte!$L$26*Unterhalt!Q25</f>
        <v>0</v>
      </c>
    </row>
    <row r="26" spans="2:31">
      <c r="C26" s="1" t="str">
        <f ca="1">Sprache!E142</f>
        <v>Zählermiete</v>
      </c>
      <c r="F26" s="27"/>
      <c r="G26" s="67">
        <f>Standardwerte!$L$26*Unterhalt!E26</f>
        <v>50</v>
      </c>
      <c r="H26" s="27"/>
      <c r="I26" s="67">
        <f>Standardwerte!$L$26*Unterhalt!F26</f>
        <v>50</v>
      </c>
      <c r="J26" s="36"/>
      <c r="K26" s="67">
        <f>Standardwerte!$L$26*Unterhalt!G26</f>
        <v>50</v>
      </c>
      <c r="L26" s="36"/>
      <c r="M26" s="67">
        <f>Standardwerte!$L$26*Unterhalt!H26</f>
        <v>50</v>
      </c>
      <c r="N26" s="36"/>
      <c r="O26" s="67">
        <f>Standardwerte!$L$26*Unterhalt!I26</f>
        <v>50</v>
      </c>
      <c r="P26" s="36"/>
      <c r="Q26" s="89">
        <f>Standardwerte!$L$26*Unterhalt!J26</f>
        <v>50</v>
      </c>
      <c r="R26" s="36"/>
      <c r="S26" s="89">
        <f>Standardwerte!$L$26*Unterhalt!K26</f>
        <v>50</v>
      </c>
      <c r="T26" s="36"/>
      <c r="U26" s="89">
        <f>Standardwerte!$L$26*Unterhalt!L26</f>
        <v>0</v>
      </c>
      <c r="V26" s="36"/>
      <c r="W26" s="89">
        <f>Standardwerte!$L$26*Unterhalt!M26</f>
        <v>0</v>
      </c>
      <c r="X26" s="36"/>
      <c r="Y26" s="89">
        <f>Standardwerte!$L$26*Unterhalt!N26</f>
        <v>0</v>
      </c>
      <c r="Z26" s="36"/>
      <c r="AA26" s="89">
        <f>Standardwerte!$L$26*Unterhalt!O26</f>
        <v>0</v>
      </c>
      <c r="AB26" s="36"/>
      <c r="AC26" s="89">
        <f>Standardwerte!$L$26*Unterhalt!P26</f>
        <v>0</v>
      </c>
      <c r="AD26" s="36"/>
      <c r="AE26" s="89">
        <f>Standardwerte!$L$26*Unterhalt!Q26</f>
        <v>0</v>
      </c>
    </row>
    <row r="27" spans="2:31">
      <c r="C27" s="1" t="str">
        <f ca="1">Sprache!E222</f>
        <v>Grundpreis</v>
      </c>
      <c r="F27" s="27"/>
      <c r="G27" s="67">
        <f>Standardwerte!$L$26*Unterhalt!E27</f>
        <v>0</v>
      </c>
      <c r="H27" s="27"/>
      <c r="I27" s="67">
        <f>Standardwerte!$L$26*Unterhalt!F27</f>
        <v>0</v>
      </c>
      <c r="J27" s="36"/>
      <c r="K27" s="67">
        <f>Standardwerte!$L$26*Unterhalt!G27</f>
        <v>0</v>
      </c>
      <c r="L27" s="36"/>
      <c r="M27" s="67">
        <f>Standardwerte!$L$26*Unterhalt!H27</f>
        <v>0</v>
      </c>
      <c r="N27" s="36"/>
      <c r="O27" s="67">
        <f>Standardwerte!$L$26*Unterhalt!I27</f>
        <v>0</v>
      </c>
      <c r="P27" s="36"/>
      <c r="Q27" s="89">
        <f>Standardwerte!$L$26*Unterhalt!J27</f>
        <v>0</v>
      </c>
      <c r="R27" s="36"/>
      <c r="S27" s="89">
        <f>Standardwerte!$L$26*Unterhalt!K27</f>
        <v>0</v>
      </c>
      <c r="T27" s="36"/>
      <c r="U27" s="89">
        <f>Standardwerte!$L$26*Unterhalt!L27</f>
        <v>0</v>
      </c>
      <c r="V27" s="36"/>
      <c r="W27" s="89">
        <f>Standardwerte!$L$26*Unterhalt!M27</f>
        <v>0</v>
      </c>
      <c r="X27" s="36"/>
      <c r="Y27" s="89">
        <f>Standardwerte!$L$26*Unterhalt!N27</f>
        <v>0</v>
      </c>
      <c r="Z27" s="36"/>
      <c r="AA27" s="89">
        <f>Standardwerte!$L$26*Unterhalt!O27</f>
        <v>0</v>
      </c>
      <c r="AB27" s="36"/>
      <c r="AC27" s="89">
        <f>Standardwerte!$L$26*Unterhalt!P27</f>
        <v>0</v>
      </c>
      <c r="AD27" s="36"/>
      <c r="AE27" s="89">
        <f>Standardwerte!$L$26*Unterhalt!Q27</f>
        <v>0</v>
      </c>
    </row>
    <row r="29" spans="2:31">
      <c r="B29" s="8" t="str">
        <f>ROMAN(6)</f>
        <v>VI</v>
      </c>
      <c r="C29" s="8" t="str">
        <f ca="1">Sprache!E21</f>
        <v>WP (WW)</v>
      </c>
      <c r="G29" s="68"/>
      <c r="I29" s="68"/>
      <c r="J29" s="68"/>
      <c r="K29" s="68"/>
      <c r="L29" s="68"/>
      <c r="M29" s="68"/>
      <c r="N29" s="68"/>
      <c r="O29" s="68"/>
      <c r="P29" s="68"/>
      <c r="Q29" s="68"/>
      <c r="R29" s="68"/>
      <c r="S29" s="68"/>
      <c r="T29" s="68"/>
      <c r="U29" s="68"/>
      <c r="V29" s="68"/>
      <c r="W29" s="68"/>
      <c r="X29" s="68"/>
      <c r="Y29" s="68"/>
      <c r="Z29" s="68"/>
      <c r="AA29" s="68"/>
      <c r="AB29" s="68"/>
      <c r="AC29" s="68"/>
      <c r="AD29" s="68"/>
      <c r="AE29" s="68"/>
    </row>
    <row r="30" spans="2:31">
      <c r="C30" s="1" t="str">
        <f ca="1">Sprache!E168</f>
        <v>Wartungsabo</v>
      </c>
      <c r="F30" s="27"/>
      <c r="G30" s="67">
        <f>Standardwerte!$L$26*Unterhalt!E30</f>
        <v>680</v>
      </c>
      <c r="H30" s="27"/>
      <c r="I30" s="67">
        <f>Standardwerte!$L$26*Unterhalt!F30</f>
        <v>680</v>
      </c>
      <c r="J30" s="36"/>
      <c r="K30" s="67">
        <f>Standardwerte!$L$26*Unterhalt!G30</f>
        <v>680</v>
      </c>
      <c r="L30" s="36"/>
      <c r="M30" s="67">
        <f>Standardwerte!$L$26*Unterhalt!H30</f>
        <v>800</v>
      </c>
      <c r="N30" s="36"/>
      <c r="O30" s="67">
        <f>Standardwerte!$L$26*Unterhalt!I30</f>
        <v>800</v>
      </c>
      <c r="P30" s="36"/>
      <c r="Q30" s="67">
        <f>Standardwerte!$L$26*Unterhalt!J30</f>
        <v>1200</v>
      </c>
      <c r="R30" s="36"/>
      <c r="S30" s="67">
        <f>Standardwerte!$L$26*Unterhalt!K30</f>
        <v>1500</v>
      </c>
      <c r="T30" s="36"/>
      <c r="U30" s="67">
        <f>Standardwerte!$L$26*Unterhalt!L30</f>
        <v>2000</v>
      </c>
      <c r="V30" s="36"/>
      <c r="W30" s="67">
        <f>Standardwerte!$L$26*Unterhalt!M30</f>
        <v>3200</v>
      </c>
      <c r="X30" s="36"/>
      <c r="Y30" s="67">
        <f>Standardwerte!$L$26*Unterhalt!N30</f>
        <v>4200</v>
      </c>
      <c r="Z30" s="36"/>
      <c r="AA30" s="67">
        <f>Standardwerte!$L$26*Unterhalt!O30</f>
        <v>5500</v>
      </c>
      <c r="AB30" s="36"/>
      <c r="AC30" s="67">
        <f>Standardwerte!$L$26*Unterhalt!P30</f>
        <v>8000</v>
      </c>
      <c r="AD30" s="36"/>
      <c r="AE30" s="67">
        <f>Standardwerte!$L$26*Unterhalt!Q30</f>
        <v>10000</v>
      </c>
    </row>
    <row r="31" spans="2:31">
      <c r="C31" s="1" t="str">
        <f ca="1">Sprache!E142</f>
        <v>Zählermiete</v>
      </c>
      <c r="F31" s="27"/>
      <c r="G31" s="67">
        <f>Standardwerte!$L$26*Unterhalt!E31</f>
        <v>50</v>
      </c>
      <c r="H31" s="27"/>
      <c r="I31" s="67">
        <f>Standardwerte!$L$26*Unterhalt!F31</f>
        <v>50</v>
      </c>
      <c r="J31" s="36"/>
      <c r="K31" s="67">
        <f>Standardwerte!$L$26*Unterhalt!G31</f>
        <v>50</v>
      </c>
      <c r="L31" s="36"/>
      <c r="M31" s="67">
        <f>Standardwerte!$L$26*Unterhalt!H31</f>
        <v>50</v>
      </c>
      <c r="N31" s="36"/>
      <c r="O31" s="67">
        <f>Standardwerte!$L$26*Unterhalt!I31</f>
        <v>50</v>
      </c>
      <c r="P31" s="36"/>
      <c r="Q31" s="67">
        <f>Standardwerte!$L$26*Unterhalt!J31</f>
        <v>50</v>
      </c>
      <c r="R31" s="36"/>
      <c r="S31" s="67">
        <f>Standardwerte!$L$26*Unterhalt!K31</f>
        <v>50</v>
      </c>
      <c r="T31" s="36"/>
      <c r="U31" s="67">
        <f>Standardwerte!$L$26*Unterhalt!L31</f>
        <v>50</v>
      </c>
      <c r="V31" s="36"/>
      <c r="W31" s="67">
        <f>Standardwerte!$L$26*Unterhalt!M31</f>
        <v>50</v>
      </c>
      <c r="X31" s="36"/>
      <c r="Y31" s="67">
        <f>Standardwerte!$L$26*Unterhalt!N31</f>
        <v>50</v>
      </c>
      <c r="Z31" s="36"/>
      <c r="AA31" s="67">
        <f>Standardwerte!$L$26*Unterhalt!O31</f>
        <v>50</v>
      </c>
      <c r="AB31" s="36"/>
      <c r="AC31" s="67">
        <f>Standardwerte!$L$26*Unterhalt!P31</f>
        <v>50</v>
      </c>
      <c r="AD31" s="36"/>
      <c r="AE31" s="67">
        <f>Standardwerte!$L$26*Unterhalt!Q31</f>
        <v>50</v>
      </c>
    </row>
    <row r="32" spans="2:31">
      <c r="C32" s="1" t="str">
        <f ca="1">Sprache!E222</f>
        <v>Grundpreis</v>
      </c>
      <c r="F32" s="27"/>
      <c r="G32" s="67">
        <f>Standardwerte!$L$26*Unterhalt!E32</f>
        <v>0</v>
      </c>
      <c r="H32" s="27"/>
      <c r="I32" s="67">
        <f>Standardwerte!$L$26*Unterhalt!F32</f>
        <v>0</v>
      </c>
      <c r="J32" s="36"/>
      <c r="K32" s="67">
        <f>Standardwerte!$L$26*Unterhalt!G32</f>
        <v>0</v>
      </c>
      <c r="L32" s="36"/>
      <c r="M32" s="67">
        <f>Standardwerte!$L$26*Unterhalt!H32</f>
        <v>0</v>
      </c>
      <c r="N32" s="36"/>
      <c r="O32" s="67">
        <f>Standardwerte!$L$26*Unterhalt!I32</f>
        <v>0</v>
      </c>
      <c r="P32" s="36"/>
      <c r="Q32" s="67">
        <f>Standardwerte!$L$26*Unterhalt!J32</f>
        <v>0</v>
      </c>
      <c r="R32" s="36"/>
      <c r="S32" s="67">
        <f>Standardwerte!$L$26*Unterhalt!K32</f>
        <v>0</v>
      </c>
      <c r="T32" s="36"/>
      <c r="U32" s="67">
        <f>Standardwerte!$L$26*Unterhalt!L32</f>
        <v>0</v>
      </c>
      <c r="V32" s="36"/>
      <c r="W32" s="67">
        <f>Standardwerte!$L$26*Unterhalt!M32</f>
        <v>0</v>
      </c>
      <c r="X32" s="36"/>
      <c r="Y32" s="67">
        <f>Standardwerte!$L$26*Unterhalt!N32</f>
        <v>0</v>
      </c>
      <c r="Z32" s="36"/>
      <c r="AA32" s="67">
        <f>Standardwerte!$L$26*Unterhalt!O32</f>
        <v>0</v>
      </c>
      <c r="AB32" s="36"/>
      <c r="AC32" s="67">
        <f>Standardwerte!$L$26*Unterhalt!P32</f>
        <v>0</v>
      </c>
      <c r="AD32" s="36"/>
      <c r="AE32" s="67">
        <f>Standardwerte!$L$26*Unterhalt!Q32</f>
        <v>0</v>
      </c>
    </row>
    <row r="34" spans="2:31">
      <c r="B34" s="8" t="str">
        <f>ROMAN(7)</f>
        <v>VII</v>
      </c>
      <c r="C34" s="8" t="str">
        <f ca="1">Sprache!E22</f>
        <v>WP (SW)</v>
      </c>
      <c r="F34" s="69"/>
      <c r="G34" s="68"/>
      <c r="H34" s="69"/>
      <c r="I34" s="68"/>
      <c r="J34" s="68"/>
      <c r="K34" s="68"/>
      <c r="L34" s="68"/>
      <c r="M34" s="68"/>
      <c r="N34" s="68"/>
      <c r="O34" s="68"/>
      <c r="P34" s="68"/>
      <c r="Q34" s="68"/>
      <c r="R34" s="68"/>
      <c r="S34" s="68"/>
      <c r="T34" s="68"/>
      <c r="U34" s="68"/>
      <c r="V34" s="68"/>
      <c r="W34" s="68"/>
      <c r="X34" s="68"/>
      <c r="Y34" s="68"/>
      <c r="Z34" s="68"/>
      <c r="AA34" s="68"/>
      <c r="AB34" s="68"/>
      <c r="AC34" s="68"/>
      <c r="AD34" s="68"/>
      <c r="AE34" s="68"/>
    </row>
    <row r="35" spans="2:31">
      <c r="C35" s="1" t="str">
        <f ca="1">Sprache!$E$168</f>
        <v>Wartungsabo</v>
      </c>
      <c r="F35" s="27"/>
      <c r="G35" s="67">
        <f>Standardwerte!$L$26*Unterhalt!E35</f>
        <v>680</v>
      </c>
      <c r="H35" s="27"/>
      <c r="I35" s="67">
        <f>Standardwerte!$L$26*Unterhalt!F35</f>
        <v>680</v>
      </c>
      <c r="J35" s="36"/>
      <c r="K35" s="67">
        <f>Standardwerte!$L$26*Unterhalt!G35</f>
        <v>680</v>
      </c>
      <c r="L35" s="36"/>
      <c r="M35" s="67">
        <f>Standardwerte!$L$26*Unterhalt!H35</f>
        <v>800</v>
      </c>
      <c r="N35" s="36"/>
      <c r="O35" s="67">
        <f>Standardwerte!$L$26*Unterhalt!I35</f>
        <v>800</v>
      </c>
      <c r="P35" s="36"/>
      <c r="Q35" s="67">
        <f>Standardwerte!$L$26*Unterhalt!J35</f>
        <v>1200</v>
      </c>
      <c r="R35" s="36"/>
      <c r="S35" s="67">
        <f>Standardwerte!$L$26*Unterhalt!K35</f>
        <v>1500</v>
      </c>
      <c r="T35" s="36"/>
      <c r="U35" s="67">
        <f>Standardwerte!$L$26*Unterhalt!L35</f>
        <v>2000</v>
      </c>
      <c r="V35" s="36"/>
      <c r="W35" s="67">
        <f>Standardwerte!$L$26*Unterhalt!M35</f>
        <v>3200</v>
      </c>
      <c r="X35" s="36"/>
      <c r="Y35" s="67">
        <f>Standardwerte!$L$26*Unterhalt!N35</f>
        <v>4200</v>
      </c>
      <c r="Z35" s="36"/>
      <c r="AA35" s="67">
        <f>Standardwerte!$L$26*Unterhalt!O35</f>
        <v>5500</v>
      </c>
      <c r="AB35" s="36"/>
      <c r="AC35" s="67">
        <f>Standardwerte!$L$26*Unterhalt!P35</f>
        <v>8000</v>
      </c>
      <c r="AD35" s="36"/>
      <c r="AE35" s="67">
        <f>Standardwerte!$L$26*Unterhalt!Q35</f>
        <v>10000</v>
      </c>
    </row>
    <row r="36" spans="2:31">
      <c r="C36" s="1" t="str">
        <f ca="1">Sprache!$E$142</f>
        <v>Zählermiete</v>
      </c>
      <c r="F36" s="27"/>
      <c r="G36" s="67">
        <f>Standardwerte!$L$26*Unterhalt!E36</f>
        <v>50</v>
      </c>
      <c r="H36" s="27"/>
      <c r="I36" s="67">
        <f>Standardwerte!$L$26*Unterhalt!F36</f>
        <v>50</v>
      </c>
      <c r="J36" s="36"/>
      <c r="K36" s="67">
        <f>Standardwerte!$L$26*Unterhalt!G36</f>
        <v>50</v>
      </c>
      <c r="L36" s="36"/>
      <c r="M36" s="67">
        <f>Standardwerte!$L$26*Unterhalt!H36</f>
        <v>50</v>
      </c>
      <c r="N36" s="36"/>
      <c r="O36" s="67">
        <f>Standardwerte!$L$26*Unterhalt!I36</f>
        <v>50</v>
      </c>
      <c r="P36" s="36"/>
      <c r="Q36" s="67">
        <f>Standardwerte!$L$26*Unterhalt!J36</f>
        <v>50</v>
      </c>
      <c r="R36" s="36"/>
      <c r="S36" s="67">
        <f>Standardwerte!$L$26*Unterhalt!K36</f>
        <v>50</v>
      </c>
      <c r="T36" s="36"/>
      <c r="U36" s="67">
        <f>Standardwerte!$L$26*Unterhalt!L36</f>
        <v>50</v>
      </c>
      <c r="V36" s="36"/>
      <c r="W36" s="67">
        <f>Standardwerte!$L$26*Unterhalt!M36</f>
        <v>50</v>
      </c>
      <c r="X36" s="36"/>
      <c r="Y36" s="67">
        <f>Standardwerte!$L$26*Unterhalt!N36</f>
        <v>50</v>
      </c>
      <c r="Z36" s="36"/>
      <c r="AA36" s="67">
        <f>Standardwerte!$L$26*Unterhalt!O36</f>
        <v>50</v>
      </c>
      <c r="AB36" s="36"/>
      <c r="AC36" s="67">
        <f>Standardwerte!$L$26*Unterhalt!P36</f>
        <v>50</v>
      </c>
      <c r="AD36" s="36"/>
      <c r="AE36" s="67">
        <f>Standardwerte!$L$26*Unterhalt!Q36</f>
        <v>50</v>
      </c>
    </row>
    <row r="37" spans="2:31">
      <c r="C37" s="1" t="str">
        <f ca="1">Sprache!$E$222</f>
        <v>Grundpreis</v>
      </c>
      <c r="F37" s="27"/>
      <c r="G37" s="67">
        <f>Standardwerte!$L$26*Unterhalt!E37</f>
        <v>0</v>
      </c>
      <c r="H37" s="27"/>
      <c r="I37" s="67">
        <f>Standardwerte!$L$26*Unterhalt!F37</f>
        <v>0</v>
      </c>
      <c r="J37" s="36"/>
      <c r="K37" s="67">
        <f>Standardwerte!$L$26*Unterhalt!G37</f>
        <v>0</v>
      </c>
      <c r="L37" s="36"/>
      <c r="M37" s="67">
        <f>Standardwerte!$L$26*Unterhalt!H37</f>
        <v>0</v>
      </c>
      <c r="N37" s="36"/>
      <c r="O37" s="67">
        <f>Standardwerte!$L$26*Unterhalt!I37</f>
        <v>0</v>
      </c>
      <c r="P37" s="36"/>
      <c r="Q37" s="67">
        <f>Standardwerte!$L$26*Unterhalt!J37</f>
        <v>0</v>
      </c>
      <c r="R37" s="36"/>
      <c r="S37" s="67">
        <f>Standardwerte!$L$26*Unterhalt!K37</f>
        <v>0</v>
      </c>
      <c r="T37" s="36"/>
      <c r="U37" s="67">
        <f>Standardwerte!$L$26*Unterhalt!L37</f>
        <v>0</v>
      </c>
      <c r="V37" s="36"/>
      <c r="W37" s="67">
        <f>Standardwerte!$L$26*Unterhalt!M37</f>
        <v>0</v>
      </c>
      <c r="X37" s="36"/>
      <c r="Y37" s="67">
        <f>Standardwerte!$L$26*Unterhalt!N37</f>
        <v>0</v>
      </c>
      <c r="Z37" s="36"/>
      <c r="AA37" s="67">
        <f>Standardwerte!$L$26*Unterhalt!O37</f>
        <v>0</v>
      </c>
      <c r="AB37" s="36"/>
      <c r="AC37" s="67">
        <f>Standardwerte!$L$26*Unterhalt!P37</f>
        <v>0</v>
      </c>
      <c r="AD37" s="36"/>
      <c r="AE37" s="67">
        <f>Standardwerte!$L$26*Unterhalt!Q37</f>
        <v>0</v>
      </c>
    </row>
    <row r="39" spans="2:31">
      <c r="B39" s="8" t="str">
        <f>ROMAN(8)</f>
        <v>VIII</v>
      </c>
      <c r="C39" s="8" t="str">
        <f>Sprache!F482</f>
        <v>WP (SW mit Absorber)</v>
      </c>
    </row>
    <row r="40" spans="2:31">
      <c r="C40" s="1" t="str">
        <f ca="1">Sprache!$E$168</f>
        <v>Wartungsabo</v>
      </c>
      <c r="F40" s="27"/>
      <c r="G40" s="67">
        <f>Standardwerte!$L$26*Unterhalt!E40</f>
        <v>680</v>
      </c>
      <c r="H40" s="27"/>
      <c r="I40" s="67">
        <f>Standardwerte!$L$26*Unterhalt!F40</f>
        <v>680</v>
      </c>
      <c r="J40" s="36"/>
      <c r="K40" s="67">
        <f>Standardwerte!$L$26*Unterhalt!G40</f>
        <v>680</v>
      </c>
      <c r="L40" s="36"/>
      <c r="M40" s="67">
        <f>Standardwerte!$L$26*Unterhalt!H40</f>
        <v>800</v>
      </c>
      <c r="N40" s="36"/>
      <c r="O40" s="67">
        <f>Standardwerte!$L$26*Unterhalt!I40</f>
        <v>800</v>
      </c>
      <c r="P40" s="36"/>
      <c r="Q40" s="67">
        <f>Standardwerte!$L$26*Unterhalt!J40</f>
        <v>1200</v>
      </c>
      <c r="R40" s="36"/>
      <c r="S40" s="67">
        <f>Standardwerte!$L$26*Unterhalt!K40</f>
        <v>1500</v>
      </c>
      <c r="T40" s="36"/>
      <c r="U40" s="67">
        <f>Standardwerte!$L$26*Unterhalt!L40</f>
        <v>2000</v>
      </c>
      <c r="V40" s="36"/>
      <c r="W40" s="67">
        <f>Standardwerte!$L$26*Unterhalt!M40</f>
        <v>3200</v>
      </c>
      <c r="X40" s="36"/>
      <c r="Y40" s="67">
        <f>Standardwerte!$L$26*Unterhalt!N40</f>
        <v>4200</v>
      </c>
      <c r="Z40" s="36"/>
      <c r="AA40" s="67">
        <f>Standardwerte!$L$26*Unterhalt!O40</f>
        <v>5500</v>
      </c>
      <c r="AB40" s="36"/>
      <c r="AC40" s="67">
        <f>Standardwerte!$L$26*Unterhalt!P40</f>
        <v>8000</v>
      </c>
      <c r="AD40" s="36"/>
      <c r="AE40" s="67">
        <f>Standardwerte!$L$26*Unterhalt!Q40</f>
        <v>10000</v>
      </c>
    </row>
    <row r="41" spans="2:31">
      <c r="C41" s="1" t="str">
        <f ca="1">Sprache!$E$142</f>
        <v>Zählermiete</v>
      </c>
      <c r="F41" s="27"/>
      <c r="G41" s="67">
        <f>Standardwerte!$L$26*Unterhalt!E41</f>
        <v>50</v>
      </c>
      <c r="H41" s="27"/>
      <c r="I41" s="67">
        <f>Standardwerte!$L$26*Unterhalt!F41</f>
        <v>50</v>
      </c>
      <c r="J41" s="36"/>
      <c r="K41" s="67">
        <f>Standardwerte!$L$26*Unterhalt!G41</f>
        <v>50</v>
      </c>
      <c r="L41" s="36"/>
      <c r="M41" s="67">
        <f>Standardwerte!$L$26*Unterhalt!H41</f>
        <v>50</v>
      </c>
      <c r="N41" s="36"/>
      <c r="O41" s="67">
        <f>Standardwerte!$L$26*Unterhalt!I41</f>
        <v>50</v>
      </c>
      <c r="P41" s="36"/>
      <c r="Q41" s="67">
        <f>Standardwerte!$L$26*Unterhalt!J41</f>
        <v>50</v>
      </c>
      <c r="R41" s="36"/>
      <c r="S41" s="67">
        <f>Standardwerte!$L$26*Unterhalt!K41</f>
        <v>50</v>
      </c>
      <c r="T41" s="36"/>
      <c r="U41" s="67">
        <f>Standardwerte!$L$26*Unterhalt!L41</f>
        <v>50</v>
      </c>
      <c r="V41" s="36"/>
      <c r="W41" s="67">
        <f>Standardwerte!$L$26*Unterhalt!M41</f>
        <v>50</v>
      </c>
      <c r="X41" s="36"/>
      <c r="Y41" s="67">
        <f>Standardwerte!$L$26*Unterhalt!N41</f>
        <v>50</v>
      </c>
      <c r="Z41" s="36"/>
      <c r="AA41" s="67">
        <f>Standardwerte!$L$26*Unterhalt!O41</f>
        <v>50</v>
      </c>
      <c r="AB41" s="36"/>
      <c r="AC41" s="67">
        <f>Standardwerte!$L$26*Unterhalt!P41</f>
        <v>50</v>
      </c>
      <c r="AD41" s="36"/>
      <c r="AE41" s="67">
        <f>Standardwerte!$L$26*Unterhalt!Q41</f>
        <v>50</v>
      </c>
    </row>
    <row r="42" spans="2:31">
      <c r="C42" s="1" t="str">
        <f ca="1">Sprache!$E$222</f>
        <v>Grundpreis</v>
      </c>
      <c r="F42" s="27"/>
      <c r="G42" s="67">
        <f>Standardwerte!$L$26*Unterhalt!E42</f>
        <v>0</v>
      </c>
      <c r="H42" s="27"/>
      <c r="I42" s="67">
        <f>Standardwerte!$L$26*Unterhalt!F42</f>
        <v>0</v>
      </c>
      <c r="J42" s="36"/>
      <c r="K42" s="67">
        <f>Standardwerte!$L$26*Unterhalt!G42</f>
        <v>0</v>
      </c>
      <c r="L42" s="36"/>
      <c r="M42" s="67">
        <f>Standardwerte!$L$26*Unterhalt!H42</f>
        <v>0</v>
      </c>
      <c r="N42" s="36"/>
      <c r="O42" s="67">
        <f>Standardwerte!$L$26*Unterhalt!I42</f>
        <v>0</v>
      </c>
      <c r="P42" s="36"/>
      <c r="Q42" s="67">
        <f>Standardwerte!$L$26*Unterhalt!J42</f>
        <v>0</v>
      </c>
      <c r="R42" s="36"/>
      <c r="S42" s="67">
        <f>Standardwerte!$L$26*Unterhalt!K42</f>
        <v>0</v>
      </c>
      <c r="T42" s="36"/>
      <c r="U42" s="67">
        <f>Standardwerte!$L$26*Unterhalt!L42</f>
        <v>0</v>
      </c>
      <c r="V42" s="36"/>
      <c r="W42" s="67">
        <f>Standardwerte!$L$26*Unterhalt!M42</f>
        <v>0</v>
      </c>
      <c r="X42" s="36"/>
      <c r="Y42" s="67">
        <f>Standardwerte!$L$26*Unterhalt!N42</f>
        <v>0</v>
      </c>
      <c r="Z42" s="36"/>
      <c r="AA42" s="67">
        <f>Standardwerte!$L$26*Unterhalt!O42</f>
        <v>0</v>
      </c>
      <c r="AB42" s="36"/>
      <c r="AC42" s="67">
        <f>Standardwerte!$L$26*Unterhalt!P42</f>
        <v>0</v>
      </c>
      <c r="AD42" s="36"/>
      <c r="AE42" s="67">
        <f>Standardwerte!$L$26*Unterhalt!Q42</f>
        <v>0</v>
      </c>
    </row>
    <row r="44" spans="2:31">
      <c r="B44" s="8" t="str">
        <f>ROMAN(9)</f>
        <v>IX</v>
      </c>
      <c r="C44" s="8" t="str">
        <f ca="1">Sprache!E433</f>
        <v>Wärmenetz</v>
      </c>
      <c r="F44" s="69"/>
      <c r="G44" s="68"/>
      <c r="H44" s="69"/>
      <c r="I44" s="68"/>
      <c r="J44" s="68"/>
      <c r="K44" s="68"/>
      <c r="L44" s="68"/>
      <c r="M44" s="68"/>
      <c r="N44" s="68"/>
      <c r="O44" s="68"/>
      <c r="P44" s="68"/>
      <c r="Q44" s="68"/>
      <c r="R44" s="68"/>
      <c r="S44" s="68"/>
      <c r="T44" s="68"/>
      <c r="U44" s="68"/>
      <c r="V44" s="68"/>
      <c r="W44" s="68"/>
      <c r="X44" s="68"/>
      <c r="Y44" s="68"/>
      <c r="Z44" s="68"/>
      <c r="AA44" s="68"/>
      <c r="AB44" s="68"/>
      <c r="AC44" s="68"/>
      <c r="AD44" s="68"/>
      <c r="AE44" s="68"/>
    </row>
    <row r="45" spans="2:31">
      <c r="C45" s="1" t="str">
        <f ca="1">Sprache!E186</f>
        <v>jährliche Kontrolle</v>
      </c>
      <c r="F45" s="27"/>
      <c r="G45" s="67">
        <f>Standardwerte!$L$26*Unterhalt!E45</f>
        <v>250</v>
      </c>
      <c r="H45" s="27"/>
      <c r="I45" s="67">
        <f>Standardwerte!$L$26*Unterhalt!F45</f>
        <v>250</v>
      </c>
      <c r="J45" s="36"/>
      <c r="K45" s="67">
        <f>Standardwerte!$L$26*Unterhalt!G45</f>
        <v>250</v>
      </c>
      <c r="L45" s="36"/>
      <c r="M45" s="67">
        <f>Standardwerte!$L$26*Unterhalt!H45</f>
        <v>250</v>
      </c>
      <c r="N45" s="36"/>
      <c r="O45" s="67">
        <f>Standardwerte!$L$26*Unterhalt!I45</f>
        <v>250</v>
      </c>
      <c r="P45" s="36"/>
      <c r="Q45" s="67">
        <f>Standardwerte!$L$26*Unterhalt!J45</f>
        <v>250</v>
      </c>
      <c r="R45" s="36"/>
      <c r="S45" s="67">
        <f>Standardwerte!$L$26*Unterhalt!K45</f>
        <v>250</v>
      </c>
      <c r="T45" s="36"/>
      <c r="U45" s="67">
        <f>Standardwerte!$L$26*Unterhalt!L45</f>
        <v>250</v>
      </c>
      <c r="V45" s="36"/>
      <c r="W45" s="67">
        <f>Standardwerte!$L$26*Unterhalt!M45</f>
        <v>250</v>
      </c>
      <c r="X45" s="36"/>
      <c r="Y45" s="67">
        <f>Standardwerte!$L$26*Unterhalt!N45</f>
        <v>500</v>
      </c>
      <c r="Z45" s="36"/>
      <c r="AA45" s="67">
        <f>Standardwerte!$L$26*Unterhalt!O45</f>
        <v>750</v>
      </c>
      <c r="AB45" s="36"/>
      <c r="AC45" s="67">
        <f>Standardwerte!$L$26*Unterhalt!P45</f>
        <v>1000</v>
      </c>
      <c r="AD45" s="36"/>
      <c r="AE45" s="67">
        <f>Standardwerte!$L$26*Unterhalt!Q45</f>
        <v>1000</v>
      </c>
    </row>
    <row r="46" spans="2:31">
      <c r="C46" s="1" t="str">
        <f ca="1">Sprache!E222</f>
        <v>Grundpreis</v>
      </c>
      <c r="F46" s="27"/>
      <c r="G46" s="67">
        <f>Standardwerte!$L$26*Unterhalt!E46</f>
        <v>0</v>
      </c>
      <c r="H46" s="27"/>
      <c r="I46" s="67">
        <f>Standardwerte!$L$26*Unterhalt!F46</f>
        <v>0</v>
      </c>
      <c r="J46" s="36"/>
      <c r="K46" s="67">
        <f>Standardwerte!$L$26*Unterhalt!G46</f>
        <v>0</v>
      </c>
      <c r="L46" s="36"/>
      <c r="M46" s="67">
        <f>Standardwerte!$L$26*Unterhalt!H46</f>
        <v>0</v>
      </c>
      <c r="N46" s="36"/>
      <c r="O46" s="67">
        <f>Standardwerte!$L$26*Unterhalt!I46</f>
        <v>0</v>
      </c>
      <c r="P46" s="36"/>
      <c r="Q46" s="67">
        <f>Standardwerte!$L$26*Unterhalt!J46</f>
        <v>0</v>
      </c>
      <c r="R46" s="36"/>
      <c r="S46" s="67">
        <f>Standardwerte!$L$26*Unterhalt!K46</f>
        <v>0</v>
      </c>
      <c r="T46" s="36"/>
      <c r="U46" s="67">
        <f>Standardwerte!$L$26*Unterhalt!L46</f>
        <v>0</v>
      </c>
      <c r="V46" s="36"/>
      <c r="W46" s="67">
        <f>Standardwerte!$L$26*Unterhalt!M46</f>
        <v>0</v>
      </c>
      <c r="X46" s="36"/>
      <c r="Y46" s="67">
        <f>Standardwerte!$L$26*Unterhalt!N46</f>
        <v>0</v>
      </c>
      <c r="Z46" s="36"/>
      <c r="AA46" s="67">
        <f>Standardwerte!$L$26*Unterhalt!O46</f>
        <v>0</v>
      </c>
      <c r="AB46" s="36"/>
      <c r="AC46" s="67">
        <f>Standardwerte!$L$26*Unterhalt!P46</f>
        <v>0</v>
      </c>
      <c r="AD46" s="36"/>
      <c r="AE46" s="67">
        <f>Standardwerte!$L$26*Unterhalt!Q46</f>
        <v>0</v>
      </c>
    </row>
    <row r="48" spans="2:31">
      <c r="B48" s="8" t="str">
        <f>ROMAN(10)</f>
        <v>X</v>
      </c>
      <c r="C48" s="125" t="str">
        <f ca="1">Sprache!E23</f>
        <v>WKK Anlage (Gas)</v>
      </c>
      <c r="K48" s="68"/>
      <c r="L48" s="68"/>
      <c r="M48" s="68"/>
      <c r="N48" s="68"/>
      <c r="O48" s="68"/>
      <c r="P48" s="68"/>
      <c r="Q48" s="68"/>
      <c r="R48" s="68"/>
      <c r="S48" s="68"/>
      <c r="T48" s="68"/>
      <c r="U48" s="68"/>
      <c r="V48" s="68"/>
      <c r="W48" s="68"/>
      <c r="X48" s="68"/>
      <c r="Y48" s="68"/>
      <c r="Z48" s="68"/>
      <c r="AA48" s="68"/>
      <c r="AB48" s="68"/>
      <c r="AC48" s="68"/>
      <c r="AD48" s="68"/>
      <c r="AE48" s="68"/>
    </row>
    <row r="49" spans="3:31">
      <c r="C49" s="1" t="str">
        <f ca="1">Sprache!$E$168</f>
        <v>Wartungsabo</v>
      </c>
      <c r="F49" s="27"/>
      <c r="G49" s="67">
        <f>Standardwerte!$L$26*Unterhalt!E49</f>
        <v>10</v>
      </c>
      <c r="H49" s="27"/>
      <c r="I49" s="67">
        <f>Standardwerte!$L$26*Unterhalt!F49</f>
        <v>10</v>
      </c>
      <c r="J49" s="36"/>
      <c r="K49" s="67">
        <f>Standardwerte!$L$26*Unterhalt!G49</f>
        <v>15</v>
      </c>
      <c r="L49" s="36"/>
      <c r="M49" s="67">
        <f>Standardwerte!$L$26*Unterhalt!H49</f>
        <v>22.5</v>
      </c>
      <c r="N49" s="36"/>
      <c r="O49" s="67">
        <f>Standardwerte!$L$26*Unterhalt!I49</f>
        <v>33.75</v>
      </c>
      <c r="P49" s="36"/>
      <c r="Q49" s="67">
        <f>Standardwerte!$L$26*Unterhalt!J49</f>
        <v>50.625</v>
      </c>
      <c r="R49" s="36"/>
      <c r="S49" s="67">
        <f>Standardwerte!$L$26*Unterhalt!K49</f>
        <v>75.9375</v>
      </c>
      <c r="T49" s="36"/>
      <c r="U49" s="67">
        <f>Standardwerte!$L$26*Unterhalt!L49</f>
        <v>113.90625</v>
      </c>
      <c r="V49" s="36"/>
      <c r="W49" s="67">
        <f>Standardwerte!$L$26*Unterhalt!M49</f>
        <v>170.859375</v>
      </c>
      <c r="X49" s="36"/>
      <c r="Y49" s="67">
        <f>Standardwerte!$L$26*Unterhalt!N49</f>
        <v>256.2890625</v>
      </c>
      <c r="Z49" s="36"/>
      <c r="AA49" s="67">
        <f>Standardwerte!$L$26*Unterhalt!O49</f>
        <v>384.43359375</v>
      </c>
      <c r="AB49" s="36"/>
      <c r="AC49" s="67">
        <f>Standardwerte!$L$26*Unterhalt!P49</f>
        <v>576.650390625</v>
      </c>
      <c r="AD49" s="36"/>
      <c r="AE49" s="67">
        <f>Standardwerte!$L$26*Unterhalt!Q49</f>
        <v>864.9755859375</v>
      </c>
    </row>
    <row r="50" spans="3:31">
      <c r="C50" s="1" t="str">
        <f ca="1">Sprache!$E$169</f>
        <v>Kaminfeger</v>
      </c>
      <c r="F50" s="27"/>
      <c r="G50" s="67">
        <f>Standardwerte!$L$26*Unterhalt!E50</f>
        <v>11</v>
      </c>
      <c r="H50" s="27"/>
      <c r="I50" s="67">
        <f>Standardwerte!$L$26*Unterhalt!F50</f>
        <v>11</v>
      </c>
      <c r="J50" s="36"/>
      <c r="K50" s="67">
        <f>Standardwerte!$L$26*Unterhalt!G50</f>
        <v>16.5</v>
      </c>
      <c r="L50" s="36"/>
      <c r="M50" s="67">
        <f>Standardwerte!$L$26*Unterhalt!H50</f>
        <v>24.75</v>
      </c>
      <c r="N50" s="36"/>
      <c r="O50" s="67">
        <f>Standardwerte!$L$26*Unterhalt!I50</f>
        <v>37.125</v>
      </c>
      <c r="P50" s="36"/>
      <c r="Q50" s="67">
        <f>Standardwerte!$L$26*Unterhalt!J50</f>
        <v>55.6875</v>
      </c>
      <c r="R50" s="36"/>
      <c r="S50" s="67">
        <f>Standardwerte!$L$26*Unterhalt!K50</f>
        <v>83.53125</v>
      </c>
      <c r="T50" s="36"/>
      <c r="U50" s="67">
        <f>Standardwerte!$L$26*Unterhalt!L50</f>
        <v>125.296875</v>
      </c>
      <c r="V50" s="36"/>
      <c r="W50" s="67">
        <f>Standardwerte!$L$26*Unterhalt!M50</f>
        <v>187.9453125</v>
      </c>
      <c r="X50" s="36"/>
      <c r="Y50" s="67">
        <f>Standardwerte!$L$26*Unterhalt!N50</f>
        <v>281.91796875</v>
      </c>
      <c r="Z50" s="36"/>
      <c r="AA50" s="67">
        <f>Standardwerte!$L$26*Unterhalt!O50</f>
        <v>422.876953125</v>
      </c>
      <c r="AB50" s="36"/>
      <c r="AC50" s="67">
        <f>Standardwerte!$L$26*Unterhalt!P50</f>
        <v>634.3154296875</v>
      </c>
      <c r="AD50" s="36"/>
      <c r="AE50" s="67">
        <f>Standardwerte!$L$26*Unterhalt!Q50</f>
        <v>951.47314453125</v>
      </c>
    </row>
    <row r="51" spans="3:31">
      <c r="C51" s="1" t="str">
        <f ca="1">Sprache!$E$222</f>
        <v>Grundpreis</v>
      </c>
      <c r="F51" s="27"/>
      <c r="G51" s="67">
        <f>Standardwerte!$L$26*Unterhalt!E51</f>
        <v>12</v>
      </c>
      <c r="H51" s="27"/>
      <c r="I51" s="67">
        <f>Standardwerte!$L$26*Unterhalt!F51</f>
        <v>12</v>
      </c>
      <c r="J51" s="36"/>
      <c r="K51" s="67">
        <f>Standardwerte!$L$26*Unterhalt!G51</f>
        <v>18</v>
      </c>
      <c r="L51" s="36"/>
      <c r="M51" s="67">
        <f>Standardwerte!$L$26*Unterhalt!H51</f>
        <v>27</v>
      </c>
      <c r="N51" s="36"/>
      <c r="O51" s="67">
        <f>Standardwerte!$L$26*Unterhalt!I51</f>
        <v>40.5</v>
      </c>
      <c r="P51" s="36"/>
      <c r="Q51" s="67">
        <f>Standardwerte!$L$26*Unterhalt!J51</f>
        <v>60.75</v>
      </c>
      <c r="R51" s="36"/>
      <c r="S51" s="67">
        <f>Standardwerte!$L$26*Unterhalt!K51</f>
        <v>91.125</v>
      </c>
      <c r="T51" s="36"/>
      <c r="U51" s="67">
        <f>Standardwerte!$L$26*Unterhalt!L51</f>
        <v>136.6875</v>
      </c>
      <c r="V51" s="36"/>
      <c r="W51" s="67">
        <f>Standardwerte!$L$26*Unterhalt!M51</f>
        <v>205.03125</v>
      </c>
      <c r="X51" s="36"/>
      <c r="Y51" s="67">
        <f>Standardwerte!$L$26*Unterhalt!N51</f>
        <v>307.546875</v>
      </c>
      <c r="Z51" s="36"/>
      <c r="AA51" s="67">
        <f>Standardwerte!$L$26*Unterhalt!O51</f>
        <v>461.3203125</v>
      </c>
      <c r="AB51" s="36"/>
      <c r="AC51" s="67">
        <f>Standardwerte!$L$26*Unterhalt!P51</f>
        <v>691.98046875</v>
      </c>
      <c r="AD51" s="36"/>
      <c r="AE51" s="67">
        <f>Standardwerte!$L$26*Unterhalt!Q51</f>
        <v>1037.970703125</v>
      </c>
    </row>
    <row r="52" spans="3:31">
      <c r="C52" s="1" t="str">
        <f ca="1">Sprache!$E$434</f>
        <v>Anteil Strom</v>
      </c>
      <c r="F52" s="112"/>
      <c r="G52" s="289">
        <f>Unterhalt!E52</f>
        <v>0.3</v>
      </c>
      <c r="H52" s="112"/>
      <c r="I52" s="289">
        <f>Unterhalt!F52</f>
        <v>0.3</v>
      </c>
      <c r="J52" s="290"/>
      <c r="K52" s="289">
        <f>Unterhalt!G52</f>
        <v>0.3</v>
      </c>
      <c r="L52" s="290"/>
      <c r="M52" s="289">
        <f>Unterhalt!H52</f>
        <v>0.3</v>
      </c>
      <c r="N52" s="290"/>
      <c r="O52" s="289">
        <f>Unterhalt!I52</f>
        <v>0.35</v>
      </c>
      <c r="P52" s="290"/>
      <c r="Q52" s="289">
        <f>Unterhalt!J52</f>
        <v>0.35</v>
      </c>
      <c r="R52" s="290"/>
      <c r="S52" s="289">
        <f>Unterhalt!K52</f>
        <v>0.35</v>
      </c>
      <c r="T52" s="290"/>
      <c r="U52" s="289">
        <f>Unterhalt!L52</f>
        <v>0.35</v>
      </c>
      <c r="V52" s="290"/>
      <c r="W52" s="289">
        <f>Unterhalt!M52</f>
        <v>0.4</v>
      </c>
      <c r="X52" s="290"/>
      <c r="Y52" s="289">
        <f>Unterhalt!N52</f>
        <v>0.4</v>
      </c>
      <c r="Z52" s="290"/>
      <c r="AA52" s="289">
        <f>Unterhalt!O52</f>
        <v>0.4</v>
      </c>
      <c r="AB52" s="290"/>
      <c r="AC52" s="289">
        <f>Unterhalt!P52</f>
        <v>0.4</v>
      </c>
      <c r="AD52" s="290"/>
      <c r="AE52" s="289">
        <f>Unterhalt!Q52</f>
        <v>0.4</v>
      </c>
    </row>
    <row r="53" spans="3:31">
      <c r="I53" s="68"/>
      <c r="J53" s="81"/>
      <c r="K53" s="68"/>
      <c r="L53" s="81"/>
      <c r="M53" s="68"/>
      <c r="N53" s="81"/>
      <c r="O53" s="68"/>
      <c r="P53" s="81"/>
      <c r="Q53" s="68"/>
      <c r="R53" s="81"/>
      <c r="S53" s="68"/>
      <c r="T53" s="81"/>
      <c r="U53" s="68"/>
      <c r="V53" s="81"/>
      <c r="W53" s="68"/>
      <c r="X53" s="81"/>
      <c r="Y53" s="68"/>
      <c r="Z53" s="81"/>
      <c r="AA53" s="68"/>
      <c r="AB53" s="81"/>
      <c r="AC53" s="387"/>
    </row>
    <row r="54" spans="3:31">
      <c r="C54" s="8" t="str">
        <f ca="1">Sprache!E209</f>
        <v>Thermische Solaranlage</v>
      </c>
      <c r="I54" s="68"/>
      <c r="J54" s="81"/>
      <c r="K54" s="68"/>
      <c r="L54" s="81"/>
      <c r="M54" s="68"/>
      <c r="N54" s="81"/>
      <c r="O54" s="68"/>
      <c r="P54" s="81"/>
      <c r="Q54" s="68"/>
      <c r="R54" s="81"/>
      <c r="S54" s="68"/>
      <c r="T54" s="81"/>
      <c r="U54" s="68"/>
      <c r="V54" s="81"/>
      <c r="W54" s="68"/>
      <c r="X54" s="81"/>
      <c r="Y54" s="68"/>
      <c r="Z54" s="81"/>
      <c r="AA54" s="68"/>
      <c r="AB54" s="81"/>
      <c r="AC54" s="68"/>
    </row>
    <row r="55" spans="3:31">
      <c r="C55" s="1" t="str">
        <f ca="1">Sprache!$E$217</f>
        <v>bis 10 m²-Anlage</v>
      </c>
      <c r="F55" s="27"/>
      <c r="G55" s="67">
        <v>0</v>
      </c>
      <c r="H55" s="1" t="s">
        <v>194</v>
      </c>
      <c r="I55" s="68"/>
      <c r="J55" s="81"/>
      <c r="K55" s="68"/>
      <c r="L55" s="81"/>
      <c r="M55" s="68"/>
      <c r="N55" s="81"/>
      <c r="O55" s="68"/>
      <c r="P55" s="81"/>
      <c r="Q55" s="68"/>
      <c r="R55" s="81"/>
      <c r="S55" s="68"/>
      <c r="T55" s="81"/>
      <c r="U55" s="68"/>
      <c r="V55" s="81"/>
      <c r="W55" s="68"/>
      <c r="X55" s="81"/>
      <c r="Y55" s="68"/>
      <c r="Z55" s="81"/>
      <c r="AA55" s="68"/>
      <c r="AB55" s="81"/>
      <c r="AC55" s="68"/>
    </row>
    <row r="56" spans="3:31">
      <c r="C56" s="1" t="str">
        <f ca="1">Sprache!$E$218</f>
        <v>bis 32 m²-Anlage</v>
      </c>
      <c r="F56" s="27"/>
      <c r="G56" s="67">
        <v>0</v>
      </c>
      <c r="H56" s="1" t="s">
        <v>194</v>
      </c>
    </row>
    <row r="57" spans="3:31">
      <c r="C57" s="1" t="str">
        <f ca="1">Sprache!$E$219</f>
        <v>ab 32 m²-Anlage</v>
      </c>
      <c r="F57" s="27"/>
      <c r="G57" s="67">
        <v>0</v>
      </c>
      <c r="H57" s="1" t="s">
        <v>194</v>
      </c>
    </row>
    <row r="59" spans="3:31">
      <c r="G59" s="68"/>
      <c r="I59" s="81"/>
    </row>
    <row r="60" spans="3:31">
      <c r="C60" s="8" t="str">
        <f ca="1">Sprache!E270</f>
        <v>PV-Anlage</v>
      </c>
    </row>
    <row r="61" spans="3:31">
      <c r="C61" s="1" t="str">
        <f ca="1">Sprache!E289</f>
        <v>bis und mit 10 kWp</v>
      </c>
      <c r="F61" s="27"/>
      <c r="G61" s="95">
        <v>0.03</v>
      </c>
      <c r="H61" s="1" t="s">
        <v>194</v>
      </c>
    </row>
    <row r="62" spans="3:31">
      <c r="C62" s="1" t="str">
        <f ca="1">Sprache!E290</f>
        <v>bis und mit 30 kWp</v>
      </c>
      <c r="F62" s="27"/>
      <c r="G62" s="95">
        <v>0.03</v>
      </c>
      <c r="H62" s="1" t="s">
        <v>194</v>
      </c>
    </row>
    <row r="63" spans="3:31">
      <c r="C63" s="1" t="str">
        <f ca="1">Sprache!E291</f>
        <v>bis und mit 100 kWp</v>
      </c>
      <c r="F63" s="27"/>
      <c r="G63" s="95">
        <v>2.5000000000000001E-2</v>
      </c>
      <c r="H63" s="1" t="s">
        <v>194</v>
      </c>
    </row>
    <row r="64" spans="3:31">
      <c r="C64" s="1" t="str">
        <f ca="1">Sprache!E292</f>
        <v>ab 100 kWp</v>
      </c>
      <c r="F64" s="27"/>
      <c r="G64" s="95">
        <v>0.02</v>
      </c>
      <c r="H64" s="1" t="s">
        <v>194</v>
      </c>
    </row>
  </sheetData>
  <sheetProtection algorithmName="SHA-512" hashValue="DYJiLrA2ly0jxgi6pbjtE0UrVNvx2pWVRkDgkD/1ZQ6hNup24FYzK3pubgihPlzkYD9z8JRnnoRT3qpcTAxhOg==" saltValue="0efz34//HHqKj6eoV1Fmbg==" spinCount="100000" sheet="1" objects="1" scenarios="1"/>
  <mergeCells count="4">
    <mergeCell ref="F3:G3"/>
    <mergeCell ref="F4:G4"/>
    <mergeCell ref="H4:I4"/>
    <mergeCell ref="H3:I3"/>
  </mergeCells>
  <pageMargins left="0.70866141732283472" right="0.70866141732283472" top="1.1811023622047245" bottom="0.78740157480314965" header="0.31496062992125984" footer="0.31496062992125984"/>
  <pageSetup paperSize="9" scale="38" fitToHeight="0" orientation="landscape" r:id="rId1"/>
  <headerFooter>
    <oddHeader>&amp;R&amp;G</oddHeader>
    <oddFooter>&amp;C&amp;D&amp;R&amp;P/&amp;N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7141D-0776-4E0C-8D86-19A1BE5D53F8}">
  <dimension ref="B2:O50"/>
  <sheetViews>
    <sheetView zoomScale="80" zoomScaleNormal="80" workbookViewId="0">
      <selection activeCell="D9" sqref="D9"/>
    </sheetView>
  </sheetViews>
  <sheetFormatPr baseColWidth="10" defaultColWidth="11.5703125" defaultRowHeight="14.25"/>
  <cols>
    <col min="1" max="1" width="11.5703125" style="465"/>
    <col min="2" max="2" width="35.140625" style="465" customWidth="1"/>
    <col min="3" max="3" width="11.140625" style="465" customWidth="1"/>
    <col min="4" max="15" width="13.7109375" style="465" customWidth="1"/>
    <col min="16" max="27" width="11.5703125" style="465"/>
    <col min="28" max="48" width="7" style="465" customWidth="1"/>
    <col min="49" max="16384" width="11.5703125" style="465"/>
  </cols>
  <sheetData>
    <row r="2" spans="2:15" ht="18">
      <c r="B2" s="121" t="str">
        <f ca="1">Sprache!$E$235</f>
        <v>Energiepreise</v>
      </c>
      <c r="G2" s="537" t="str">
        <f ca="1">Sprache!$E$479</f>
        <v xml:space="preserve">Energiepreissteigerung berücksichtigen als </v>
      </c>
      <c r="H2" s="621" t="s">
        <v>1760</v>
      </c>
      <c r="I2" s="622"/>
    </row>
    <row r="3" spans="2:15">
      <c r="O3" s="7" t="str">
        <f ca="1">Sprache!E469</f>
        <v>Preise inkl. CO2-Abgabe, exkl. MwSt.</v>
      </c>
    </row>
    <row r="4" spans="2:15" ht="15">
      <c r="B4" s="410"/>
      <c r="C4" s="411"/>
      <c r="D4" s="623" t="str">
        <f ca="1">Sprache!$E$409</f>
        <v>Konventionelle Energiequelle</v>
      </c>
      <c r="E4" s="607"/>
      <c r="F4" s="607"/>
      <c r="G4" s="624"/>
      <c r="H4" s="625" t="str">
        <f ca="1">Sprache!$E$410</f>
        <v>Bio-Energiequelle</v>
      </c>
      <c r="I4" s="626"/>
      <c r="J4" s="626"/>
      <c r="K4" s="626"/>
      <c r="L4" s="623"/>
      <c r="M4" s="607"/>
      <c r="N4" s="607"/>
      <c r="O4" s="624"/>
    </row>
    <row r="5" spans="2:15" ht="15">
      <c r="B5" s="412"/>
      <c r="C5" s="413"/>
      <c r="D5" s="623" t="str">
        <f ca="1">Sprache!$E$235</f>
        <v>Energiepreise</v>
      </c>
      <c r="E5" s="628"/>
      <c r="F5" s="627" t="str">
        <f ca="1">Sprache!$E$337</f>
        <v>Jährliche Preissteigerung</v>
      </c>
      <c r="G5" s="624"/>
      <c r="H5" s="623" t="str">
        <f ca="1">Sprache!$E$235</f>
        <v>Energiepreise</v>
      </c>
      <c r="I5" s="628"/>
      <c r="J5" s="627" t="str">
        <f ca="1">Sprache!$E$337</f>
        <v>Jährliche Preissteigerung</v>
      </c>
      <c r="K5" s="624"/>
      <c r="L5" s="627" t="str">
        <f ca="1">Sprache!$E$236</f>
        <v>Leistungspreis</v>
      </c>
      <c r="M5" s="624"/>
      <c r="N5" s="627" t="str">
        <f ca="1">Sprache!$E$337</f>
        <v>Jährliche Preissteigerung</v>
      </c>
      <c r="O5" s="624"/>
    </row>
    <row r="6" spans="2:15" ht="15">
      <c r="B6" s="412"/>
      <c r="C6" s="420" t="s">
        <v>1628</v>
      </c>
      <c r="D6" s="625" t="s">
        <v>194</v>
      </c>
      <c r="E6" s="626"/>
      <c r="F6" s="627" t="s">
        <v>201</v>
      </c>
      <c r="G6" s="624"/>
      <c r="H6" s="625" t="s">
        <v>194</v>
      </c>
      <c r="I6" s="626"/>
      <c r="J6" s="627" t="s">
        <v>201</v>
      </c>
      <c r="K6" s="624"/>
      <c r="L6" s="627" t="s">
        <v>195</v>
      </c>
      <c r="M6" s="624"/>
      <c r="N6" s="627" t="s">
        <v>201</v>
      </c>
      <c r="O6" s="624"/>
    </row>
    <row r="7" spans="2:15">
      <c r="B7" s="412"/>
      <c r="C7" s="413"/>
      <c r="D7" s="446" t="str">
        <f ca="1">Sprache!$E$33</f>
        <v>eigene</v>
      </c>
      <c r="E7" s="446" t="str">
        <f ca="1">Sprache!$E$34</f>
        <v>Standard</v>
      </c>
      <c r="F7" s="446" t="str">
        <f ca="1">Sprache!$E$33</f>
        <v>eigene</v>
      </c>
      <c r="G7" s="446" t="str">
        <f ca="1">Sprache!$E$34</f>
        <v>Standard</v>
      </c>
      <c r="H7" s="446" t="str">
        <f ca="1">Sprache!$E$33</f>
        <v>eigene</v>
      </c>
      <c r="I7" s="446" t="str">
        <f ca="1">Sprache!$E$34</f>
        <v>Standard</v>
      </c>
      <c r="J7" s="446" t="str">
        <f ca="1">Sprache!$E$33</f>
        <v>eigene</v>
      </c>
      <c r="K7" s="446" t="str">
        <f ca="1">Sprache!$E$34</f>
        <v>Standard</v>
      </c>
      <c r="L7" s="450" t="str">
        <f ca="1">Sprache!$E$33</f>
        <v>eigene</v>
      </c>
      <c r="M7" s="446" t="str">
        <f ca="1">Sprache!$E$34</f>
        <v>Standard</v>
      </c>
      <c r="N7" s="450" t="str">
        <f ca="1">Sprache!$E$33</f>
        <v>eigene</v>
      </c>
      <c r="O7" s="446" t="str">
        <f ca="1">Sprache!$E$34</f>
        <v>Standard</v>
      </c>
    </row>
    <row r="8" spans="2:15" ht="15.75">
      <c r="B8" s="443" t="str">
        <f ca="1">Sprache!$E$16</f>
        <v>Öl</v>
      </c>
      <c r="C8" s="422"/>
      <c r="D8" s="422"/>
      <c r="E8" s="422"/>
      <c r="F8" s="422"/>
      <c r="G8" s="422"/>
      <c r="H8" s="422"/>
      <c r="I8" s="423"/>
      <c r="J8" s="423"/>
      <c r="K8" s="423"/>
      <c r="L8" s="422"/>
      <c r="M8" s="424"/>
      <c r="N8" s="422"/>
      <c r="O8" s="425"/>
    </row>
    <row r="9" spans="2:15">
      <c r="B9" s="417" t="s">
        <v>1617</v>
      </c>
      <c r="C9" s="429">
        <v>15750</v>
      </c>
      <c r="D9" s="419"/>
      <c r="E9" s="417">
        <v>0.106</v>
      </c>
      <c r="F9" s="447"/>
      <c r="G9" s="448">
        <v>0</v>
      </c>
      <c r="H9" s="410"/>
      <c r="I9" s="479"/>
      <c r="J9" s="480"/>
      <c r="K9" s="481"/>
      <c r="L9" s="419"/>
      <c r="M9" s="421">
        <v>0</v>
      </c>
      <c r="N9" s="430"/>
      <c r="O9" s="431">
        <v>0</v>
      </c>
    </row>
    <row r="10" spans="2:15">
      <c r="B10" s="417" t="s">
        <v>1618</v>
      </c>
      <c r="C10" s="429">
        <v>31500</v>
      </c>
      <c r="D10" s="419"/>
      <c r="E10" s="417">
        <v>9.8000000000000004E-2</v>
      </c>
      <c r="F10" s="447"/>
      <c r="G10" s="431">
        <v>0</v>
      </c>
      <c r="H10" s="482"/>
      <c r="J10" s="483"/>
      <c r="K10" s="484"/>
      <c r="L10" s="419"/>
      <c r="M10" s="421">
        <v>0</v>
      </c>
      <c r="N10" s="430"/>
      <c r="O10" s="431">
        <v>0</v>
      </c>
    </row>
    <row r="11" spans="2:15">
      <c r="B11" s="417" t="s">
        <v>1619</v>
      </c>
      <c r="C11" s="429">
        <v>63000</v>
      </c>
      <c r="D11" s="419"/>
      <c r="E11" s="417">
        <v>9.5000000000000001E-2</v>
      </c>
      <c r="F11" s="447"/>
      <c r="G11" s="431">
        <v>0</v>
      </c>
      <c r="H11" s="482"/>
      <c r="J11" s="483"/>
      <c r="K11" s="484"/>
      <c r="L11" s="419"/>
      <c r="M11" s="421">
        <v>0</v>
      </c>
      <c r="N11" s="430"/>
      <c r="O11" s="431">
        <v>0</v>
      </c>
    </row>
    <row r="12" spans="2:15">
      <c r="B12" s="417" t="s">
        <v>1620</v>
      </c>
      <c r="C12" s="429">
        <v>94500</v>
      </c>
      <c r="D12" s="419"/>
      <c r="E12" s="417">
        <v>9.4E-2</v>
      </c>
      <c r="F12" s="447"/>
      <c r="G12" s="431">
        <v>0</v>
      </c>
      <c r="H12" s="482"/>
      <c r="J12" s="483"/>
      <c r="K12" s="484"/>
      <c r="L12" s="419"/>
      <c r="M12" s="421">
        <v>0</v>
      </c>
      <c r="N12" s="430"/>
      <c r="O12" s="431">
        <v>0</v>
      </c>
    </row>
    <row r="13" spans="2:15">
      <c r="B13" s="417" t="s">
        <v>1621</v>
      </c>
      <c r="C13" s="429">
        <v>147000</v>
      </c>
      <c r="D13" s="419"/>
      <c r="E13" s="417">
        <v>9.2999999999999999E-2</v>
      </c>
      <c r="F13" s="447"/>
      <c r="G13" s="431">
        <v>0</v>
      </c>
      <c r="H13" s="482"/>
      <c r="J13" s="483"/>
      <c r="K13" s="484"/>
      <c r="L13" s="419"/>
      <c r="M13" s="421">
        <v>0</v>
      </c>
      <c r="N13" s="430"/>
      <c r="O13" s="431">
        <v>0</v>
      </c>
    </row>
    <row r="14" spans="2:15">
      <c r="B14" s="417" t="s">
        <v>1622</v>
      </c>
      <c r="C14" s="429">
        <v>210000</v>
      </c>
      <c r="D14" s="419"/>
      <c r="E14" s="417">
        <v>9.1999999999999998E-2</v>
      </c>
      <c r="F14" s="447"/>
      <c r="G14" s="431">
        <v>0</v>
      </c>
      <c r="H14" s="482"/>
      <c r="J14" s="483"/>
      <c r="K14" s="484"/>
      <c r="L14" s="419"/>
      <c r="M14" s="421">
        <v>0</v>
      </c>
      <c r="N14" s="430"/>
      <c r="O14" s="431">
        <v>0</v>
      </c>
    </row>
    <row r="15" spans="2:15">
      <c r="B15" s="428" t="s">
        <v>1623</v>
      </c>
      <c r="C15" s="434"/>
      <c r="D15" s="427"/>
      <c r="E15" s="428">
        <v>9.0999999999999998E-2</v>
      </c>
      <c r="F15" s="449"/>
      <c r="G15" s="437">
        <v>0</v>
      </c>
      <c r="H15" s="485"/>
      <c r="I15" s="439"/>
      <c r="J15" s="486"/>
      <c r="K15" s="487"/>
      <c r="L15" s="427"/>
      <c r="M15" s="435">
        <v>0</v>
      </c>
      <c r="N15" s="436"/>
      <c r="O15" s="437">
        <v>0</v>
      </c>
    </row>
    <row r="16" spans="2:15" ht="6" customHeight="1">
      <c r="B16" s="422"/>
      <c r="C16" s="426"/>
      <c r="D16" s="422"/>
      <c r="E16" s="422"/>
      <c r="F16" s="422"/>
      <c r="G16" s="422">
        <v>0</v>
      </c>
      <c r="H16" s="422"/>
      <c r="I16" s="422"/>
      <c r="J16" s="422"/>
      <c r="K16" s="422"/>
      <c r="L16" s="422"/>
      <c r="M16" s="424"/>
      <c r="N16" s="433"/>
      <c r="O16" s="433"/>
    </row>
    <row r="17" spans="2:15" ht="15.75">
      <c r="B17" s="444" t="str">
        <f ca="1">Sprache!$E$17</f>
        <v>Erdgas</v>
      </c>
      <c r="C17" s="438"/>
      <c r="D17" s="439"/>
      <c r="E17" s="439"/>
      <c r="F17" s="439"/>
      <c r="G17" s="439"/>
      <c r="H17" s="439"/>
      <c r="I17" s="439"/>
      <c r="J17" s="439"/>
      <c r="K17" s="439"/>
      <c r="L17" s="439"/>
      <c r="M17" s="440"/>
      <c r="N17" s="439"/>
      <c r="O17" s="441"/>
    </row>
    <row r="18" spans="2:15">
      <c r="B18" s="417" t="s">
        <v>1644</v>
      </c>
      <c r="C18" s="429">
        <v>20000</v>
      </c>
      <c r="D18" s="419"/>
      <c r="E18" s="417">
        <v>0.124</v>
      </c>
      <c r="F18" s="447"/>
      <c r="G18" s="431">
        <v>0</v>
      </c>
      <c r="H18" s="416"/>
      <c r="I18" s="417">
        <v>0.12</v>
      </c>
      <c r="J18" s="447"/>
      <c r="K18" s="431">
        <v>0</v>
      </c>
      <c r="L18" s="419"/>
      <c r="M18" s="421">
        <v>0</v>
      </c>
      <c r="N18" s="430"/>
      <c r="O18" s="431">
        <v>0</v>
      </c>
    </row>
    <row r="19" spans="2:15">
      <c r="B19" s="417" t="s">
        <v>1645</v>
      </c>
      <c r="C19" s="429">
        <v>50000</v>
      </c>
      <c r="D19" s="419"/>
      <c r="E19" s="417">
        <v>0.11899999999999999</v>
      </c>
      <c r="F19" s="447"/>
      <c r="G19" s="431">
        <v>0</v>
      </c>
      <c r="H19" s="416"/>
      <c r="I19" s="417">
        <v>0.11</v>
      </c>
      <c r="J19" s="447"/>
      <c r="K19" s="431">
        <v>0</v>
      </c>
      <c r="L19" s="419"/>
      <c r="M19" s="421">
        <v>0</v>
      </c>
      <c r="N19" s="430"/>
      <c r="O19" s="431">
        <v>0</v>
      </c>
    </row>
    <row r="20" spans="2:15">
      <c r="B20" s="417" t="s">
        <v>1646</v>
      </c>
      <c r="C20" s="429">
        <v>100000</v>
      </c>
      <c r="D20" s="419"/>
      <c r="E20" s="417">
        <v>0.11700000000000001</v>
      </c>
      <c r="F20" s="447"/>
      <c r="G20" s="448">
        <v>0</v>
      </c>
      <c r="H20" s="416"/>
      <c r="I20" s="418">
        <v>0.1</v>
      </c>
      <c r="J20" s="447"/>
      <c r="K20" s="448">
        <v>0</v>
      </c>
      <c r="L20" s="419"/>
      <c r="M20" s="421">
        <v>0</v>
      </c>
      <c r="N20" s="430"/>
      <c r="O20" s="431">
        <v>0</v>
      </c>
    </row>
    <row r="21" spans="2:15">
      <c r="B21" s="417" t="s">
        <v>1647</v>
      </c>
      <c r="C21" s="429"/>
      <c r="D21" s="419"/>
      <c r="E21" s="417">
        <v>0.113</v>
      </c>
      <c r="F21" s="447"/>
      <c r="G21" s="448">
        <v>0</v>
      </c>
      <c r="H21" s="416"/>
      <c r="I21" s="418">
        <v>0.09</v>
      </c>
      <c r="J21" s="447"/>
      <c r="K21" s="448">
        <v>0</v>
      </c>
      <c r="L21" s="419"/>
      <c r="M21" s="421">
        <v>0</v>
      </c>
      <c r="N21" s="430"/>
      <c r="O21" s="431">
        <v>0</v>
      </c>
    </row>
    <row r="22" spans="2:15" ht="6" customHeight="1">
      <c r="B22" s="422"/>
      <c r="C22" s="426"/>
      <c r="D22" s="422"/>
      <c r="E22" s="422"/>
      <c r="F22" s="422"/>
      <c r="G22" s="422"/>
      <c r="H22" s="422"/>
      <c r="I22" s="423"/>
      <c r="J22" s="423"/>
      <c r="K22" s="423"/>
      <c r="L22" s="422"/>
      <c r="M22" s="424"/>
      <c r="N22" s="433"/>
      <c r="O22" s="433"/>
    </row>
    <row r="23" spans="2:15" ht="15.75">
      <c r="B23" s="443" t="str">
        <f ca="1">Sprache!$E$18</f>
        <v>Pellets</v>
      </c>
      <c r="C23" s="426"/>
      <c r="D23" s="422"/>
      <c r="E23" s="422"/>
      <c r="F23" s="422"/>
      <c r="G23" s="422"/>
      <c r="H23" s="422"/>
      <c r="I23" s="423"/>
      <c r="J23" s="423"/>
      <c r="K23" s="423"/>
      <c r="L23" s="422"/>
      <c r="M23" s="424"/>
      <c r="N23" s="422"/>
      <c r="O23" s="425"/>
    </row>
    <row r="24" spans="2:15">
      <c r="B24" s="414" t="s">
        <v>1624</v>
      </c>
      <c r="C24" s="442"/>
      <c r="D24" s="419"/>
      <c r="E24" s="417">
        <v>6.4000000000000001E-2</v>
      </c>
      <c r="F24" s="447"/>
      <c r="G24" s="431">
        <v>0</v>
      </c>
      <c r="H24" s="414"/>
      <c r="I24" s="422"/>
      <c r="J24" s="433"/>
      <c r="K24" s="488"/>
      <c r="L24" s="419"/>
      <c r="M24" s="421">
        <v>0</v>
      </c>
      <c r="N24" s="430"/>
      <c r="O24" s="431">
        <v>0</v>
      </c>
    </row>
    <row r="25" spans="2:15" ht="6" customHeight="1">
      <c r="B25" s="422"/>
      <c r="C25" s="426"/>
      <c r="D25" s="422"/>
      <c r="E25" s="422"/>
      <c r="F25" s="422"/>
      <c r="G25" s="422"/>
      <c r="H25" s="422"/>
      <c r="I25" s="422"/>
      <c r="J25" s="422"/>
      <c r="K25" s="422"/>
      <c r="L25" s="422"/>
      <c r="M25" s="424"/>
      <c r="N25" s="433"/>
      <c r="O25" s="433"/>
    </row>
    <row r="26" spans="2:15" ht="15.75">
      <c r="B26" s="443" t="str">
        <f ca="1">Sprache!$E$212</f>
        <v>Hackschnitzel</v>
      </c>
      <c r="C26" s="426"/>
      <c r="D26" s="422"/>
      <c r="E26" s="422"/>
      <c r="F26" s="422"/>
      <c r="G26" s="422"/>
      <c r="H26" s="422"/>
      <c r="I26" s="422"/>
      <c r="J26" s="422"/>
      <c r="K26" s="422"/>
      <c r="L26" s="422"/>
      <c r="M26" s="424"/>
      <c r="N26" s="422"/>
      <c r="O26" s="425"/>
    </row>
    <row r="27" spans="2:15">
      <c r="B27" s="414"/>
      <c r="C27" s="442"/>
      <c r="D27" s="419"/>
      <c r="E27" s="417">
        <v>4.9000000000000002E-2</v>
      </c>
      <c r="F27" s="447"/>
      <c r="G27" s="431">
        <v>0</v>
      </c>
      <c r="H27" s="414"/>
      <c r="I27" s="422"/>
      <c r="J27" s="433"/>
      <c r="K27" s="488"/>
      <c r="L27" s="419"/>
      <c r="M27" s="421">
        <v>0</v>
      </c>
      <c r="N27" s="430"/>
      <c r="O27" s="431">
        <v>0</v>
      </c>
    </row>
    <row r="28" spans="2:15" ht="6" customHeight="1">
      <c r="B28" s="422"/>
      <c r="C28" s="426"/>
      <c r="D28" s="422"/>
      <c r="E28" s="422"/>
      <c r="F28" s="422"/>
      <c r="G28" s="422"/>
      <c r="H28" s="422"/>
      <c r="I28" s="422"/>
      <c r="J28" s="422"/>
      <c r="K28" s="422"/>
      <c r="L28" s="422"/>
      <c r="M28" s="424"/>
      <c r="N28" s="433"/>
      <c r="O28" s="433"/>
    </row>
    <row r="29" spans="2:15" ht="15.75">
      <c r="B29" s="443" t="str">
        <f ca="1">Sprache!$E$127</f>
        <v>Strom</v>
      </c>
      <c r="C29" s="426"/>
      <c r="D29" s="422"/>
      <c r="E29" s="422"/>
      <c r="F29" s="422"/>
      <c r="G29" s="422"/>
      <c r="H29" s="422"/>
      <c r="I29" s="422"/>
      <c r="J29" s="422"/>
      <c r="K29" s="422"/>
      <c r="L29" s="422"/>
      <c r="M29" s="424"/>
      <c r="N29" s="422"/>
      <c r="O29" s="425"/>
    </row>
    <row r="30" spans="2:15">
      <c r="B30" s="414" t="s">
        <v>1629</v>
      </c>
      <c r="C30" s="442"/>
      <c r="D30" s="419"/>
      <c r="E30" s="417">
        <v>0.26500000000000001</v>
      </c>
      <c r="F30" s="447"/>
      <c r="G30" s="431">
        <v>0</v>
      </c>
      <c r="H30" s="410"/>
      <c r="I30" s="489"/>
      <c r="J30" s="480"/>
      <c r="K30" s="490"/>
      <c r="L30" s="419"/>
      <c r="M30" s="421">
        <v>0</v>
      </c>
      <c r="N30" s="430"/>
      <c r="O30" s="431">
        <v>0</v>
      </c>
    </row>
    <row r="31" spans="2:15">
      <c r="B31" s="414" t="s">
        <v>1630</v>
      </c>
      <c r="C31" s="442"/>
      <c r="D31" s="419"/>
      <c r="E31" s="417">
        <v>0.24399999999999999</v>
      </c>
      <c r="F31" s="447"/>
      <c r="G31" s="431">
        <v>0</v>
      </c>
      <c r="H31" s="482"/>
      <c r="J31" s="483"/>
      <c r="K31" s="484"/>
      <c r="L31" s="419"/>
      <c r="M31" s="421">
        <v>0</v>
      </c>
      <c r="N31" s="430"/>
      <c r="O31" s="431">
        <v>0</v>
      </c>
    </row>
    <row r="32" spans="2:15">
      <c r="B32" s="414" t="s">
        <v>1631</v>
      </c>
      <c r="C32" s="442"/>
      <c r="D32" s="419"/>
      <c r="E32" s="417">
        <v>0.20899999999999999</v>
      </c>
      <c r="F32" s="447"/>
      <c r="G32" s="431">
        <v>0</v>
      </c>
      <c r="H32" s="482"/>
      <c r="J32" s="483"/>
      <c r="K32" s="484"/>
      <c r="L32" s="419"/>
      <c r="M32" s="421">
        <v>0</v>
      </c>
      <c r="N32" s="430"/>
      <c r="O32" s="431">
        <v>0</v>
      </c>
    </row>
    <row r="33" spans="2:15">
      <c r="B33" s="414" t="s">
        <v>1632</v>
      </c>
      <c r="C33" s="442"/>
      <c r="D33" s="419"/>
      <c r="E33" s="417">
        <v>0.22700000000000001</v>
      </c>
      <c r="F33" s="447"/>
      <c r="G33" s="431">
        <v>0</v>
      </c>
      <c r="H33" s="482"/>
      <c r="J33" s="483"/>
      <c r="K33" s="484"/>
      <c r="L33" s="419"/>
      <c r="M33" s="421">
        <v>0</v>
      </c>
      <c r="N33" s="430"/>
      <c r="O33" s="431">
        <v>0</v>
      </c>
    </row>
    <row r="34" spans="2:15">
      <c r="B34" s="414" t="s">
        <v>1633</v>
      </c>
      <c r="C34" s="442"/>
      <c r="D34" s="419"/>
      <c r="E34" s="417">
        <v>0.20200000000000001</v>
      </c>
      <c r="F34" s="447"/>
      <c r="G34" s="431">
        <v>0</v>
      </c>
      <c r="H34" s="482"/>
      <c r="J34" s="483"/>
      <c r="K34" s="484"/>
      <c r="L34" s="419"/>
      <c r="M34" s="421">
        <v>0</v>
      </c>
      <c r="N34" s="430"/>
      <c r="O34" s="431">
        <v>0</v>
      </c>
    </row>
    <row r="35" spans="2:15">
      <c r="B35" s="414" t="s">
        <v>1634</v>
      </c>
      <c r="C35" s="442"/>
      <c r="D35" s="419"/>
      <c r="E35" s="417">
        <v>0.17100000000000001</v>
      </c>
      <c r="F35" s="447"/>
      <c r="G35" s="448">
        <v>0</v>
      </c>
      <c r="H35" s="482"/>
      <c r="I35" s="491"/>
      <c r="J35" s="483"/>
      <c r="K35" s="492"/>
      <c r="L35" s="419"/>
      <c r="M35" s="421">
        <v>0</v>
      </c>
      <c r="N35" s="430"/>
      <c r="O35" s="431">
        <v>0</v>
      </c>
    </row>
    <row r="36" spans="2:15">
      <c r="B36" s="414" t="s">
        <v>1635</v>
      </c>
      <c r="C36" s="442"/>
      <c r="D36" s="419"/>
      <c r="E36" s="417">
        <v>0.19600000000000001</v>
      </c>
      <c r="F36" s="447"/>
      <c r="G36" s="448">
        <v>0</v>
      </c>
      <c r="H36" s="482"/>
      <c r="I36" s="491"/>
      <c r="J36" s="483"/>
      <c r="K36" s="492"/>
      <c r="L36" s="419"/>
      <c r="M36" s="421">
        <v>0</v>
      </c>
      <c r="N36" s="430"/>
      <c r="O36" s="431">
        <v>0</v>
      </c>
    </row>
    <row r="37" spans="2:15">
      <c r="B37" s="414" t="s">
        <v>1636</v>
      </c>
      <c r="C37" s="415"/>
      <c r="D37" s="419"/>
      <c r="E37" s="417">
        <v>0.19600000000000001</v>
      </c>
      <c r="F37" s="447"/>
      <c r="G37" s="448">
        <v>0</v>
      </c>
      <c r="H37" s="482"/>
      <c r="I37" s="491"/>
      <c r="J37" s="483"/>
      <c r="K37" s="492"/>
      <c r="L37" s="419"/>
      <c r="M37" s="421">
        <v>0</v>
      </c>
      <c r="N37" s="430"/>
      <c r="O37" s="431">
        <v>0</v>
      </c>
    </row>
    <row r="38" spans="2:15">
      <c r="B38" s="414" t="s">
        <v>1637</v>
      </c>
      <c r="C38" s="415"/>
      <c r="D38" s="419"/>
      <c r="E38" s="417">
        <v>0.19600000000000001</v>
      </c>
      <c r="F38" s="447"/>
      <c r="G38" s="448">
        <v>0</v>
      </c>
      <c r="H38" s="482"/>
      <c r="I38" s="491"/>
      <c r="J38" s="483"/>
      <c r="K38" s="492"/>
      <c r="L38" s="419"/>
      <c r="M38" s="421">
        <v>0</v>
      </c>
      <c r="N38" s="430"/>
      <c r="O38" s="431">
        <v>0</v>
      </c>
    </row>
    <row r="39" spans="2:15">
      <c r="B39" s="414" t="s">
        <v>1638</v>
      </c>
      <c r="C39" s="415"/>
      <c r="D39" s="419"/>
      <c r="E39" s="417">
        <v>0.19600000000000001</v>
      </c>
      <c r="F39" s="447"/>
      <c r="G39" s="448">
        <v>0</v>
      </c>
      <c r="H39" s="482"/>
      <c r="I39" s="491"/>
      <c r="J39" s="483"/>
      <c r="K39" s="492"/>
      <c r="L39" s="419"/>
      <c r="M39" s="421">
        <v>0</v>
      </c>
      <c r="N39" s="430"/>
      <c r="O39" s="431">
        <v>0</v>
      </c>
    </row>
    <row r="40" spans="2:15">
      <c r="B40" s="414" t="s">
        <v>1639</v>
      </c>
      <c r="C40" s="415"/>
      <c r="D40" s="419"/>
      <c r="E40" s="417">
        <v>0.19600000000000001</v>
      </c>
      <c r="F40" s="447"/>
      <c r="G40" s="448">
        <v>0</v>
      </c>
      <c r="H40" s="482"/>
      <c r="I40" s="491"/>
      <c r="J40" s="483"/>
      <c r="K40" s="492"/>
      <c r="L40" s="419"/>
      <c r="M40" s="421">
        <v>0</v>
      </c>
      <c r="N40" s="430"/>
      <c r="O40" s="431">
        <v>0</v>
      </c>
    </row>
    <row r="41" spans="2:15">
      <c r="B41" s="414" t="s">
        <v>1640</v>
      </c>
      <c r="C41" s="415"/>
      <c r="D41" s="419"/>
      <c r="E41" s="417">
        <v>0.19600000000000001</v>
      </c>
      <c r="F41" s="447"/>
      <c r="G41" s="448">
        <v>0</v>
      </c>
      <c r="H41" s="482"/>
      <c r="I41" s="491"/>
      <c r="J41" s="483"/>
      <c r="K41" s="492"/>
      <c r="L41" s="419"/>
      <c r="M41" s="421">
        <v>0</v>
      </c>
      <c r="N41" s="430"/>
      <c r="O41" s="431">
        <v>0</v>
      </c>
    </row>
    <row r="42" spans="2:15">
      <c r="B42" s="414" t="s">
        <v>1641</v>
      </c>
      <c r="C42" s="415"/>
      <c r="D42" s="419"/>
      <c r="E42" s="417">
        <v>0.19600000000000001</v>
      </c>
      <c r="F42" s="447"/>
      <c r="G42" s="448">
        <v>0</v>
      </c>
      <c r="H42" s="482"/>
      <c r="I42" s="491"/>
      <c r="J42" s="483"/>
      <c r="K42" s="492"/>
      <c r="L42" s="419"/>
      <c r="M42" s="421">
        <v>0</v>
      </c>
      <c r="N42" s="430"/>
      <c r="O42" s="431">
        <v>0</v>
      </c>
    </row>
    <row r="43" spans="2:15">
      <c r="B43" s="414" t="s">
        <v>1642</v>
      </c>
      <c r="C43" s="415"/>
      <c r="D43" s="419"/>
      <c r="E43" s="417">
        <v>0.19600000000000001</v>
      </c>
      <c r="F43" s="447"/>
      <c r="G43" s="448">
        <v>0</v>
      </c>
      <c r="H43" s="482"/>
      <c r="I43" s="491"/>
      <c r="J43" s="483"/>
      <c r="K43" s="492"/>
      <c r="L43" s="419"/>
      <c r="M43" s="421">
        <v>0</v>
      </c>
      <c r="N43" s="430"/>
      <c r="O43" s="431">
        <v>0</v>
      </c>
    </row>
    <row r="44" spans="2:15">
      <c r="B44" s="414" t="s">
        <v>1643</v>
      </c>
      <c r="C44" s="415"/>
      <c r="D44" s="419"/>
      <c r="E44" s="417">
        <v>0.19600000000000001</v>
      </c>
      <c r="F44" s="447"/>
      <c r="G44" s="448">
        <v>0</v>
      </c>
      <c r="H44" s="485"/>
      <c r="I44" s="493"/>
      <c r="J44" s="486"/>
      <c r="K44" s="494"/>
      <c r="L44" s="419"/>
      <c r="M44" s="421">
        <v>0</v>
      </c>
      <c r="N44" s="430"/>
      <c r="O44" s="431">
        <v>0</v>
      </c>
    </row>
    <row r="45" spans="2:15" ht="6" customHeight="1"/>
    <row r="46" spans="2:15" ht="15.75">
      <c r="B46" s="443" t="str">
        <f ca="1">Sprache!$E$197</f>
        <v>Wärme</v>
      </c>
      <c r="C46" s="426"/>
      <c r="D46" s="422"/>
      <c r="E46" s="422"/>
      <c r="F46" s="422"/>
      <c r="G46" s="422"/>
      <c r="H46" s="422"/>
      <c r="I46" s="423"/>
      <c r="J46" s="423"/>
      <c r="K46" s="423"/>
      <c r="L46" s="422"/>
      <c r="M46" s="424"/>
      <c r="N46" s="422"/>
      <c r="O46" s="425"/>
    </row>
    <row r="47" spans="2:15">
      <c r="B47" s="414" t="str">
        <f ca="1">Sprache!$E$129</f>
        <v>Wärmenetz KVA</v>
      </c>
      <c r="C47" s="442"/>
      <c r="D47" s="419"/>
      <c r="E47" s="417">
        <v>0.08</v>
      </c>
      <c r="F47" s="447"/>
      <c r="G47" s="431">
        <v>0</v>
      </c>
      <c r="H47" s="410"/>
      <c r="I47" s="489"/>
      <c r="J47" s="480"/>
      <c r="K47" s="490"/>
      <c r="L47" s="419"/>
      <c r="M47" s="421">
        <v>0</v>
      </c>
      <c r="N47" s="430"/>
      <c r="O47" s="431">
        <v>0</v>
      </c>
    </row>
    <row r="48" spans="2:15">
      <c r="B48" s="414" t="str">
        <f ca="1">Sprache!$E$130</f>
        <v>Wärmenetz BHKW (Gas)</v>
      </c>
      <c r="C48" s="442"/>
      <c r="D48" s="419"/>
      <c r="E48" s="417">
        <v>0.1</v>
      </c>
      <c r="F48" s="447"/>
      <c r="G48" s="431">
        <v>0</v>
      </c>
      <c r="H48" s="482"/>
      <c r="J48" s="483"/>
      <c r="K48" s="484"/>
      <c r="L48" s="419"/>
      <c r="M48" s="421">
        <v>0</v>
      </c>
      <c r="N48" s="430"/>
      <c r="O48" s="431">
        <v>0</v>
      </c>
    </row>
    <row r="49" spans="2:15">
      <c r="B49" s="414" t="str">
        <f ca="1">Sprache!$E$131</f>
        <v>Wärmenetz WP (Grundwasser)</v>
      </c>
      <c r="C49" s="442"/>
      <c r="D49" s="419"/>
      <c r="E49" s="417">
        <v>0.11</v>
      </c>
      <c r="F49" s="447"/>
      <c r="G49" s="431">
        <v>0</v>
      </c>
      <c r="H49" s="482"/>
      <c r="J49" s="483"/>
      <c r="K49" s="484"/>
      <c r="L49" s="419"/>
      <c r="M49" s="421">
        <v>0</v>
      </c>
      <c r="N49" s="430"/>
      <c r="O49" s="431">
        <v>0</v>
      </c>
    </row>
    <row r="50" spans="2:15">
      <c r="B50" s="414" t="str">
        <f ca="1">Sprache!$E$132</f>
        <v>Wärmenetz Hackschnitzel</v>
      </c>
      <c r="C50" s="442"/>
      <c r="D50" s="416"/>
      <c r="E50" s="417">
        <v>0.12</v>
      </c>
      <c r="F50" s="447"/>
      <c r="G50" s="431">
        <v>0</v>
      </c>
      <c r="H50" s="485"/>
      <c r="I50" s="439"/>
      <c r="J50" s="486"/>
      <c r="K50" s="487"/>
      <c r="L50" s="416"/>
      <c r="M50" s="421">
        <v>0</v>
      </c>
      <c r="N50" s="430"/>
      <c r="O50" s="431">
        <v>0</v>
      </c>
    </row>
  </sheetData>
  <sheetProtection algorithmName="SHA-512" hashValue="laJl+3bPHlrlk97kkQOjijzKt/NoxYEngrNgeQf9bJWKjzeVFpVFq5CdP2V/EKIbumX5Q1vycRHGmEAJZpXNeQ==" saltValue="2KPQwgGAkCtzu7RgGAxKLg==" spinCount="100000" sheet="1" objects="1" scenarios="1"/>
  <mergeCells count="16">
    <mergeCell ref="H2:I2"/>
    <mergeCell ref="D4:G4"/>
    <mergeCell ref="H4:K4"/>
    <mergeCell ref="L5:M5"/>
    <mergeCell ref="D6:E6"/>
    <mergeCell ref="H6:I6"/>
    <mergeCell ref="L6:M6"/>
    <mergeCell ref="L4:O4"/>
    <mergeCell ref="D5:E5"/>
    <mergeCell ref="H5:I5"/>
    <mergeCell ref="N6:O6"/>
    <mergeCell ref="N5:O5"/>
    <mergeCell ref="J5:K5"/>
    <mergeCell ref="F5:G5"/>
    <mergeCell ref="F6:G6"/>
    <mergeCell ref="J6:K6"/>
  </mergeCells>
  <pageMargins left="0.70866141732283472" right="0.70866141732283472" top="1.1811023622047245" bottom="0.78740157480314965" header="0.31496062992125984" footer="0.31496062992125984"/>
  <pageSetup paperSize="9" scale="27" orientation="portrait" verticalDpi="0" r:id="rId1"/>
  <headerFooter>
    <oddHeader>&amp;R&amp;G</oddHeader>
    <oddFooter>&amp;C&amp;D&amp;R&amp;P/&amp;N</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9A3CC6E0-E1C7-448C-8C95-C1069F2CC798}">
          <x14:formula1>
            <xm:f>Auswahllisten!$E$150:$E$151</xm:f>
          </x14:formula1>
          <xm:sqref>H2:I2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B1:AC90"/>
  <sheetViews>
    <sheetView zoomScale="80" zoomScaleNormal="80" workbookViewId="0">
      <selection activeCell="F7" sqref="F7"/>
    </sheetView>
  </sheetViews>
  <sheetFormatPr baseColWidth="10" defaultColWidth="11.42578125" defaultRowHeight="12.75"/>
  <cols>
    <col min="1" max="1" width="5.42578125" style="1" customWidth="1"/>
    <col min="2" max="2" width="4.42578125" style="1" customWidth="1"/>
    <col min="3" max="5" width="15.42578125" style="1" customWidth="1"/>
    <col min="6" max="7" width="12" style="1" customWidth="1"/>
    <col min="8" max="19" width="11.42578125" style="1"/>
    <col min="20" max="20" width="11.42578125" style="1" customWidth="1"/>
    <col min="21" max="29" width="11.42578125" style="1"/>
    <col min="30" max="30" width="3.140625" style="1" customWidth="1"/>
    <col min="31" max="16384" width="11.42578125" style="1"/>
  </cols>
  <sheetData>
    <row r="1" spans="2:29" ht="15.75">
      <c r="B1" s="57" t="str">
        <f ca="1">Sprache!E223</f>
        <v xml:space="preserve">Grundlagen für energetische Berechnung </v>
      </c>
    </row>
    <row r="2" spans="2:29">
      <c r="J2" s="50"/>
      <c r="K2" s="71"/>
      <c r="L2" s="351" t="str">
        <f ca="1">Sprache!E409</f>
        <v>Konventionelle Energiequelle</v>
      </c>
      <c r="M2" s="71"/>
      <c r="N2" s="71"/>
      <c r="O2" s="2"/>
      <c r="P2" s="50"/>
      <c r="Q2" s="71"/>
      <c r="R2" s="351" t="str">
        <f ca="1">Sprache!E410</f>
        <v>Bio-Energiequelle</v>
      </c>
      <c r="S2" s="71"/>
      <c r="T2" s="71"/>
      <c r="U2" s="2"/>
    </row>
    <row r="3" spans="2:29" ht="15">
      <c r="C3" s="6"/>
      <c r="D3" s="63"/>
      <c r="E3" s="70"/>
      <c r="F3" s="619" t="str">
        <f ca="1">Sprache!E27</f>
        <v>Dichte</v>
      </c>
      <c r="G3" s="620"/>
      <c r="H3" s="619" t="str">
        <f ca="1">Sprache!E28</f>
        <v>Brennwert</v>
      </c>
      <c r="I3" s="620"/>
      <c r="J3" s="634" t="str">
        <f ca="1">Sprache!$E$411</f>
        <v>Treibhausgase (Vollzug)</v>
      </c>
      <c r="K3" s="639"/>
      <c r="L3" s="619" t="str">
        <f ca="1">Sprache!$E$30&amp;"*"</f>
        <v>Treibhausgas (KBOB)*</v>
      </c>
      <c r="M3" s="641"/>
      <c r="N3" s="619" t="str">
        <f ca="1">Sprache!$E$31&amp;"*"</f>
        <v>UBP*</v>
      </c>
      <c r="O3" s="620"/>
      <c r="P3" s="634" t="str">
        <f ca="1">Sprache!$E$411</f>
        <v>Treibhausgase (Vollzug)</v>
      </c>
      <c r="Q3" s="639"/>
      <c r="R3" s="619" t="str">
        <f ca="1">Sprache!$E$30&amp;"*"</f>
        <v>Treibhausgas (KBOB)*</v>
      </c>
      <c r="S3" s="641"/>
      <c r="T3" s="619" t="str">
        <f ca="1">Sprache!$E$31&amp;"*"</f>
        <v>UBP*</v>
      </c>
      <c r="U3" s="620"/>
      <c r="V3" s="634" t="str">
        <f ca="1">Sprache!E109</f>
        <v>Nutzungsgrad Heizung</v>
      </c>
      <c r="W3" s="642"/>
      <c r="X3" s="642"/>
      <c r="Y3" s="643"/>
      <c r="Z3" s="634" t="str">
        <f ca="1">Sprache!E408</f>
        <v>Nutzungsgrad Warmwasser</v>
      </c>
      <c r="AA3" s="642"/>
      <c r="AB3" s="642"/>
      <c r="AC3" s="643"/>
    </row>
    <row r="4" spans="2:29" ht="15">
      <c r="C4" s="3"/>
      <c r="E4" s="4"/>
      <c r="F4" s="635" t="s">
        <v>24</v>
      </c>
      <c r="G4" s="636"/>
      <c r="H4" s="640" t="s">
        <v>25</v>
      </c>
      <c r="I4" s="620"/>
      <c r="J4" s="640" t="s">
        <v>306</v>
      </c>
      <c r="K4" s="620"/>
      <c r="L4" s="640" t="s">
        <v>306</v>
      </c>
      <c r="M4" s="620"/>
      <c r="N4" s="640" t="s">
        <v>264</v>
      </c>
      <c r="O4" s="624"/>
      <c r="P4" s="640" t="s">
        <v>306</v>
      </c>
      <c r="Q4" s="620"/>
      <c r="R4" s="640" t="s">
        <v>306</v>
      </c>
      <c r="S4" s="620"/>
      <c r="T4" s="640" t="s">
        <v>264</v>
      </c>
      <c r="U4" s="624"/>
      <c r="V4" s="619" t="str">
        <f ca="1">Sprache!$E$226</f>
        <v>alte Anlagen</v>
      </c>
      <c r="W4" s="624"/>
      <c r="X4" s="619" t="str">
        <f ca="1">Sprache!$E$227</f>
        <v>neue Anlagen</v>
      </c>
      <c r="Y4" s="624"/>
      <c r="Z4" s="619" t="str">
        <f ca="1">Sprache!$E$226</f>
        <v>alte Anlagen</v>
      </c>
      <c r="AA4" s="624"/>
      <c r="AB4" s="619" t="str">
        <f ca="1">Sprache!$E$227</f>
        <v>neue Anlagen</v>
      </c>
      <c r="AC4" s="624"/>
    </row>
    <row r="5" spans="2:29" ht="15">
      <c r="C5" s="3"/>
      <c r="E5" s="4"/>
      <c r="F5" s="619" t="s">
        <v>170</v>
      </c>
      <c r="G5" s="620"/>
      <c r="H5" s="619" t="s">
        <v>26</v>
      </c>
      <c r="I5" s="620"/>
      <c r="J5" s="619" t="s">
        <v>341</v>
      </c>
      <c r="K5" s="620"/>
      <c r="L5" s="619" t="s">
        <v>341</v>
      </c>
      <c r="M5" s="620"/>
      <c r="N5" s="619" t="s">
        <v>340</v>
      </c>
      <c r="O5" s="624"/>
      <c r="P5" s="619" t="s">
        <v>341</v>
      </c>
      <c r="Q5" s="620"/>
      <c r="R5" s="619" t="s">
        <v>341</v>
      </c>
      <c r="S5" s="620"/>
      <c r="T5" s="652" t="s">
        <v>340</v>
      </c>
      <c r="U5" s="653"/>
      <c r="V5" s="619" t="s">
        <v>169</v>
      </c>
      <c r="W5" s="624"/>
      <c r="X5" s="619" t="s">
        <v>169</v>
      </c>
      <c r="Y5" s="624"/>
      <c r="Z5" s="619" t="s">
        <v>169</v>
      </c>
      <c r="AA5" s="624"/>
      <c r="AB5" s="619" t="s">
        <v>169</v>
      </c>
      <c r="AC5" s="624"/>
    </row>
    <row r="6" spans="2:29">
      <c r="C6" s="51"/>
      <c r="D6" s="55"/>
      <c r="E6" s="5"/>
      <c r="F6" s="16" t="str">
        <f ca="1">Sprache!$E$33</f>
        <v>eigene</v>
      </c>
      <c r="G6" s="16" t="str">
        <f ca="1">Sprache!$E$34</f>
        <v>Standard</v>
      </c>
      <c r="H6" s="16" t="str">
        <f ca="1">Sprache!$E$33</f>
        <v>eigene</v>
      </c>
      <c r="I6" s="16" t="str">
        <f ca="1">Sprache!$E$34</f>
        <v>Standard</v>
      </c>
      <c r="J6" s="16" t="str">
        <f ca="1">Sprache!$E$33</f>
        <v>eigene</v>
      </c>
      <c r="K6" s="16" t="str">
        <f ca="1">Sprache!$E$34</f>
        <v>Standard</v>
      </c>
      <c r="L6" s="16" t="str">
        <f ca="1">Sprache!$E$33</f>
        <v>eigene</v>
      </c>
      <c r="M6" s="16" t="str">
        <f ca="1">Sprache!$E$34</f>
        <v>Standard</v>
      </c>
      <c r="N6" s="16" t="str">
        <f ca="1">Sprache!$E$33</f>
        <v>eigene</v>
      </c>
      <c r="O6" s="16" t="str">
        <f ca="1">Sprache!$E$34</f>
        <v>Standard</v>
      </c>
      <c r="P6" s="16" t="str">
        <f ca="1">Sprache!$E$33</f>
        <v>eigene</v>
      </c>
      <c r="Q6" s="16" t="str">
        <f ca="1">Sprache!$E$34</f>
        <v>Standard</v>
      </c>
      <c r="R6" s="16" t="str">
        <f ca="1">Sprache!$E$33</f>
        <v>eigene</v>
      </c>
      <c r="S6" s="16" t="str">
        <f ca="1">Sprache!$E$34</f>
        <v>Standard</v>
      </c>
      <c r="T6" s="16" t="str">
        <f ca="1">Sprache!$E$33</f>
        <v>eigene</v>
      </c>
      <c r="U6" s="16" t="str">
        <f ca="1">Sprache!$E$34</f>
        <v>Standard</v>
      </c>
      <c r="V6" s="16" t="str">
        <f ca="1">Sprache!$E$33</f>
        <v>eigene</v>
      </c>
      <c r="W6" s="16" t="str">
        <f ca="1">Sprache!$E$34</f>
        <v>Standard</v>
      </c>
      <c r="X6" s="16" t="str">
        <f ca="1">Sprache!$E$33</f>
        <v>eigene</v>
      </c>
      <c r="Y6" s="16" t="str">
        <f ca="1">Sprache!$E$34</f>
        <v>Standard</v>
      </c>
      <c r="Z6" s="16" t="str">
        <f ca="1">Sprache!$E$33</f>
        <v>eigene</v>
      </c>
      <c r="AA6" s="16" t="str">
        <f ca="1">Sprache!$E$34</f>
        <v>Standard</v>
      </c>
      <c r="AB6" s="16" t="str">
        <f ca="1">Sprache!$E$33</f>
        <v>eigene</v>
      </c>
      <c r="AC6" s="16" t="str">
        <f ca="1">Sprache!$E$34</f>
        <v>Standard</v>
      </c>
    </row>
    <row r="7" spans="2:29">
      <c r="C7" s="50" t="str">
        <f ca="1">Sprache!E16</f>
        <v>Öl</v>
      </c>
      <c r="D7" s="71"/>
      <c r="E7" s="2"/>
      <c r="F7" s="27"/>
      <c r="G7" s="16">
        <v>840</v>
      </c>
      <c r="H7" s="27"/>
      <c r="I7" s="16">
        <v>12.5</v>
      </c>
      <c r="J7" s="27"/>
      <c r="K7" s="179">
        <v>0.26500000000000001</v>
      </c>
      <c r="L7" s="27"/>
      <c r="M7" s="16">
        <v>0.32400000000000001</v>
      </c>
      <c r="N7" s="48"/>
      <c r="O7" s="72">
        <v>409</v>
      </c>
      <c r="P7" s="27"/>
      <c r="Q7" s="179">
        <v>0</v>
      </c>
      <c r="R7" s="27"/>
      <c r="S7" s="179">
        <v>0</v>
      </c>
      <c r="T7" s="48"/>
      <c r="U7" s="333">
        <v>0</v>
      </c>
      <c r="V7" s="48"/>
      <c r="W7" s="173">
        <v>0.78</v>
      </c>
      <c r="X7" s="48"/>
      <c r="Y7" s="173">
        <v>0.91</v>
      </c>
      <c r="Z7" s="176"/>
      <c r="AA7" s="353">
        <v>0.78</v>
      </c>
      <c r="AB7" s="354"/>
      <c r="AC7" s="353">
        <v>0.88</v>
      </c>
    </row>
    <row r="8" spans="2:29">
      <c r="C8" s="50" t="str">
        <f ca="1">Sprache!E17</f>
        <v>Erdgas</v>
      </c>
      <c r="D8" s="71"/>
      <c r="E8" s="2"/>
      <c r="F8" s="27"/>
      <c r="G8" s="16">
        <v>0.8</v>
      </c>
      <c r="H8" s="27"/>
      <c r="I8" s="16">
        <v>11.2</v>
      </c>
      <c r="J8" s="27"/>
      <c r="K8" s="179">
        <v>0.20300000000000001</v>
      </c>
      <c r="L8" s="27"/>
      <c r="M8" s="16">
        <v>0.23</v>
      </c>
      <c r="N8" s="48"/>
      <c r="O8" s="72">
        <v>274</v>
      </c>
      <c r="P8" s="27"/>
      <c r="Q8" s="179">
        <v>0</v>
      </c>
      <c r="R8" s="27"/>
      <c r="S8" s="179">
        <v>0.124</v>
      </c>
      <c r="T8" s="48"/>
      <c r="U8" s="333">
        <v>155</v>
      </c>
      <c r="V8" s="48"/>
      <c r="W8" s="173">
        <v>0.82</v>
      </c>
      <c r="X8" s="48"/>
      <c r="Y8" s="173">
        <v>0.95</v>
      </c>
      <c r="Z8" s="176"/>
      <c r="AA8" s="353">
        <v>0.82</v>
      </c>
      <c r="AB8" s="354"/>
      <c r="AC8" s="353">
        <v>0.92</v>
      </c>
    </row>
    <row r="9" spans="2:29">
      <c r="C9" s="50" t="str">
        <f ca="1">Sprache!E18</f>
        <v>Pellets</v>
      </c>
      <c r="D9" s="71"/>
      <c r="E9" s="2"/>
      <c r="F9" s="27"/>
      <c r="G9" s="16">
        <v>660</v>
      </c>
      <c r="H9" s="27"/>
      <c r="I9" s="16">
        <v>5.5</v>
      </c>
      <c r="J9" s="27"/>
      <c r="K9" s="179">
        <v>0</v>
      </c>
      <c r="L9" s="27"/>
      <c r="M9" s="16">
        <v>2.8000000000000001E-2</v>
      </c>
      <c r="N9" s="48"/>
      <c r="O9" s="72">
        <v>111</v>
      </c>
      <c r="P9" s="27"/>
      <c r="Q9" s="179">
        <v>0</v>
      </c>
      <c r="R9" s="27"/>
      <c r="S9" s="179">
        <v>0</v>
      </c>
      <c r="T9" s="48"/>
      <c r="U9" s="333">
        <v>0</v>
      </c>
      <c r="V9" s="48"/>
      <c r="W9" s="173">
        <v>0.65</v>
      </c>
      <c r="X9" s="48"/>
      <c r="Y9" s="173">
        <v>0.85</v>
      </c>
      <c r="Z9" s="176"/>
      <c r="AA9" s="353">
        <v>0.65</v>
      </c>
      <c r="AB9" s="354"/>
      <c r="AC9" s="353">
        <v>0.85</v>
      </c>
    </row>
    <row r="10" spans="2:29">
      <c r="C10" s="50" t="str">
        <f ca="1">Sprache!E212</f>
        <v>Hackschnitzel</v>
      </c>
      <c r="D10" s="71"/>
      <c r="E10" s="2"/>
      <c r="F10" s="27"/>
      <c r="G10" s="16">
        <v>170</v>
      </c>
      <c r="H10" s="27"/>
      <c r="I10" s="16">
        <v>5.5</v>
      </c>
      <c r="J10" s="27"/>
      <c r="K10" s="179">
        <v>0</v>
      </c>
      <c r="L10" s="27"/>
      <c r="M10" s="16">
        <v>1.0999999999999999E-2</v>
      </c>
      <c r="N10" s="48"/>
      <c r="O10" s="72">
        <v>115</v>
      </c>
      <c r="P10" s="27"/>
      <c r="Q10" s="179">
        <v>0</v>
      </c>
      <c r="R10" s="27"/>
      <c r="S10" s="179">
        <v>0</v>
      </c>
      <c r="T10" s="48"/>
      <c r="U10" s="333">
        <v>0</v>
      </c>
      <c r="V10" s="48"/>
      <c r="W10" s="173">
        <v>0.55000000000000004</v>
      </c>
      <c r="X10" s="48"/>
      <c r="Y10" s="173">
        <v>0.75</v>
      </c>
      <c r="Z10" s="176"/>
      <c r="AA10" s="353">
        <v>0.55000000000000004</v>
      </c>
      <c r="AB10" s="354"/>
      <c r="AC10" s="353">
        <v>0.75</v>
      </c>
    </row>
    <row r="11" spans="2:29">
      <c r="C11" s="50" t="str">
        <f ca="1">Sprache!E213</f>
        <v>WP (LW)</v>
      </c>
      <c r="D11" s="71"/>
      <c r="E11" s="2"/>
      <c r="F11" s="6"/>
      <c r="G11" s="63"/>
      <c r="H11" s="63"/>
      <c r="I11" s="70"/>
      <c r="J11" s="27"/>
      <c r="K11" s="179">
        <v>0</v>
      </c>
      <c r="L11" s="27"/>
      <c r="M11" s="16">
        <v>5.3999999999999999E-2</v>
      </c>
      <c r="N11" s="48"/>
      <c r="O11" s="72">
        <v>265</v>
      </c>
      <c r="P11" s="27"/>
      <c r="Q11" s="179">
        <v>0</v>
      </c>
      <c r="R11" s="27"/>
      <c r="S11" s="179">
        <v>0</v>
      </c>
      <c r="T11" s="48"/>
      <c r="U11" s="333">
        <v>0</v>
      </c>
      <c r="V11" s="48"/>
      <c r="W11" s="72">
        <v>2.1</v>
      </c>
      <c r="X11" s="48"/>
      <c r="Y11" s="72">
        <v>2.2999999999999998</v>
      </c>
      <c r="Z11" s="48"/>
      <c r="AA11" s="333">
        <v>2.1</v>
      </c>
      <c r="AB11" s="334"/>
      <c r="AC11" s="333">
        <v>2.2999999999999998</v>
      </c>
    </row>
    <row r="12" spans="2:29">
      <c r="C12" s="50" t="str">
        <f ca="1">Sprache!E21</f>
        <v>WP (WW)</v>
      </c>
      <c r="D12" s="71"/>
      <c r="E12" s="2"/>
      <c r="F12" s="3"/>
      <c r="I12" s="4"/>
      <c r="J12" s="27"/>
      <c r="K12" s="179">
        <v>0</v>
      </c>
      <c r="L12" s="27"/>
      <c r="M12" s="16">
        <v>5.3999999999999999E-2</v>
      </c>
      <c r="N12" s="48"/>
      <c r="O12" s="72">
        <v>265</v>
      </c>
      <c r="P12" s="27"/>
      <c r="Q12" s="179">
        <v>0</v>
      </c>
      <c r="R12" s="27"/>
      <c r="S12" s="179">
        <v>0</v>
      </c>
      <c r="T12" s="48"/>
      <c r="U12" s="333">
        <v>0</v>
      </c>
      <c r="V12" s="48"/>
      <c r="W12" s="72">
        <v>2.9</v>
      </c>
      <c r="X12" s="48"/>
      <c r="Y12" s="72">
        <v>3.1</v>
      </c>
      <c r="Z12" s="48"/>
      <c r="AA12" s="333">
        <v>2.5</v>
      </c>
      <c r="AB12" s="334"/>
      <c r="AC12" s="333">
        <v>2.7</v>
      </c>
    </row>
    <row r="13" spans="2:29">
      <c r="C13" s="50" t="str">
        <f ca="1">Sprache!E22</f>
        <v>WP (SW)</v>
      </c>
      <c r="D13" s="71"/>
      <c r="E13" s="2"/>
      <c r="F13" s="3"/>
      <c r="I13" s="4"/>
      <c r="J13" s="27"/>
      <c r="K13" s="179">
        <v>0</v>
      </c>
      <c r="L13" s="27"/>
      <c r="M13" s="16">
        <v>5.3999999999999999E-2</v>
      </c>
      <c r="N13" s="48"/>
      <c r="O13" s="72">
        <v>265</v>
      </c>
      <c r="P13" s="27"/>
      <c r="Q13" s="179">
        <v>0</v>
      </c>
      <c r="R13" s="27"/>
      <c r="S13" s="179">
        <v>0</v>
      </c>
      <c r="T13" s="48"/>
      <c r="U13" s="333">
        <v>0</v>
      </c>
      <c r="V13" s="48"/>
      <c r="W13" s="72">
        <v>2.7</v>
      </c>
      <c r="X13" s="48"/>
      <c r="Y13" s="72">
        <v>2.9</v>
      </c>
      <c r="Z13" s="48"/>
      <c r="AA13" s="333">
        <v>2.5</v>
      </c>
      <c r="AB13" s="334"/>
      <c r="AC13" s="333">
        <v>2.7</v>
      </c>
    </row>
    <row r="14" spans="2:29">
      <c r="C14" s="50" t="str">
        <f ca="1">Sprache!E482</f>
        <v>WP (SW mit Absorber)</v>
      </c>
      <c r="D14" s="71"/>
      <c r="E14" s="2"/>
      <c r="F14" s="148"/>
      <c r="I14" s="4"/>
      <c r="J14" s="49"/>
      <c r="K14" s="332">
        <v>0</v>
      </c>
      <c r="L14" s="49"/>
      <c r="M14" s="60">
        <v>5.3999999999999999E-2</v>
      </c>
      <c r="N14" s="47"/>
      <c r="O14" s="73">
        <v>265</v>
      </c>
      <c r="P14" s="49"/>
      <c r="Q14" s="332">
        <v>0</v>
      </c>
      <c r="R14" s="49"/>
      <c r="S14" s="332">
        <v>0</v>
      </c>
      <c r="T14" s="47"/>
      <c r="U14" s="352">
        <v>0</v>
      </c>
      <c r="V14" s="47"/>
      <c r="W14" s="73">
        <v>2.7</v>
      </c>
      <c r="X14" s="47"/>
      <c r="Y14" s="73">
        <v>2.9</v>
      </c>
      <c r="Z14" s="47"/>
      <c r="AA14" s="352">
        <v>2.5</v>
      </c>
      <c r="AB14" s="548"/>
      <c r="AC14" s="352">
        <v>2.7</v>
      </c>
    </row>
    <row r="15" spans="2:29">
      <c r="C15" s="50" t="str">
        <f ca="1">Sprache!E129</f>
        <v>Wärmenetz KVA</v>
      </c>
      <c r="D15" s="71"/>
      <c r="E15" s="2"/>
      <c r="F15" s="3"/>
      <c r="I15" s="4"/>
      <c r="J15" s="49"/>
      <c r="K15" s="332">
        <v>0</v>
      </c>
      <c r="L15" s="49"/>
      <c r="M15" s="60">
        <v>3.0000000000000001E-3</v>
      </c>
      <c r="N15" s="47"/>
      <c r="O15" s="73">
        <v>11.4</v>
      </c>
      <c r="P15" s="49"/>
      <c r="Q15" s="332">
        <v>0</v>
      </c>
      <c r="R15" s="49"/>
      <c r="S15" s="332">
        <v>0</v>
      </c>
      <c r="T15" s="47"/>
      <c r="U15" s="352">
        <v>0</v>
      </c>
      <c r="V15" s="47"/>
      <c r="W15" s="174">
        <v>0.98</v>
      </c>
      <c r="X15" s="47"/>
      <c r="Y15" s="174">
        <v>0.99</v>
      </c>
      <c r="Z15" s="177"/>
      <c r="AA15" s="355">
        <v>0.98</v>
      </c>
      <c r="AB15" s="356"/>
      <c r="AC15" s="355">
        <v>0.99</v>
      </c>
    </row>
    <row r="16" spans="2:29">
      <c r="C16" s="50" t="str">
        <f ca="1">Sprache!E130</f>
        <v>Wärmenetz BHKW (Gas)</v>
      </c>
      <c r="D16" s="71"/>
      <c r="E16" s="2"/>
      <c r="J16" s="27"/>
      <c r="K16" s="179">
        <v>0</v>
      </c>
      <c r="L16" s="27"/>
      <c r="M16" s="16">
        <v>0.106</v>
      </c>
      <c r="N16" s="48"/>
      <c r="O16" s="16">
        <v>134</v>
      </c>
      <c r="P16" s="27"/>
      <c r="Q16" s="179">
        <v>0</v>
      </c>
      <c r="R16" s="27"/>
      <c r="S16" s="179">
        <v>0</v>
      </c>
      <c r="T16" s="48"/>
      <c r="U16" s="179">
        <v>0</v>
      </c>
      <c r="V16" s="48"/>
      <c r="W16" s="173">
        <v>0.98</v>
      </c>
      <c r="X16" s="48"/>
      <c r="Y16" s="173">
        <v>0.99</v>
      </c>
      <c r="Z16" s="176"/>
      <c r="AA16" s="353">
        <v>0.98</v>
      </c>
      <c r="AB16" s="354"/>
      <c r="AC16" s="353">
        <v>0.99</v>
      </c>
    </row>
    <row r="17" spans="2:29">
      <c r="C17" s="50" t="str">
        <f ca="1">Sprache!E131</f>
        <v>Wärmenetz WP (Grundwasser)</v>
      </c>
      <c r="D17" s="71"/>
      <c r="E17" s="2"/>
      <c r="J17" s="27"/>
      <c r="K17" s="179">
        <v>0</v>
      </c>
      <c r="L17" s="27"/>
      <c r="M17" s="16">
        <v>5.6000000000000001E-2</v>
      </c>
      <c r="N17" s="48"/>
      <c r="O17" s="72">
        <v>208</v>
      </c>
      <c r="P17" s="27"/>
      <c r="Q17" s="179">
        <v>0</v>
      </c>
      <c r="R17" s="27"/>
      <c r="S17" s="179">
        <v>0</v>
      </c>
      <c r="T17" s="48"/>
      <c r="U17" s="333">
        <v>0</v>
      </c>
      <c r="V17" s="48"/>
      <c r="W17" s="175">
        <v>0.98</v>
      </c>
      <c r="X17" s="48"/>
      <c r="Y17" s="175">
        <v>0.99</v>
      </c>
      <c r="Z17" s="176"/>
      <c r="AA17" s="357">
        <v>0.98</v>
      </c>
      <c r="AB17" s="354"/>
      <c r="AC17" s="357">
        <v>0.99</v>
      </c>
    </row>
    <row r="18" spans="2:29">
      <c r="C18" s="50" t="str">
        <f ca="1">Sprache!E132</f>
        <v>Wärmenetz Hackschnitzel</v>
      </c>
      <c r="D18" s="71"/>
      <c r="E18" s="2"/>
      <c r="F18" s="3"/>
      <c r="I18" s="4"/>
      <c r="J18" s="27"/>
      <c r="K18" s="179">
        <v>0</v>
      </c>
      <c r="L18" s="27"/>
      <c r="M18" s="16">
        <v>2.5000000000000001E-2</v>
      </c>
      <c r="N18" s="48"/>
      <c r="O18" s="72">
        <v>165</v>
      </c>
      <c r="P18" s="27"/>
      <c r="Q18" s="179">
        <v>0</v>
      </c>
      <c r="R18" s="27"/>
      <c r="S18" s="179">
        <v>0</v>
      </c>
      <c r="T18" s="48"/>
      <c r="U18" s="333">
        <v>0</v>
      </c>
      <c r="V18" s="48"/>
      <c r="W18" s="175">
        <v>0.98</v>
      </c>
      <c r="X18" s="48"/>
      <c r="Y18" s="175">
        <v>0.99</v>
      </c>
      <c r="Z18" s="176"/>
      <c r="AA18" s="357">
        <v>0.98</v>
      </c>
      <c r="AB18" s="354"/>
      <c r="AC18" s="357">
        <v>0.99</v>
      </c>
    </row>
    <row r="19" spans="2:29">
      <c r="C19" s="350" t="str">
        <f ca="1">Sprache!E23</f>
        <v>WKK Anlage (Gas)</v>
      </c>
      <c r="D19" s="94"/>
      <c r="E19" s="142"/>
      <c r="F19" s="27"/>
      <c r="G19" s="16">
        <v>0.8</v>
      </c>
      <c r="H19" s="27"/>
      <c r="I19" s="16">
        <v>11.2</v>
      </c>
      <c r="J19" s="27"/>
      <c r="K19" s="179">
        <v>0.20300000000000001</v>
      </c>
      <c r="L19" s="27"/>
      <c r="M19" s="16">
        <v>0.23</v>
      </c>
      <c r="N19" s="48"/>
      <c r="O19" s="72">
        <v>274</v>
      </c>
      <c r="P19" s="27"/>
      <c r="Q19" s="179">
        <v>0</v>
      </c>
      <c r="R19" s="27"/>
      <c r="S19" s="179">
        <v>0.124</v>
      </c>
      <c r="T19" s="334"/>
      <c r="U19" s="333">
        <v>155</v>
      </c>
      <c r="V19" s="48"/>
      <c r="W19" s="175">
        <v>0.8</v>
      </c>
      <c r="X19" s="48"/>
      <c r="Y19" s="175">
        <v>0.85</v>
      </c>
      <c r="Z19" s="176"/>
      <c r="AA19" s="357">
        <v>0.8</v>
      </c>
      <c r="AB19" s="354"/>
      <c r="AC19" s="357">
        <v>0.85</v>
      </c>
    </row>
    <row r="20" spans="2:29" ht="15">
      <c r="C20" s="650" t="str">
        <f ca="1">CONCATENATE("*",Sprache!E158&amp;" "&amp;Sprache!E228)</f>
        <v>*Quelle: KBOB (http://www.eco-bau.ch/index.cfm?Nav=17&amp;ID=46) Bei Wärmenetz BHKW (Gas) wird nur die Wärmeabgabe berücksichtigt.</v>
      </c>
      <c r="D20" s="650"/>
      <c r="E20" s="650"/>
      <c r="F20" s="650"/>
      <c r="G20" s="650"/>
      <c r="H20" s="650"/>
      <c r="I20" s="650"/>
      <c r="J20" s="647"/>
      <c r="K20" s="647"/>
      <c r="L20" s="647"/>
      <c r="M20" s="647"/>
      <c r="N20" s="647"/>
      <c r="O20" s="647"/>
      <c r="P20" s="647"/>
      <c r="Q20" s="647"/>
    </row>
    <row r="21" spans="2:29">
      <c r="C21" s="83">
        <f ca="1">Sprache!E246</f>
        <v>0</v>
      </c>
      <c r="L21" s="74"/>
      <c r="M21" s="74"/>
      <c r="O21" s="75"/>
      <c r="Q21" s="75"/>
    </row>
    <row r="23" spans="2:29">
      <c r="B23" s="8" t="str">
        <f ca="1">Sprache!E224</f>
        <v>Leistungs- und Wärmebedarf Neubauten</v>
      </c>
      <c r="J23" s="8" t="str">
        <f ca="1">Sprache!E231</f>
        <v>Reduktionsfaktor für Gebäudestandard</v>
      </c>
    </row>
    <row r="24" spans="2:29">
      <c r="B24" s="8"/>
      <c r="J24" s="8"/>
    </row>
    <row r="25" spans="2:29" ht="15">
      <c r="C25" s="6"/>
      <c r="D25" s="70"/>
      <c r="E25" s="631" t="str">
        <f ca="1">Sprache!E198&amp;"*"</f>
        <v>Wärmeleistung*</v>
      </c>
      <c r="F25" s="632"/>
      <c r="G25" s="631" t="str">
        <f ca="1">Sprache!E197&amp;"*"</f>
        <v>Wärme*</v>
      </c>
      <c r="H25" s="632"/>
      <c r="K25" s="6"/>
      <c r="L25" s="70"/>
      <c r="M25" s="631" t="str">
        <f ca="1">Sprache!E198&amp;"*"</f>
        <v>Wärmeleistung*</v>
      </c>
      <c r="N25" s="632"/>
      <c r="O25" s="631" t="str">
        <f ca="1">Sprache!E197&amp;"*"</f>
        <v>Wärme*</v>
      </c>
      <c r="P25" s="632"/>
    </row>
    <row r="26" spans="2:29" ht="15">
      <c r="C26" s="3"/>
      <c r="D26" s="4"/>
      <c r="E26" s="633" t="s">
        <v>321</v>
      </c>
      <c r="F26" s="632"/>
      <c r="G26" s="637" t="s">
        <v>307</v>
      </c>
      <c r="H26" s="632"/>
      <c r="K26" s="3"/>
      <c r="L26" s="4"/>
      <c r="M26" s="633" t="s">
        <v>152</v>
      </c>
      <c r="N26" s="632"/>
      <c r="O26" s="637" t="s">
        <v>160</v>
      </c>
      <c r="P26" s="632"/>
    </row>
    <row r="27" spans="2:29" ht="15">
      <c r="C27" s="3"/>
      <c r="D27" s="4"/>
      <c r="E27" s="631" t="s">
        <v>308</v>
      </c>
      <c r="F27" s="632"/>
      <c r="G27" s="631" t="s">
        <v>309</v>
      </c>
      <c r="H27" s="632"/>
      <c r="K27" s="3"/>
      <c r="L27" s="4"/>
      <c r="M27" s="638" t="s">
        <v>28</v>
      </c>
      <c r="N27" s="632"/>
      <c r="O27" s="638" t="s">
        <v>28</v>
      </c>
      <c r="P27" s="632"/>
    </row>
    <row r="28" spans="2:29">
      <c r="C28" s="51"/>
      <c r="D28" s="5"/>
      <c r="E28" s="16" t="str">
        <f ca="1">Sprache!$E$33</f>
        <v>eigene</v>
      </c>
      <c r="F28" s="16" t="str">
        <f ca="1">Sprache!$E$34</f>
        <v>Standard</v>
      </c>
      <c r="G28" s="16" t="str">
        <f ca="1">Sprache!$E$33</f>
        <v>eigene</v>
      </c>
      <c r="H28" s="16" t="str">
        <f ca="1">Sprache!$E$34</f>
        <v>Standard</v>
      </c>
      <c r="K28" s="51"/>
      <c r="L28" s="5"/>
      <c r="M28" s="16" t="str">
        <f ca="1">Sprache!$E$33</f>
        <v>eigene</v>
      </c>
      <c r="N28" s="16" t="str">
        <f ca="1">Sprache!$E$34</f>
        <v>Standard</v>
      </c>
      <c r="O28" s="16" t="str">
        <f ca="1">Sprache!$E$33</f>
        <v>eigene</v>
      </c>
      <c r="P28" s="16" t="str">
        <f ca="1">Sprache!$E$34</f>
        <v>Standard</v>
      </c>
    </row>
    <row r="29" spans="2:29">
      <c r="C29" s="50" t="str">
        <f ca="1">Sprache!E48</f>
        <v>Wohnen MFH</v>
      </c>
      <c r="D29" s="2"/>
      <c r="E29" s="27"/>
      <c r="F29" s="16">
        <v>23</v>
      </c>
      <c r="G29" s="27"/>
      <c r="H29" s="16">
        <v>32</v>
      </c>
      <c r="K29" s="50" t="str">
        <f ca="1">Sprache!E59</f>
        <v>Grenzwert SIA 380/1</v>
      </c>
      <c r="L29" s="2"/>
      <c r="M29" s="78"/>
      <c r="N29" s="76">
        <v>1</v>
      </c>
      <c r="O29" s="78"/>
      <c r="P29" s="76">
        <v>1</v>
      </c>
    </row>
    <row r="30" spans="2:29">
      <c r="C30" s="50" t="str">
        <f ca="1">Sprache!E49</f>
        <v>Wohnen EFH</v>
      </c>
      <c r="D30" s="2"/>
      <c r="E30" s="27"/>
      <c r="F30" s="16">
        <v>24</v>
      </c>
      <c r="G30" s="27"/>
      <c r="H30" s="16">
        <v>38</v>
      </c>
      <c r="K30" s="50" t="str">
        <f ca="1">Sprache!E60</f>
        <v>Minergie</v>
      </c>
      <c r="L30" s="2"/>
      <c r="M30" s="78"/>
      <c r="N30" s="76">
        <v>0.9</v>
      </c>
      <c r="O30" s="78"/>
      <c r="P30" s="76">
        <v>0.95</v>
      </c>
    </row>
    <row r="31" spans="2:29">
      <c r="C31" s="50" t="str">
        <f ca="1">Sprache!E50</f>
        <v>Verwaltung</v>
      </c>
      <c r="D31" s="2"/>
      <c r="E31" s="27"/>
      <c r="F31" s="16">
        <v>20</v>
      </c>
      <c r="G31" s="27"/>
      <c r="H31" s="16">
        <v>13</v>
      </c>
      <c r="K31" s="50" t="str">
        <f ca="1">Sprache!E61</f>
        <v>Minergie-P</v>
      </c>
      <c r="L31" s="2"/>
      <c r="M31" s="78"/>
      <c r="N31" s="76">
        <v>0.6</v>
      </c>
      <c r="O31" s="78"/>
      <c r="P31" s="76">
        <v>0.8</v>
      </c>
    </row>
    <row r="32" spans="2:29">
      <c r="C32" s="1" t="str">
        <f ca="1">"*"&amp;Sprache!E229</f>
        <v>*Angaben bei einer Raumtemperatur von 21°C und -8°C Aussentemperatur</v>
      </c>
      <c r="K32" s="1" t="str">
        <f ca="1">"*"&amp;Sprache!E229</f>
        <v>*Angaben bei einer Raumtemperatur von 21°C und -8°C Aussentemperatur</v>
      </c>
    </row>
    <row r="34" spans="2:19">
      <c r="B34" s="8" t="str">
        <f ca="1">Sprache!E230</f>
        <v>Volllaststunden Wärmeerzeugung</v>
      </c>
      <c r="J34" s="8" t="str">
        <f ca="1">Sprache!$E$322</f>
        <v>Korrektur Aufgrund regionaler Einflüsse</v>
      </c>
    </row>
    <row r="36" spans="2:19" ht="15">
      <c r="C36" s="6"/>
      <c r="D36" s="70"/>
      <c r="E36" s="631" t="str">
        <f ca="1">Sprache!E188</f>
        <v>nur Heizwärme</v>
      </c>
      <c r="F36" s="632"/>
      <c r="G36" s="631" t="str">
        <f ca="1">Sprache!E189</f>
        <v>inkl. Warmwasser</v>
      </c>
      <c r="H36" s="632"/>
      <c r="K36" s="645" t="str">
        <f ca="1">Sprache!$E$323</f>
        <v>auf Investitionskosten</v>
      </c>
      <c r="L36" s="646"/>
      <c r="M36" s="645" t="str">
        <f ca="1">Sprache!$E$324</f>
        <v>auf Unterhaltskosten</v>
      </c>
      <c r="N36" s="646"/>
    </row>
    <row r="37" spans="2:19" ht="15">
      <c r="C37" s="3"/>
      <c r="D37" s="4"/>
      <c r="E37" s="631" t="str">
        <f ca="1">Sprache!E190</f>
        <v>Stunden pro Jahr</v>
      </c>
      <c r="F37" s="632"/>
      <c r="G37" s="631" t="str">
        <f ca="1">Sprache!E190</f>
        <v>Stunden pro Jahr</v>
      </c>
      <c r="H37" s="632"/>
      <c r="K37" s="645" t="str">
        <f ca="1">Sprache!$E$325</f>
        <v>Prozent</v>
      </c>
      <c r="L37" s="646"/>
      <c r="M37" s="645" t="str">
        <f ca="1">Sprache!$E$325</f>
        <v>Prozent</v>
      </c>
      <c r="N37" s="646"/>
    </row>
    <row r="38" spans="2:19">
      <c r="C38" s="51"/>
      <c r="D38" s="5"/>
      <c r="E38" s="16" t="str">
        <f ca="1">Sprache!$E$33</f>
        <v>eigene</v>
      </c>
      <c r="F38" s="16" t="str">
        <f ca="1">Sprache!$E$34</f>
        <v>Standard</v>
      </c>
      <c r="G38" s="16" t="str">
        <f ca="1">Sprache!$E$33</f>
        <v>eigene</v>
      </c>
      <c r="H38" s="16" t="str">
        <f ca="1">Sprache!$E$34</f>
        <v>Standard</v>
      </c>
      <c r="K38" s="16" t="str">
        <f ca="1">Sprache!$E$33</f>
        <v>eigene</v>
      </c>
      <c r="L38" s="16" t="str">
        <f ca="1">Sprache!$E$34</f>
        <v>Standard</v>
      </c>
      <c r="M38" s="90" t="str">
        <f ca="1">Sprache!$E$33</f>
        <v>eigene</v>
      </c>
      <c r="N38" s="16" t="str">
        <f ca="1">Sprache!$E$34</f>
        <v>Standard</v>
      </c>
    </row>
    <row r="39" spans="2:19">
      <c r="C39" s="50" t="str">
        <f ca="1">Sprache!E48</f>
        <v>Wohnen MFH</v>
      </c>
      <c r="D39" s="2"/>
      <c r="E39" s="27"/>
      <c r="F39" s="16">
        <v>2300</v>
      </c>
      <c r="G39" s="27"/>
      <c r="H39" s="16">
        <v>2700</v>
      </c>
      <c r="K39" s="112"/>
      <c r="L39" s="113">
        <v>1</v>
      </c>
      <c r="M39" s="112"/>
      <c r="N39" s="113">
        <v>1</v>
      </c>
    </row>
    <row r="40" spans="2:19">
      <c r="C40" s="50" t="str">
        <f ca="1">Sprache!E49</f>
        <v>Wohnen EFH</v>
      </c>
      <c r="D40" s="2"/>
      <c r="E40" s="27"/>
      <c r="F40" s="16">
        <v>2300</v>
      </c>
      <c r="G40" s="27"/>
      <c r="H40" s="16">
        <v>2700</v>
      </c>
    </row>
    <row r="41" spans="2:19">
      <c r="C41" s="50" t="str">
        <f ca="1">Sprache!E50</f>
        <v>Verwaltung</v>
      </c>
      <c r="D41" s="2"/>
      <c r="E41" s="27"/>
      <c r="F41" s="16">
        <v>1900</v>
      </c>
      <c r="G41" s="27"/>
      <c r="H41" s="16">
        <v>1900</v>
      </c>
    </row>
    <row r="43" spans="2:19">
      <c r="B43" s="8" t="str">
        <f ca="1">Sprache!E232</f>
        <v>Grundlagen für die Kostenberechnung</v>
      </c>
    </row>
    <row r="45" spans="2:19" ht="27" customHeight="1">
      <c r="C45" s="6"/>
      <c r="D45" s="63"/>
      <c r="E45" s="63"/>
      <c r="F45" s="648" t="str">
        <f ca="1">Sprache!E117&amp;"*"</f>
        <v>CO2-Abgabe (in Energiekosten enthalten)*</v>
      </c>
      <c r="G45" s="649"/>
      <c r="H45" s="645" t="str">
        <f ca="1">Sprache!E144</f>
        <v>Amortisationszeit</v>
      </c>
      <c r="I45" s="651"/>
      <c r="J45" s="651"/>
      <c r="K45" s="651"/>
      <c r="L45" s="651"/>
      <c r="M45" s="651"/>
      <c r="N45" s="651"/>
      <c r="O45" s="651"/>
      <c r="P45" s="651"/>
      <c r="Q45" s="651"/>
      <c r="R45" s="651"/>
      <c r="S45" s="646"/>
    </row>
    <row r="46" spans="2:19" ht="15">
      <c r="C46" s="3"/>
      <c r="F46" s="405"/>
      <c r="G46" s="406"/>
      <c r="H46" s="619" t="str">
        <f ca="1">Sprache!E134</f>
        <v>Wärmeerzeugung</v>
      </c>
      <c r="I46" s="624"/>
      <c r="J46" s="619" t="str">
        <f ca="1">Sprache!E135</f>
        <v>Kamin</v>
      </c>
      <c r="K46" s="624"/>
      <c r="L46" s="619" t="str">
        <f ca="1">Sprache!E136</f>
        <v>Lagerung</v>
      </c>
      <c r="M46" s="624"/>
      <c r="N46" s="634" t="str">
        <f ca="1">Sprache!E137</f>
        <v>Erdsonde</v>
      </c>
      <c r="O46" s="624"/>
      <c r="P46" s="629" t="s">
        <v>1012</v>
      </c>
      <c r="Q46" s="630"/>
      <c r="R46" s="629" t="s">
        <v>948</v>
      </c>
      <c r="S46" s="630"/>
    </row>
    <row r="47" spans="2:19" ht="14.45" customHeight="1">
      <c r="C47" s="3"/>
      <c r="F47" s="13" t="s">
        <v>339</v>
      </c>
      <c r="G47" s="53"/>
      <c r="H47" s="619" t="s">
        <v>192</v>
      </c>
      <c r="I47" s="624"/>
      <c r="J47" s="619" t="s">
        <v>192</v>
      </c>
      <c r="K47" s="624"/>
      <c r="L47" s="619" t="s">
        <v>192</v>
      </c>
      <c r="M47" s="624"/>
      <c r="N47" s="619" t="s">
        <v>192</v>
      </c>
      <c r="O47" s="624"/>
      <c r="P47" s="619" t="s">
        <v>192</v>
      </c>
      <c r="Q47" s="624"/>
      <c r="R47" s="619" t="s">
        <v>192</v>
      </c>
      <c r="S47" s="624"/>
    </row>
    <row r="48" spans="2:19" ht="13.35" customHeight="1">
      <c r="C48" s="3"/>
      <c r="F48" s="18" t="str">
        <f ca="1">Sprache!$E$33</f>
        <v>eigene</v>
      </c>
      <c r="G48" s="18" t="str">
        <f ca="1">Sprache!$E$34</f>
        <v>Standard</v>
      </c>
      <c r="H48" s="18" t="str">
        <f ca="1">Sprache!$E$33</f>
        <v>eigene</v>
      </c>
      <c r="I48" s="18" t="str">
        <f ca="1">Sprache!$E$34</f>
        <v>Standard</v>
      </c>
      <c r="J48" s="18" t="str">
        <f ca="1">Sprache!$E$33</f>
        <v>eigene</v>
      </c>
      <c r="K48" s="18" t="str">
        <f ca="1">Sprache!$E$34</f>
        <v>Standard</v>
      </c>
      <c r="L48" s="18" t="str">
        <f ca="1">Sprache!$E$33</f>
        <v>eigene</v>
      </c>
      <c r="M48" s="18" t="str">
        <f ca="1">Sprache!$E$34</f>
        <v>Standard</v>
      </c>
      <c r="N48" s="18" t="str">
        <f ca="1">Sprache!$E$33</f>
        <v>eigene</v>
      </c>
      <c r="O48" s="18" t="str">
        <f ca="1">Sprache!$E$34</f>
        <v>Standard</v>
      </c>
      <c r="P48" s="18" t="str">
        <f ca="1">Sprache!$E$33</f>
        <v>eigene</v>
      </c>
      <c r="Q48" s="18" t="str">
        <f ca="1">Sprache!$E$34</f>
        <v>Standard</v>
      </c>
      <c r="R48" s="18" t="str">
        <f ca="1">Sprache!$E$33</f>
        <v>eigene</v>
      </c>
      <c r="S48" s="18" t="str">
        <f ca="1">Sprache!$E$34</f>
        <v>Standard</v>
      </c>
    </row>
    <row r="49" spans="2:19">
      <c r="C49" s="50" t="str">
        <f ca="1">Sprache!$E$16</f>
        <v>Öl</v>
      </c>
      <c r="D49" s="71"/>
      <c r="E49" s="71" t="str">
        <f ca="1">Sprache!$E$16</f>
        <v>Öl</v>
      </c>
      <c r="F49" s="27"/>
      <c r="G49" s="22">
        <v>120</v>
      </c>
      <c r="H49" s="79"/>
      <c r="I49" s="16">
        <v>20</v>
      </c>
      <c r="J49" s="27"/>
      <c r="K49" s="16">
        <v>50</v>
      </c>
      <c r="L49" s="27"/>
      <c r="M49" s="16">
        <v>25</v>
      </c>
      <c r="N49" s="6"/>
      <c r="O49" s="70"/>
      <c r="P49" s="79"/>
      <c r="Q49" s="16">
        <v>30</v>
      </c>
      <c r="R49" s="79"/>
      <c r="S49" s="16">
        <v>50</v>
      </c>
    </row>
    <row r="50" spans="2:19" ht="13.35" customHeight="1">
      <c r="C50" s="50" t="str">
        <f ca="1">Sprache!$E$17</f>
        <v>Erdgas</v>
      </c>
      <c r="D50" s="71"/>
      <c r="E50" s="71" t="str">
        <f ca="1">Sprache!$E$17</f>
        <v>Erdgas</v>
      </c>
      <c r="F50" s="27"/>
      <c r="G50" s="22">
        <v>120</v>
      </c>
      <c r="H50" s="79"/>
      <c r="I50" s="16">
        <v>20</v>
      </c>
      <c r="J50" s="27"/>
      <c r="K50" s="16">
        <v>50</v>
      </c>
      <c r="L50" s="50"/>
      <c r="M50" s="2"/>
      <c r="N50" s="3"/>
      <c r="O50" s="4"/>
      <c r="P50" s="79"/>
      <c r="Q50" s="16">
        <v>30</v>
      </c>
      <c r="R50" s="79"/>
      <c r="S50" s="16">
        <v>50</v>
      </c>
    </row>
    <row r="51" spans="2:19" ht="13.35" customHeight="1">
      <c r="C51" s="50" t="str">
        <f ca="1">Sprache!$E$18</f>
        <v>Pellets</v>
      </c>
      <c r="D51" s="71"/>
      <c r="E51" s="71" t="str">
        <f ca="1">Sprache!$E$18</f>
        <v>Pellets</v>
      </c>
      <c r="F51" s="148"/>
      <c r="G51" s="4"/>
      <c r="H51" s="79"/>
      <c r="I51" s="16">
        <v>20</v>
      </c>
      <c r="J51" s="27"/>
      <c r="K51" s="16">
        <v>50</v>
      </c>
      <c r="L51" s="27"/>
      <c r="M51" s="16">
        <v>20</v>
      </c>
      <c r="N51" s="3"/>
      <c r="O51" s="4"/>
      <c r="P51" s="79"/>
      <c r="Q51" s="16">
        <v>30</v>
      </c>
      <c r="R51" s="79"/>
      <c r="S51" s="16">
        <v>50</v>
      </c>
    </row>
    <row r="52" spans="2:19" ht="13.35" customHeight="1">
      <c r="C52" s="50" t="str">
        <f ca="1">Sprache!$E$212</f>
        <v>Hackschnitzel</v>
      </c>
      <c r="D52" s="71"/>
      <c r="E52" s="71" t="str">
        <f ca="1">Sprache!$E$212</f>
        <v>Hackschnitzel</v>
      </c>
      <c r="F52" s="148"/>
      <c r="G52" s="4"/>
      <c r="H52" s="79"/>
      <c r="I52" s="16">
        <v>15</v>
      </c>
      <c r="J52" s="49"/>
      <c r="K52" s="60">
        <v>50</v>
      </c>
      <c r="L52" s="49"/>
      <c r="M52" s="60">
        <v>20</v>
      </c>
      <c r="N52" s="3"/>
      <c r="O52" s="4"/>
      <c r="P52" s="79"/>
      <c r="Q52" s="16">
        <v>30</v>
      </c>
      <c r="R52" s="79"/>
      <c r="S52" s="16">
        <v>50</v>
      </c>
    </row>
    <row r="53" spans="2:19" ht="13.35" customHeight="1">
      <c r="C53" s="50" t="str">
        <f ca="1">Sprache!$E$213</f>
        <v>WP (LW)</v>
      </c>
      <c r="D53" s="71"/>
      <c r="E53" s="71" t="str">
        <f ca="1">Sprache!$E$127</f>
        <v>Strom</v>
      </c>
      <c r="F53" s="148"/>
      <c r="G53" s="4"/>
      <c r="H53" s="79"/>
      <c r="I53" s="50">
        <v>18</v>
      </c>
      <c r="J53" s="6"/>
      <c r="K53" s="77"/>
      <c r="L53" s="63"/>
      <c r="M53" s="70"/>
      <c r="N53" s="3"/>
      <c r="O53" s="4"/>
      <c r="P53" s="79"/>
      <c r="Q53" s="16">
        <v>30</v>
      </c>
      <c r="R53" s="27"/>
      <c r="S53" s="16">
        <v>50</v>
      </c>
    </row>
    <row r="54" spans="2:19" ht="13.35" customHeight="1">
      <c r="C54" s="50" t="str">
        <f ca="1">Sprache!$E$21</f>
        <v>WP (WW)</v>
      </c>
      <c r="D54" s="71"/>
      <c r="E54" s="71" t="str">
        <f ca="1">Sprache!$E$127</f>
        <v>Strom</v>
      </c>
      <c r="F54" s="148"/>
      <c r="G54" s="4"/>
      <c r="H54" s="79"/>
      <c r="I54" s="50">
        <v>20</v>
      </c>
      <c r="J54" s="3"/>
      <c r="M54" s="4"/>
      <c r="N54" s="27"/>
      <c r="O54" s="16">
        <v>30</v>
      </c>
      <c r="P54" s="79"/>
      <c r="Q54" s="16">
        <v>30</v>
      </c>
      <c r="R54" s="27"/>
      <c r="S54" s="16">
        <v>50</v>
      </c>
    </row>
    <row r="55" spans="2:19" ht="13.35" customHeight="1">
      <c r="C55" s="50" t="str">
        <f ca="1">Sprache!$E$22</f>
        <v>WP (SW)</v>
      </c>
      <c r="D55" s="71"/>
      <c r="E55" s="71" t="str">
        <f ca="1">Sprache!$E$127</f>
        <v>Strom</v>
      </c>
      <c r="F55" s="148"/>
      <c r="G55" s="4"/>
      <c r="H55" s="79"/>
      <c r="I55" s="50">
        <v>20</v>
      </c>
      <c r="J55" s="3"/>
      <c r="K55" s="7"/>
      <c r="N55" s="27"/>
      <c r="O55" s="16">
        <v>30</v>
      </c>
      <c r="P55" s="79"/>
      <c r="Q55" s="16">
        <v>30</v>
      </c>
      <c r="R55" s="27"/>
      <c r="S55" s="16">
        <v>50</v>
      </c>
    </row>
    <row r="56" spans="2:19" ht="13.35" customHeight="1">
      <c r="C56" s="50" t="str">
        <f ca="1">Sprache!E482</f>
        <v>WP (SW mit Absorber)</v>
      </c>
      <c r="D56" s="71"/>
      <c r="E56" s="71" t="str">
        <f ca="1">Sprache!$E$127</f>
        <v>Strom</v>
      </c>
      <c r="F56" s="148"/>
      <c r="G56" s="4"/>
      <c r="H56" s="79"/>
      <c r="I56" s="50">
        <v>20</v>
      </c>
      <c r="J56" s="148"/>
      <c r="K56" s="7"/>
      <c r="N56" s="27"/>
      <c r="O56" s="16">
        <v>30</v>
      </c>
      <c r="P56" s="79"/>
      <c r="Q56" s="16">
        <v>30</v>
      </c>
      <c r="R56" s="27"/>
      <c r="S56" s="16">
        <v>50</v>
      </c>
    </row>
    <row r="57" spans="2:19">
      <c r="C57" s="50" t="str">
        <f ca="1">Sprache!$E$129</f>
        <v>Wärmenetz KVA</v>
      </c>
      <c r="D57" s="71"/>
      <c r="E57" s="71" t="str">
        <f ca="1">Sprache!$E$197</f>
        <v>Wärme</v>
      </c>
      <c r="F57" s="148"/>
      <c r="G57" s="4"/>
      <c r="H57" s="79"/>
      <c r="I57" s="50">
        <v>20</v>
      </c>
      <c r="J57" s="3"/>
      <c r="M57" s="4"/>
      <c r="O57" s="4"/>
      <c r="P57" s="79"/>
      <c r="Q57" s="16">
        <v>30</v>
      </c>
      <c r="R57" s="27"/>
      <c r="S57" s="16">
        <v>50</v>
      </c>
    </row>
    <row r="58" spans="2:19">
      <c r="C58" s="50" t="str">
        <f ca="1">Sprache!$E$130</f>
        <v>Wärmenetz BHKW (Gas)</v>
      </c>
      <c r="D58" s="71"/>
      <c r="E58" s="71" t="str">
        <f ca="1">Sprache!$E$197</f>
        <v>Wärme</v>
      </c>
      <c r="F58" s="148"/>
      <c r="G58" s="4"/>
      <c r="H58" s="79"/>
      <c r="I58" s="50">
        <v>20</v>
      </c>
      <c r="J58" s="3"/>
      <c r="M58" s="4"/>
      <c r="O58" s="4"/>
      <c r="P58" s="79"/>
      <c r="Q58" s="16">
        <v>30</v>
      </c>
      <c r="R58" s="27"/>
      <c r="S58" s="16">
        <v>50</v>
      </c>
    </row>
    <row r="59" spans="2:19">
      <c r="C59" s="50" t="str">
        <f ca="1">Sprache!$E$131</f>
        <v>Wärmenetz WP (Grundwasser)</v>
      </c>
      <c r="D59" s="71"/>
      <c r="E59" s="71" t="str">
        <f ca="1">Sprache!$E$197</f>
        <v>Wärme</v>
      </c>
      <c r="F59" s="148"/>
      <c r="G59" s="4"/>
      <c r="H59" s="79"/>
      <c r="I59" s="50">
        <v>20</v>
      </c>
      <c r="J59" s="3"/>
      <c r="M59" s="4"/>
      <c r="O59" s="4"/>
      <c r="P59" s="79"/>
      <c r="Q59" s="16">
        <v>30</v>
      </c>
      <c r="R59" s="27"/>
      <c r="S59" s="16">
        <v>50</v>
      </c>
    </row>
    <row r="60" spans="2:19">
      <c r="C60" s="50" t="str">
        <f ca="1">Sprache!$E$132</f>
        <v>Wärmenetz Hackschnitzel</v>
      </c>
      <c r="D60" s="71"/>
      <c r="E60" s="71" t="str">
        <f ca="1">Sprache!$E$197</f>
        <v>Wärme</v>
      </c>
      <c r="F60" s="148"/>
      <c r="G60" s="4"/>
      <c r="H60" s="79"/>
      <c r="I60" s="50">
        <v>20</v>
      </c>
      <c r="J60" s="3"/>
      <c r="M60" s="4"/>
      <c r="N60" s="3"/>
      <c r="O60" s="4"/>
      <c r="P60" s="79"/>
      <c r="Q60" s="16">
        <v>30</v>
      </c>
      <c r="R60" s="27"/>
      <c r="S60" s="16">
        <v>50</v>
      </c>
    </row>
    <row r="61" spans="2:19">
      <c r="C61" s="349" t="str">
        <f ca="1">Sprache!$E$23</f>
        <v>WKK Anlage (Gas)</v>
      </c>
      <c r="D61" s="71"/>
      <c r="E61" s="71" t="str">
        <f ca="1">Sprache!$E$17</f>
        <v>Erdgas</v>
      </c>
      <c r="F61" s="27"/>
      <c r="G61" s="22">
        <v>120</v>
      </c>
      <c r="H61" s="79"/>
      <c r="I61" s="50">
        <v>20</v>
      </c>
      <c r="J61" s="27"/>
      <c r="K61" s="16">
        <v>50</v>
      </c>
      <c r="L61" s="51"/>
      <c r="M61" s="5"/>
      <c r="N61" s="51"/>
      <c r="O61" s="5"/>
      <c r="P61" s="79"/>
      <c r="Q61" s="16">
        <v>30</v>
      </c>
      <c r="R61" s="27"/>
      <c r="S61" s="16">
        <v>50</v>
      </c>
    </row>
    <row r="62" spans="2:19" ht="15">
      <c r="C62" s="647" t="str">
        <f ca="1">"*"&amp;Sprache!E234</f>
        <v>*Quelle:http://www.ezv.admin.ch/zollinfo_firmen/04020/04256/04265/index.html?lang=de</v>
      </c>
      <c r="D62" s="647"/>
      <c r="E62" s="647"/>
      <c r="F62" s="647"/>
      <c r="G62" s="647"/>
      <c r="H62" s="647"/>
      <c r="I62" s="647"/>
      <c r="J62" s="647"/>
      <c r="K62" s="647"/>
      <c r="L62" s="647"/>
      <c r="M62" s="647"/>
    </row>
    <row r="64" spans="2:19">
      <c r="B64" s="125" t="str">
        <f ca="1">Sprache!E435</f>
        <v>Angaben zu Stromkosten</v>
      </c>
    </row>
    <row r="65" spans="2:13">
      <c r="H65" s="8"/>
    </row>
    <row r="66" spans="2:13">
      <c r="C66" s="50"/>
      <c r="D66" s="71"/>
      <c r="E66" s="2"/>
      <c r="F66" s="16" t="str">
        <f ca="1">Sprache!$E$33</f>
        <v>eigene</v>
      </c>
      <c r="G66" s="16" t="str">
        <f ca="1">Sprache!$E$34</f>
        <v>Standard</v>
      </c>
    </row>
    <row r="67" spans="2:13">
      <c r="C67" s="466"/>
      <c r="D67" s="467"/>
      <c r="E67" s="468"/>
      <c r="F67" s="66"/>
      <c r="G67" s="66"/>
      <c r="L67" s="35"/>
      <c r="M67" s="35"/>
    </row>
    <row r="68" spans="2:13">
      <c r="C68" s="50" t="str">
        <f ca="1">Sprache!E283&amp;"*"</f>
        <v>Erlös aus Stromverkauf*</v>
      </c>
      <c r="D68" s="71"/>
      <c r="E68" s="14" t="s">
        <v>194</v>
      </c>
      <c r="F68" s="27"/>
      <c r="G68" s="16">
        <v>0.08</v>
      </c>
      <c r="L68" s="35"/>
      <c r="M68" s="35"/>
    </row>
    <row r="69" spans="2:13" ht="15">
      <c r="C69" s="96" t="s">
        <v>895</v>
      </c>
      <c r="F69" s="28"/>
    </row>
    <row r="71" spans="2:13">
      <c r="B71" s="8" t="str">
        <f ca="1">Sprache!E239</f>
        <v>Thermische Solaranlage</v>
      </c>
    </row>
    <row r="73" spans="2:13" ht="15">
      <c r="C73" s="50"/>
      <c r="D73" s="71"/>
      <c r="E73" s="2"/>
      <c r="F73" s="16" t="str">
        <f ca="1">Sprache!$E$33</f>
        <v>eigene</v>
      </c>
      <c r="G73" s="16" t="str">
        <f ca="1">Sprache!$E$34</f>
        <v>Standard</v>
      </c>
      <c r="H73" s="80"/>
    </row>
    <row r="74" spans="2:13">
      <c r="C74" s="50" t="str">
        <f ca="1">Sprache!E241</f>
        <v>Amortisationszeit (Jahre)</v>
      </c>
      <c r="D74" s="71"/>
      <c r="E74" s="14"/>
      <c r="F74" s="27"/>
      <c r="G74" s="16">
        <v>20</v>
      </c>
    </row>
    <row r="75" spans="2:13">
      <c r="E75" s="35"/>
      <c r="F75" s="28"/>
    </row>
    <row r="76" spans="2:13">
      <c r="E76" s="35"/>
      <c r="F76" s="28"/>
    </row>
    <row r="78" spans="2:13">
      <c r="B78" s="8" t="str">
        <f ca="1">Sprache!E270</f>
        <v>PV-Anlage</v>
      </c>
    </row>
    <row r="80" spans="2:13">
      <c r="C80" s="50"/>
      <c r="D80" s="71"/>
      <c r="E80" s="2"/>
      <c r="F80" s="16" t="str">
        <f ca="1">Sprache!$E$33</f>
        <v>eigene</v>
      </c>
      <c r="G80" s="16" t="str">
        <f ca="1">Sprache!$E$34</f>
        <v>Standard</v>
      </c>
    </row>
    <row r="81" spans="2:7">
      <c r="C81" s="50" t="str">
        <f ca="1">Sprache!E241</f>
        <v>Amortisationszeit (Jahre)</v>
      </c>
      <c r="D81" s="71"/>
      <c r="E81" s="14"/>
      <c r="F81" s="27"/>
      <c r="G81" s="16">
        <v>20</v>
      </c>
    </row>
    <row r="82" spans="2:7">
      <c r="C82" s="50" t="str">
        <f ca="1">Sprache!E280</f>
        <v>Ertrag pro Jahr (Südenost, 45°)</v>
      </c>
      <c r="D82" s="71"/>
      <c r="E82" s="14" t="s">
        <v>696</v>
      </c>
      <c r="F82" s="27"/>
      <c r="G82" s="26">
        <v>980</v>
      </c>
    </row>
    <row r="83" spans="2:7">
      <c r="C83" s="63"/>
      <c r="D83" s="63"/>
      <c r="E83" s="286"/>
      <c r="F83" s="313"/>
      <c r="G83" s="63"/>
    </row>
    <row r="85" spans="2:7" ht="15">
      <c r="C85" s="96"/>
    </row>
    <row r="86" spans="2:7">
      <c r="B86" s="8"/>
    </row>
    <row r="87" spans="2:7" ht="15" customHeight="1"/>
    <row r="88" spans="2:7">
      <c r="F88" s="644"/>
      <c r="G88" s="644"/>
    </row>
    <row r="90" spans="2:7">
      <c r="F90" s="28"/>
    </row>
  </sheetData>
  <sheetProtection algorithmName="SHA-512" hashValue="Rcf4euVhPg6vQNqoVY/2sjpLwCaPPLKULsTJqmMi1O8XFNqdv6458HBRh1JuY2HpTEGT4/G77coFcMpEf7LFNA==" saltValue="tu8HOxGeI1B1ichJzQl7pA==" spinCount="100000" sheet="1" objects="1" scenarios="1"/>
  <mergeCells count="71">
    <mergeCell ref="E27:F27"/>
    <mergeCell ref="F45:G45"/>
    <mergeCell ref="J46:K46"/>
    <mergeCell ref="L46:M46"/>
    <mergeCell ref="AB5:AC5"/>
    <mergeCell ref="C20:Q20"/>
    <mergeCell ref="E25:F25"/>
    <mergeCell ref="G25:H25"/>
    <mergeCell ref="M25:N25"/>
    <mergeCell ref="N5:O5"/>
    <mergeCell ref="H45:S45"/>
    <mergeCell ref="T5:U5"/>
    <mergeCell ref="V5:W5"/>
    <mergeCell ref="X5:Y5"/>
    <mergeCell ref="Z5:AA5"/>
    <mergeCell ref="G26:H26"/>
    <mergeCell ref="F88:G88"/>
    <mergeCell ref="E36:F36"/>
    <mergeCell ref="G36:H36"/>
    <mergeCell ref="E37:F37"/>
    <mergeCell ref="K37:L37"/>
    <mergeCell ref="K36:L36"/>
    <mergeCell ref="G37:H37"/>
    <mergeCell ref="C62:M62"/>
    <mergeCell ref="M37:N37"/>
    <mergeCell ref="M36:N36"/>
    <mergeCell ref="H46:I46"/>
    <mergeCell ref="H47:I47"/>
    <mergeCell ref="J47:K47"/>
    <mergeCell ref="L47:M47"/>
    <mergeCell ref="Z3:AC3"/>
    <mergeCell ref="V3:Y3"/>
    <mergeCell ref="N4:O4"/>
    <mergeCell ref="V4:W4"/>
    <mergeCell ref="X4:Y4"/>
    <mergeCell ref="Z4:AA4"/>
    <mergeCell ref="AB4:AC4"/>
    <mergeCell ref="P3:Q3"/>
    <mergeCell ref="R3:S3"/>
    <mergeCell ref="P4:Q4"/>
    <mergeCell ref="R4:S4"/>
    <mergeCell ref="T4:U4"/>
    <mergeCell ref="N3:O3"/>
    <mergeCell ref="T3:U3"/>
    <mergeCell ref="F4:G4"/>
    <mergeCell ref="O26:P26"/>
    <mergeCell ref="O27:P27"/>
    <mergeCell ref="E26:F26"/>
    <mergeCell ref="F3:G3"/>
    <mergeCell ref="J3:K3"/>
    <mergeCell ref="J4:K4"/>
    <mergeCell ref="J5:K5"/>
    <mergeCell ref="L3:M3"/>
    <mergeCell ref="L5:M5"/>
    <mergeCell ref="L4:M4"/>
    <mergeCell ref="F5:G5"/>
    <mergeCell ref="H4:I4"/>
    <mergeCell ref="H5:I5"/>
    <mergeCell ref="G27:H27"/>
    <mergeCell ref="M27:N27"/>
    <mergeCell ref="R47:S47"/>
    <mergeCell ref="H3:I3"/>
    <mergeCell ref="P46:Q46"/>
    <mergeCell ref="R46:S46"/>
    <mergeCell ref="P47:Q47"/>
    <mergeCell ref="O25:P25"/>
    <mergeCell ref="M26:N26"/>
    <mergeCell ref="N46:O46"/>
    <mergeCell ref="N47:O47"/>
    <mergeCell ref="P5:Q5"/>
    <mergeCell ref="R5:S5"/>
  </mergeCells>
  <hyperlinks>
    <hyperlink ref="C62:M62" r:id="rId1" display="*Quelle:http://www.ezv.admin.ch/zollinfo_firmen/04020/04256/04265/index.html?lang=de" xr:uid="{00000000-0004-0000-0300-000000000000}"/>
    <hyperlink ref="C20:Q20" r:id="rId2" display="https://www.eco-bau.ch/index.cfm?Nav=17&amp;ID=46" xr:uid="{00000000-0004-0000-0300-000001000000}"/>
    <hyperlink ref="C69" r:id="rId3" xr:uid="{00C07C97-3DF2-4531-8AC9-FE7B5A037914}"/>
  </hyperlinks>
  <pageMargins left="0.70866141732283472" right="0.70866141732283472" top="1.1811023622047245" bottom="0.78740157480314965" header="0.31496062992125984" footer="0.31496062992125984"/>
  <pageSetup paperSize="9" scale="39" orientation="landscape" verticalDpi="1200" r:id="rId4"/>
  <headerFooter>
    <oddHeader>&amp;R&amp;G</oddHeader>
    <oddFooter>&amp;C&amp;D&amp;R&amp;P/&amp;N</oddFooter>
  </headerFooter>
  <rowBreaks count="1" manualBreakCount="1">
    <brk id="42" max="16383" man="1"/>
  </rowBreaks>
  <legacyDrawingHF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6A9EB-CE31-40B9-870E-4C6B3C707254}">
  <sheetPr codeName="Tabelle13"/>
  <dimension ref="B2:C55"/>
  <sheetViews>
    <sheetView zoomScale="140" zoomScaleNormal="140" zoomScalePageLayoutView="110" workbookViewId="0">
      <selection activeCell="C5" sqref="C5"/>
    </sheetView>
  </sheetViews>
  <sheetFormatPr baseColWidth="10" defaultColWidth="11.42578125" defaultRowHeight="12.75"/>
  <cols>
    <col min="1" max="1" width="4" style="1" customWidth="1"/>
    <col min="2" max="2" width="6.140625" style="1" customWidth="1"/>
    <col min="3" max="16384" width="11.42578125" style="1"/>
  </cols>
  <sheetData>
    <row r="2" spans="2:3" ht="15.75">
      <c r="B2" s="57" t="s">
        <v>873</v>
      </c>
    </row>
    <row r="3" spans="2:3">
      <c r="B3" s="1" t="s">
        <v>872</v>
      </c>
    </row>
    <row r="5" spans="2:3">
      <c r="B5" s="1" t="s">
        <v>1832</v>
      </c>
      <c r="C5" s="478">
        <v>46099</v>
      </c>
    </row>
    <row r="6" spans="2:3">
      <c r="C6" s="1" t="s">
        <v>1833</v>
      </c>
    </row>
    <row r="8" spans="2:3">
      <c r="B8" s="1" t="s">
        <v>1830</v>
      </c>
      <c r="C8" s="478" t="s">
        <v>1831</v>
      </c>
    </row>
    <row r="9" spans="2:3">
      <c r="C9" s="1" t="s">
        <v>1829</v>
      </c>
    </row>
    <row r="11" spans="2:3">
      <c r="B11" s="1" t="s">
        <v>1826</v>
      </c>
      <c r="C11" s="478">
        <v>45948</v>
      </c>
    </row>
    <row r="12" spans="2:3">
      <c r="C12" s="1" t="s">
        <v>1827</v>
      </c>
    </row>
    <row r="13" spans="2:3">
      <c r="C13" s="1" t="s">
        <v>1828</v>
      </c>
    </row>
    <row r="15" spans="2:3">
      <c r="B15" s="1" t="s">
        <v>1824</v>
      </c>
      <c r="C15" s="478">
        <v>45877</v>
      </c>
    </row>
    <row r="16" spans="2:3">
      <c r="C16" s="1" t="s">
        <v>1825</v>
      </c>
    </row>
    <row r="18" spans="2:3">
      <c r="B18" s="1" t="s">
        <v>1795</v>
      </c>
      <c r="C18" s="478">
        <v>45756</v>
      </c>
    </row>
    <row r="19" spans="2:3">
      <c r="C19" s="1" t="s">
        <v>1796</v>
      </c>
    </row>
    <row r="20" spans="2:3">
      <c r="C20" s="1" t="s">
        <v>1797</v>
      </c>
    </row>
    <row r="21" spans="2:3">
      <c r="C21" s="1" t="s">
        <v>1798</v>
      </c>
    </row>
    <row r="22" spans="2:3">
      <c r="C22" s="1" t="s">
        <v>1816</v>
      </c>
    </row>
    <row r="24" spans="2:3">
      <c r="B24" s="1" t="s">
        <v>1758</v>
      </c>
      <c r="C24" s="478">
        <v>45404</v>
      </c>
    </row>
    <row r="25" spans="2:3">
      <c r="C25" s="1" t="s">
        <v>1790</v>
      </c>
    </row>
    <row r="26" spans="2:3">
      <c r="C26" s="1" t="s">
        <v>1791</v>
      </c>
    </row>
    <row r="27" spans="2:3">
      <c r="C27" s="1" t="s">
        <v>1792</v>
      </c>
    </row>
    <row r="28" spans="2:3">
      <c r="C28" s="1" t="s">
        <v>1793</v>
      </c>
    </row>
    <row r="30" spans="2:3">
      <c r="B30" s="1" t="s">
        <v>1748</v>
      </c>
      <c r="C30" s="478">
        <v>44981</v>
      </c>
    </row>
    <row r="31" spans="2:3">
      <c r="C31" s="1" t="s">
        <v>1749</v>
      </c>
    </row>
    <row r="33" spans="2:3">
      <c r="B33" s="1" t="s">
        <v>1742</v>
      </c>
      <c r="C33" s="478">
        <v>44978</v>
      </c>
    </row>
    <row r="34" spans="2:3">
      <c r="C34" s="1" t="s">
        <v>1743</v>
      </c>
    </row>
    <row r="35" spans="2:3">
      <c r="C35" s="1" t="s">
        <v>1788</v>
      </c>
    </row>
    <row r="36" spans="2:3">
      <c r="C36" s="1" t="s">
        <v>1745</v>
      </c>
    </row>
    <row r="37" spans="2:3">
      <c r="C37" s="1" t="s">
        <v>1746</v>
      </c>
    </row>
    <row r="38" spans="2:3">
      <c r="C38" s="1" t="s">
        <v>1747</v>
      </c>
    </row>
    <row r="40" spans="2:3">
      <c r="B40" s="1" t="s">
        <v>1740</v>
      </c>
      <c r="C40" s="478">
        <v>44854</v>
      </c>
    </row>
    <row r="41" spans="2:3">
      <c r="C41" s="1" t="s">
        <v>1741</v>
      </c>
    </row>
    <row r="43" spans="2:3">
      <c r="B43" s="1" t="s">
        <v>1738</v>
      </c>
      <c r="C43" s="478">
        <v>44848</v>
      </c>
    </row>
    <row r="44" spans="2:3">
      <c r="C44" s="1" t="s">
        <v>1739</v>
      </c>
    </row>
    <row r="46" spans="2:3">
      <c r="B46" s="1" t="s">
        <v>1734</v>
      </c>
      <c r="C46" s="478">
        <v>44844</v>
      </c>
    </row>
    <row r="47" spans="2:3">
      <c r="C47" s="1" t="s">
        <v>1735</v>
      </c>
    </row>
    <row r="48" spans="2:3">
      <c r="C48" s="1" t="s">
        <v>1736</v>
      </c>
    </row>
    <row r="50" spans="2:3">
      <c r="B50" s="1" t="s">
        <v>1729</v>
      </c>
      <c r="C50" s="478">
        <v>44838</v>
      </c>
    </row>
    <row r="51" spans="2:3">
      <c r="C51" s="1" t="s">
        <v>1733</v>
      </c>
    </row>
    <row r="52" spans="2:3">
      <c r="C52" s="1" t="s">
        <v>1737</v>
      </c>
    </row>
    <row r="54" spans="2:3">
      <c r="B54" s="1" t="s">
        <v>1728</v>
      </c>
      <c r="C54" s="478">
        <v>44823</v>
      </c>
    </row>
    <row r="55" spans="2:3">
      <c r="C55" s="1" t="s">
        <v>1723</v>
      </c>
    </row>
  </sheetData>
  <sheetProtection algorithmName="SHA-512" hashValue="BGTHYeL6HJpb4XXTV1HZMKohnwpsAOJUZgRkwBdvAkIhM9s9o8NEa74S9ZS9g19UosP9wAAaQHUWGCph4WpGsA==" saltValue="7fQHAtbAUHfPb00Q0ZBueg==" spinCount="100000" sheet="1" objects="1" scenarios="1"/>
  <pageMargins left="0.70866141732283472" right="0.70866141732283472" top="1.1811023622047245" bottom="0.78740157480314965" header="0.31496062992125984" footer="0.31496062992125984"/>
  <pageSetup paperSize="9" scale="57" orientation="portrait" verticalDpi="0" r:id="rId1"/>
  <headerFooter>
    <oddHeader>&amp;R&amp;G</oddHeader>
    <oddFooter>&amp;C&amp;D&amp;R&amp;P/&amp;N</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vt:i4>
      </vt:variant>
      <vt:variant>
        <vt:lpstr>Benannte Bereiche</vt:lpstr>
      </vt:variant>
      <vt:variant>
        <vt:i4>24</vt:i4>
      </vt:variant>
    </vt:vector>
  </HeadingPairs>
  <TitlesOfParts>
    <vt:vector size="47" baseType="lpstr">
      <vt:lpstr>Erläuterungen</vt:lpstr>
      <vt:lpstr>Projektdaten</vt:lpstr>
      <vt:lpstr>Vergleich</vt:lpstr>
      <vt:lpstr>Resultate</vt:lpstr>
      <vt:lpstr>Investitionskosten</vt:lpstr>
      <vt:lpstr>Unterhaltskosten</vt:lpstr>
      <vt:lpstr>Energiepreise</vt:lpstr>
      <vt:lpstr>Grundlagen</vt:lpstr>
      <vt:lpstr>Versionierung</vt:lpstr>
      <vt:lpstr>Impressum</vt:lpstr>
      <vt:lpstr>Sprache</vt:lpstr>
      <vt:lpstr>Auswahllisten</vt:lpstr>
      <vt:lpstr>Standardwerte</vt:lpstr>
      <vt:lpstr>Investition_Basis</vt:lpstr>
      <vt:lpstr>Investition_gewählt</vt:lpstr>
      <vt:lpstr>Unterhalt</vt:lpstr>
      <vt:lpstr>Faktoren</vt:lpstr>
      <vt:lpstr>Energie</vt:lpstr>
      <vt:lpstr>Variante_A</vt:lpstr>
      <vt:lpstr>Variante_B</vt:lpstr>
      <vt:lpstr>Variante_C</vt:lpstr>
      <vt:lpstr>Variante_D</vt:lpstr>
      <vt:lpstr>Klimastation</vt:lpstr>
      <vt:lpstr>Art</vt:lpstr>
      <vt:lpstr>ArtWärmeerzeuger</vt:lpstr>
      <vt:lpstr>Bauvorhaben</vt:lpstr>
      <vt:lpstr>DatenInklWW</vt:lpstr>
      <vt:lpstr>DatenInklWW_Ersatz</vt:lpstr>
      <vt:lpstr>Datenvorhanden_Ersatz</vt:lpstr>
      <vt:lpstr>Datenvorhanden_Neubau</vt:lpstr>
      <vt:lpstr>Erläuterungen!Druckbereich</vt:lpstr>
      <vt:lpstr>Grundlagen!Druckbereich</vt:lpstr>
      <vt:lpstr>Investitionskosten!Druckbereich</vt:lpstr>
      <vt:lpstr>Projektdaten!Druckbereich</vt:lpstr>
      <vt:lpstr>Resultate!Druckbereich</vt:lpstr>
      <vt:lpstr>Unterhaltskosten!Druckbereich</vt:lpstr>
      <vt:lpstr>Vergleich!Druckbereich</vt:lpstr>
      <vt:lpstr>Versionierung!Druckbereich</vt:lpstr>
      <vt:lpstr>Gebäudenutzung</vt:lpstr>
      <vt:lpstr>Gebäudenutzung_Ersatz</vt:lpstr>
      <vt:lpstr>Gebäudenutzung_Neubau</vt:lpstr>
      <vt:lpstr>JahrVerbrauch</vt:lpstr>
      <vt:lpstr>Klimastation</vt:lpstr>
      <vt:lpstr>Kostenstufen</vt:lpstr>
      <vt:lpstr>MitWarmwasser</vt:lpstr>
      <vt:lpstr>Sprache</vt:lpstr>
      <vt:lpstr>Standard</vt:lpstr>
    </vt:vector>
  </TitlesOfParts>
  <Company>Hochschule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Gadola Reto HSLU T&amp;A</dc:creator>
  <cp:lastModifiedBy>Gadola Reto HSLU T&amp;A</cp:lastModifiedBy>
  <cp:lastPrinted>2022-11-14T07:59:27Z</cp:lastPrinted>
  <dcterms:created xsi:type="dcterms:W3CDTF">2016-06-13T13:45:36Z</dcterms:created>
  <dcterms:modified xsi:type="dcterms:W3CDTF">2026-03-18T12:17:55Z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b0afbd-3cf7-4707-aee4-8dc9d855de29_Enabled">
    <vt:lpwstr>true</vt:lpwstr>
  </property>
  <property fmtid="{D5CDD505-2E9C-101B-9397-08002B2CF9AE}" pid="3" name="MSIP_Label_e8b0afbd-3cf7-4707-aee4-8dc9d855de29_SetDate">
    <vt:lpwstr>2022-10-20T10:02:23Z</vt:lpwstr>
  </property>
  <property fmtid="{D5CDD505-2E9C-101B-9397-08002B2CF9AE}" pid="4" name="MSIP_Label_e8b0afbd-3cf7-4707-aee4-8dc9d855de29_Method">
    <vt:lpwstr>Standard</vt:lpwstr>
  </property>
  <property fmtid="{D5CDD505-2E9C-101B-9397-08002B2CF9AE}" pid="5" name="MSIP_Label_e8b0afbd-3cf7-4707-aee4-8dc9d855de29_Name">
    <vt:lpwstr>intern</vt:lpwstr>
  </property>
  <property fmtid="{D5CDD505-2E9C-101B-9397-08002B2CF9AE}" pid="6" name="MSIP_Label_e8b0afbd-3cf7-4707-aee4-8dc9d855de29_SiteId">
    <vt:lpwstr>75a34008-d7d1-4924-8e78-31fea86f6e68</vt:lpwstr>
  </property>
  <property fmtid="{D5CDD505-2E9C-101B-9397-08002B2CF9AE}" pid="7" name="MSIP_Label_e8b0afbd-3cf7-4707-aee4-8dc9d855de29_ActionId">
    <vt:lpwstr>ff648972-3682-4125-baf8-7f93a88e05e0</vt:lpwstr>
  </property>
  <property fmtid="{D5CDD505-2E9C-101B-9397-08002B2CF9AE}" pid="8" name="MSIP_Label_e8b0afbd-3cf7-4707-aee4-8dc9d855de29_ContentBits">
    <vt:lpwstr>0</vt:lpwstr>
  </property>
</Properties>
</file>